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olcovPA\Desktop\ДГП 140\"/>
    </mc:Choice>
  </mc:AlternateContent>
  <bookViews>
    <workbookView xWindow="0" yWindow="0" windowWidth="28800" windowHeight="12000"/>
  </bookViews>
  <sheets>
    <sheet name="Смета по ТСН-2001" sheetId="5" r:id="rId1"/>
    <sheet name="Дефектная ведомость" sheetId="6" r:id="rId2"/>
    <sheet name="RV_DATA" sheetId="8" state="hidden" r:id="rId3"/>
    <sheet name="Расчет стоимости ресурсов" sheetId="7" r:id="rId4"/>
    <sheet name="Source" sheetId="1" r:id="rId5"/>
    <sheet name="SourceObSm" sheetId="2" state="hidden" r:id="rId6"/>
    <sheet name="SmtRes" sheetId="3" state="hidden" r:id="rId7"/>
    <sheet name="EtalonRes" sheetId="4" state="hidden" r:id="rId8"/>
  </sheets>
  <definedNames>
    <definedName name="_xlnm.Print_Titles" localSheetId="1">'Дефектная ведомость'!$18:$18</definedName>
    <definedName name="_xlnm.Print_Titles" localSheetId="3">'Расчет стоимости ресурсов'!$4:$7</definedName>
    <definedName name="_xlnm.Print_Titles" localSheetId="0">'Смета по ТСН-2001'!$31:$31</definedName>
    <definedName name="_xlnm.Print_Area" localSheetId="1">'Дефектная ведомость'!$A$1:$E$149</definedName>
    <definedName name="_xlnm.Print_Area" localSheetId="3">'Расчет стоимости ресурсов'!$A$1:$F$170</definedName>
    <definedName name="_xlnm.Print_Area" localSheetId="0">'Смета по ТСН-2001'!$A$1:$K$608</definedName>
  </definedNames>
  <calcPr calcId="162913"/>
</workbook>
</file>

<file path=xl/calcChain.xml><?xml version="1.0" encoding="utf-8"?>
<calcChain xmlns="http://schemas.openxmlformats.org/spreadsheetml/2006/main">
  <c r="E168" i="7" l="1"/>
  <c r="E166" i="7"/>
  <c r="E161" i="7"/>
  <c r="E159" i="7"/>
  <c r="A157" i="7"/>
  <c r="E154" i="7"/>
  <c r="E153" i="7"/>
  <c r="E152" i="7"/>
  <c r="E151" i="7"/>
  <c r="A150" i="7"/>
  <c r="A148" i="7"/>
  <c r="E146" i="7"/>
  <c r="E144" i="7"/>
  <c r="E143" i="7"/>
  <c r="A142" i="7"/>
  <c r="F139" i="7"/>
  <c r="E139" i="7"/>
  <c r="D139" i="7"/>
  <c r="F138" i="7"/>
  <c r="E138" i="7"/>
  <c r="D138" i="7"/>
  <c r="F137" i="7"/>
  <c r="E137" i="7"/>
  <c r="D137" i="7"/>
  <c r="F136" i="7"/>
  <c r="E136" i="7"/>
  <c r="D136" i="7"/>
  <c r="F135" i="7"/>
  <c r="E145" i="7" s="1"/>
  <c r="E135" i="7"/>
  <c r="D135" i="7"/>
  <c r="A133" i="7"/>
  <c r="E131" i="7"/>
  <c r="E130" i="7"/>
  <c r="E129" i="7"/>
  <c r="A127" i="7"/>
  <c r="F117" i="7"/>
  <c r="E117" i="7"/>
  <c r="D117" i="7"/>
  <c r="F122" i="7"/>
  <c r="E122" i="7"/>
  <c r="D122" i="7"/>
  <c r="F121" i="7"/>
  <c r="E121" i="7"/>
  <c r="D121" i="7"/>
  <c r="F119" i="7"/>
  <c r="E119" i="7"/>
  <c r="D119" i="7"/>
  <c r="F118" i="7"/>
  <c r="E118" i="7"/>
  <c r="D118" i="7"/>
  <c r="F124" i="7"/>
  <c r="E124" i="7"/>
  <c r="D124" i="7"/>
  <c r="F123" i="7"/>
  <c r="E123" i="7"/>
  <c r="D123" i="7"/>
  <c r="F120" i="7"/>
  <c r="E120" i="7"/>
  <c r="D120" i="7"/>
  <c r="F116" i="7"/>
  <c r="E125" i="7" s="1"/>
  <c r="E116" i="7"/>
  <c r="D116" i="7"/>
  <c r="A114" i="7"/>
  <c r="F109" i="7"/>
  <c r="E109" i="7"/>
  <c r="D109" i="7"/>
  <c r="F112" i="7"/>
  <c r="E112" i="7"/>
  <c r="D112" i="7"/>
  <c r="F108" i="7"/>
  <c r="E108" i="7"/>
  <c r="D108" i="7"/>
  <c r="F107" i="7"/>
  <c r="E113" i="7" s="1"/>
  <c r="E107" i="7"/>
  <c r="D107" i="7"/>
  <c r="F111" i="7"/>
  <c r="E111" i="7"/>
  <c r="D111" i="7"/>
  <c r="F110" i="7"/>
  <c r="E110" i="7"/>
  <c r="D110" i="7"/>
  <c r="A105" i="7"/>
  <c r="F100" i="7"/>
  <c r="E100" i="7"/>
  <c r="D100" i="7"/>
  <c r="F85" i="7"/>
  <c r="E85" i="7"/>
  <c r="D85" i="7"/>
  <c r="F86" i="7"/>
  <c r="E86" i="7"/>
  <c r="D86" i="7"/>
  <c r="F91" i="7"/>
  <c r="E91" i="7"/>
  <c r="D91" i="7"/>
  <c r="F93" i="7"/>
  <c r="E93" i="7"/>
  <c r="D93" i="7"/>
  <c r="F101" i="7"/>
  <c r="E101" i="7"/>
  <c r="D101" i="7"/>
  <c r="F103" i="7"/>
  <c r="E103" i="7"/>
  <c r="D103" i="7"/>
  <c r="F96" i="7"/>
  <c r="E96" i="7"/>
  <c r="D96" i="7"/>
  <c r="F99" i="7"/>
  <c r="E99" i="7"/>
  <c r="D99" i="7"/>
  <c r="F98" i="7"/>
  <c r="E98" i="7"/>
  <c r="D98" i="7"/>
  <c r="F88" i="7"/>
  <c r="E88" i="7"/>
  <c r="D88" i="7"/>
  <c r="F89" i="7"/>
  <c r="E89" i="7"/>
  <c r="D89" i="7"/>
  <c r="F90" i="7"/>
  <c r="E90" i="7"/>
  <c r="D90" i="7"/>
  <c r="F92" i="7"/>
  <c r="E92" i="7"/>
  <c r="D92" i="7"/>
  <c r="F102" i="7"/>
  <c r="E102" i="7"/>
  <c r="D102" i="7"/>
  <c r="F97" i="7"/>
  <c r="E97" i="7"/>
  <c r="D97" i="7"/>
  <c r="F94" i="7"/>
  <c r="E94" i="7"/>
  <c r="D94" i="7"/>
  <c r="F95" i="7"/>
  <c r="E95" i="7"/>
  <c r="D95" i="7"/>
  <c r="F87" i="7"/>
  <c r="E104" i="7" s="1"/>
  <c r="E87" i="7"/>
  <c r="D87" i="7"/>
  <c r="A83" i="7"/>
  <c r="F81" i="7"/>
  <c r="E81" i="7"/>
  <c r="D81" i="7"/>
  <c r="F80" i="7"/>
  <c r="E80" i="7"/>
  <c r="D80" i="7"/>
  <c r="F79" i="7"/>
  <c r="E79" i="7"/>
  <c r="D79" i="7"/>
  <c r="F70" i="7"/>
  <c r="E70" i="7"/>
  <c r="D70" i="7"/>
  <c r="F74" i="7"/>
  <c r="E74" i="7"/>
  <c r="D74" i="7"/>
  <c r="F78" i="7"/>
  <c r="E82" i="7" s="1"/>
  <c r="E78" i="7"/>
  <c r="D78" i="7"/>
  <c r="F77" i="7"/>
  <c r="E77" i="7"/>
  <c r="D77" i="7"/>
  <c r="F76" i="7"/>
  <c r="E76" i="7"/>
  <c r="D76" i="7"/>
  <c r="F75" i="7"/>
  <c r="E75" i="7"/>
  <c r="D75" i="7"/>
  <c r="F69" i="7"/>
  <c r="E69" i="7"/>
  <c r="D69" i="7"/>
  <c r="F73" i="7"/>
  <c r="E73" i="7"/>
  <c r="D73" i="7"/>
  <c r="F71" i="7"/>
  <c r="E71" i="7"/>
  <c r="D71" i="7"/>
  <c r="F72" i="7"/>
  <c r="E72" i="7"/>
  <c r="D72" i="7"/>
  <c r="A67" i="7"/>
  <c r="F62" i="7"/>
  <c r="E62" i="7"/>
  <c r="D62" i="7"/>
  <c r="F47" i="7"/>
  <c r="E47" i="7"/>
  <c r="D47" i="7"/>
  <c r="F45" i="7"/>
  <c r="E45" i="7"/>
  <c r="D45" i="7"/>
  <c r="F48" i="7"/>
  <c r="E48" i="7"/>
  <c r="D48" i="7"/>
  <c r="F50" i="7"/>
  <c r="E50" i="7"/>
  <c r="D50" i="7"/>
  <c r="F60" i="7"/>
  <c r="E60" i="7"/>
  <c r="D60" i="7"/>
  <c r="F61" i="7"/>
  <c r="E61" i="7"/>
  <c r="D61" i="7"/>
  <c r="F59" i="7"/>
  <c r="E59" i="7"/>
  <c r="D59" i="7"/>
  <c r="F58" i="7"/>
  <c r="E58" i="7"/>
  <c r="D58" i="7"/>
  <c r="F43" i="7"/>
  <c r="E43" i="7"/>
  <c r="D43" i="7"/>
  <c r="F49" i="7"/>
  <c r="E49" i="7"/>
  <c r="D49" i="7"/>
  <c r="F42" i="7"/>
  <c r="E42" i="7"/>
  <c r="D42" i="7"/>
  <c r="F51" i="7"/>
  <c r="E51" i="7"/>
  <c r="D51" i="7"/>
  <c r="F54" i="7"/>
  <c r="E54" i="7"/>
  <c r="D54" i="7"/>
  <c r="F40" i="7"/>
  <c r="E40" i="7"/>
  <c r="D40" i="7"/>
  <c r="F65" i="7"/>
  <c r="E65" i="7"/>
  <c r="D65" i="7"/>
  <c r="F64" i="7"/>
  <c r="E64" i="7"/>
  <c r="D64" i="7"/>
  <c r="F41" i="7"/>
  <c r="E41" i="7"/>
  <c r="D41" i="7"/>
  <c r="F44" i="7"/>
  <c r="E44" i="7"/>
  <c r="D44" i="7"/>
  <c r="F53" i="7"/>
  <c r="E53" i="7"/>
  <c r="D53" i="7"/>
  <c r="F52" i="7"/>
  <c r="E52" i="7"/>
  <c r="D52" i="7"/>
  <c r="F46" i="7"/>
  <c r="E46" i="7"/>
  <c r="D46" i="7"/>
  <c r="F57" i="7"/>
  <c r="E57" i="7"/>
  <c r="D57" i="7"/>
  <c r="F56" i="7"/>
  <c r="E56" i="7"/>
  <c r="D56" i="7"/>
  <c r="F63" i="7"/>
  <c r="E63" i="7"/>
  <c r="D63" i="7"/>
  <c r="F55" i="7"/>
  <c r="E55" i="7"/>
  <c r="D55" i="7"/>
  <c r="F39" i="7"/>
  <c r="E128" i="7" s="1"/>
  <c r="E39" i="7"/>
  <c r="D39" i="7"/>
  <c r="A37" i="7"/>
  <c r="A36" i="7"/>
  <c r="E34" i="7"/>
  <c r="E33" i="7"/>
  <c r="E32" i="7"/>
  <c r="E31" i="7"/>
  <c r="A30" i="7"/>
  <c r="F24" i="7"/>
  <c r="E24" i="7"/>
  <c r="D24" i="7"/>
  <c r="F25" i="7"/>
  <c r="E25" i="7"/>
  <c r="D25" i="7"/>
  <c r="F26" i="7"/>
  <c r="E26" i="7"/>
  <c r="D26" i="7"/>
  <c r="F23" i="7"/>
  <c r="E28" i="7" s="1"/>
  <c r="E23" i="7"/>
  <c r="D23" i="7"/>
  <c r="F27" i="7"/>
  <c r="E27" i="7"/>
  <c r="D27" i="7"/>
  <c r="A21" i="7"/>
  <c r="A20" i="7"/>
  <c r="F17" i="7"/>
  <c r="E17" i="7"/>
  <c r="D17" i="7"/>
  <c r="F12" i="7"/>
  <c r="E12" i="7"/>
  <c r="D12" i="7"/>
  <c r="F16" i="7"/>
  <c r="E16" i="7"/>
  <c r="D16" i="7"/>
  <c r="F11" i="7"/>
  <c r="E19" i="7" s="1"/>
  <c r="E11" i="7"/>
  <c r="D11" i="7"/>
  <c r="F15" i="7"/>
  <c r="E15" i="7"/>
  <c r="D15" i="7"/>
  <c r="F14" i="7"/>
  <c r="E14" i="7"/>
  <c r="D14" i="7"/>
  <c r="F13" i="7"/>
  <c r="E13" i="7"/>
  <c r="D13" i="7"/>
  <c r="F18" i="7"/>
  <c r="E18" i="7"/>
  <c r="D18" i="7"/>
  <c r="A9" i="7"/>
  <c r="A8" i="7"/>
  <c r="G124" i="8"/>
  <c r="A124" i="8"/>
  <c r="O123" i="8"/>
  <c r="N123" i="8"/>
  <c r="M123" i="8"/>
  <c r="L123" i="8"/>
  <c r="K123" i="8"/>
  <c r="I123" i="8"/>
  <c r="H123" i="8"/>
  <c r="G123" i="8"/>
  <c r="F123" i="8"/>
  <c r="E123" i="8"/>
  <c r="D123" i="8"/>
  <c r="A123" i="8"/>
  <c r="O122" i="8"/>
  <c r="N122" i="8"/>
  <c r="M122" i="8"/>
  <c r="L122" i="8"/>
  <c r="K122" i="8"/>
  <c r="I122" i="8"/>
  <c r="H122" i="8"/>
  <c r="G122" i="8"/>
  <c r="F122" i="8"/>
  <c r="E122" i="8"/>
  <c r="D122" i="8"/>
  <c r="A122" i="8"/>
  <c r="O121" i="8"/>
  <c r="N121" i="8"/>
  <c r="M121" i="8"/>
  <c r="L121" i="8"/>
  <c r="K121" i="8"/>
  <c r="I121" i="8"/>
  <c r="H121" i="8"/>
  <c r="G121" i="8"/>
  <c r="F121" i="8"/>
  <c r="E121" i="8"/>
  <c r="D121" i="8"/>
  <c r="A121" i="8"/>
  <c r="O120" i="8"/>
  <c r="N120" i="8"/>
  <c r="M120" i="8"/>
  <c r="L120" i="8"/>
  <c r="K120" i="8"/>
  <c r="I120" i="8"/>
  <c r="H120" i="8"/>
  <c r="G120" i="8"/>
  <c r="F120" i="8"/>
  <c r="E120" i="8"/>
  <c r="D120" i="8"/>
  <c r="A120" i="8"/>
  <c r="O119" i="8"/>
  <c r="N119" i="8"/>
  <c r="M119" i="8"/>
  <c r="L119" i="8"/>
  <c r="K119" i="8"/>
  <c r="I119" i="8"/>
  <c r="H119" i="8"/>
  <c r="G119" i="8"/>
  <c r="F119" i="8"/>
  <c r="E119" i="8"/>
  <c r="D119" i="8"/>
  <c r="A119" i="8"/>
  <c r="G118" i="8"/>
  <c r="A118" i="8"/>
  <c r="O117" i="8"/>
  <c r="N117" i="8"/>
  <c r="M117" i="8"/>
  <c r="L117" i="8"/>
  <c r="K117" i="8"/>
  <c r="I117" i="8"/>
  <c r="H117" i="8"/>
  <c r="G117" i="8"/>
  <c r="F117" i="8"/>
  <c r="E117" i="8"/>
  <c r="D117" i="8"/>
  <c r="A117" i="8"/>
  <c r="O116" i="8"/>
  <c r="N116" i="8"/>
  <c r="M116" i="8"/>
  <c r="L116" i="8"/>
  <c r="K116" i="8"/>
  <c r="I116" i="8"/>
  <c r="H116" i="8"/>
  <c r="G116" i="8"/>
  <c r="F116" i="8"/>
  <c r="E116" i="8"/>
  <c r="D116" i="8"/>
  <c r="A116" i="8"/>
  <c r="O115" i="8"/>
  <c r="N115" i="8"/>
  <c r="M115" i="8"/>
  <c r="L115" i="8"/>
  <c r="K115" i="8"/>
  <c r="I115" i="8"/>
  <c r="H115" i="8"/>
  <c r="G115" i="8"/>
  <c r="F115" i="8"/>
  <c r="E115" i="8"/>
  <c r="D115" i="8"/>
  <c r="A115" i="8"/>
  <c r="O114" i="8"/>
  <c r="N114" i="8"/>
  <c r="M114" i="8"/>
  <c r="L114" i="8"/>
  <c r="K114" i="8"/>
  <c r="I114" i="8"/>
  <c r="H114" i="8"/>
  <c r="G114" i="8"/>
  <c r="F114" i="8"/>
  <c r="E114" i="8"/>
  <c r="D114" i="8"/>
  <c r="A114" i="8"/>
  <c r="O113" i="8"/>
  <c r="N113" i="8"/>
  <c r="M113" i="8"/>
  <c r="L113" i="8"/>
  <c r="K113" i="8"/>
  <c r="I113" i="8"/>
  <c r="H113" i="8"/>
  <c r="G113" i="8"/>
  <c r="F113" i="8"/>
  <c r="E113" i="8"/>
  <c r="D113" i="8"/>
  <c r="A113" i="8"/>
  <c r="O112" i="8"/>
  <c r="N112" i="8"/>
  <c r="M112" i="8"/>
  <c r="L112" i="8"/>
  <c r="K112" i="8"/>
  <c r="I112" i="8"/>
  <c r="H112" i="8"/>
  <c r="G112" i="8"/>
  <c r="F112" i="8"/>
  <c r="E112" i="8"/>
  <c r="D112" i="8"/>
  <c r="A112" i="8"/>
  <c r="O111" i="8"/>
  <c r="N111" i="8"/>
  <c r="M111" i="8"/>
  <c r="L111" i="8"/>
  <c r="K111" i="8"/>
  <c r="I111" i="8"/>
  <c r="H111" i="8"/>
  <c r="G111" i="8"/>
  <c r="F111" i="8"/>
  <c r="E111" i="8"/>
  <c r="D111" i="8"/>
  <c r="A111" i="8"/>
  <c r="O110" i="8"/>
  <c r="N110" i="8"/>
  <c r="M110" i="8"/>
  <c r="L110" i="8"/>
  <c r="K110" i="8"/>
  <c r="I110" i="8"/>
  <c r="H110" i="8"/>
  <c r="G110" i="8"/>
  <c r="F110" i="8"/>
  <c r="E110" i="8"/>
  <c r="D110" i="8"/>
  <c r="A110" i="8"/>
  <c r="O109" i="8"/>
  <c r="N109" i="8"/>
  <c r="M109" i="8"/>
  <c r="L109" i="8"/>
  <c r="K109" i="8"/>
  <c r="I109" i="8"/>
  <c r="H109" i="8"/>
  <c r="G109" i="8"/>
  <c r="F109" i="8"/>
  <c r="E109" i="8"/>
  <c r="D109" i="8"/>
  <c r="A109" i="8"/>
  <c r="G108" i="8"/>
  <c r="A108" i="8"/>
  <c r="O107" i="8"/>
  <c r="N107" i="8"/>
  <c r="M107" i="8"/>
  <c r="L107" i="8"/>
  <c r="K107" i="8"/>
  <c r="I107" i="8"/>
  <c r="H107" i="8"/>
  <c r="G107" i="8"/>
  <c r="F107" i="8"/>
  <c r="E107" i="8"/>
  <c r="D107" i="8"/>
  <c r="A107" i="8"/>
  <c r="O106" i="8"/>
  <c r="N106" i="8"/>
  <c r="M106" i="8"/>
  <c r="L106" i="8"/>
  <c r="K106" i="8"/>
  <c r="I106" i="8"/>
  <c r="H106" i="8"/>
  <c r="G106" i="8"/>
  <c r="F106" i="8"/>
  <c r="E106" i="8"/>
  <c r="D106" i="8"/>
  <c r="A106" i="8"/>
  <c r="O105" i="8"/>
  <c r="N105" i="8"/>
  <c r="M105" i="8"/>
  <c r="L105" i="8"/>
  <c r="K105" i="8"/>
  <c r="I105" i="8"/>
  <c r="H105" i="8"/>
  <c r="G105" i="8"/>
  <c r="F105" i="8"/>
  <c r="E105" i="8"/>
  <c r="D105" i="8"/>
  <c r="A105" i="8"/>
  <c r="O104" i="8"/>
  <c r="N104" i="8"/>
  <c r="M104" i="8"/>
  <c r="L104" i="8"/>
  <c r="K104" i="8"/>
  <c r="I104" i="8"/>
  <c r="H104" i="8"/>
  <c r="G104" i="8"/>
  <c r="F104" i="8"/>
  <c r="E104" i="8"/>
  <c r="D104" i="8"/>
  <c r="A104" i="8"/>
  <c r="O103" i="8"/>
  <c r="N103" i="8"/>
  <c r="M103" i="8"/>
  <c r="L103" i="8"/>
  <c r="K103" i="8"/>
  <c r="I103" i="8"/>
  <c r="H103" i="8"/>
  <c r="G103" i="8"/>
  <c r="F103" i="8"/>
  <c r="E103" i="8"/>
  <c r="D103" i="8"/>
  <c r="A103" i="8"/>
  <c r="O102" i="8"/>
  <c r="N102" i="8"/>
  <c r="M102" i="8"/>
  <c r="L102" i="8"/>
  <c r="K102" i="8"/>
  <c r="I102" i="8"/>
  <c r="H102" i="8"/>
  <c r="G102" i="8"/>
  <c r="F102" i="8"/>
  <c r="E102" i="8"/>
  <c r="D102" i="8"/>
  <c r="A102" i="8"/>
  <c r="O101" i="8"/>
  <c r="N101" i="8"/>
  <c r="M101" i="8"/>
  <c r="L101" i="8"/>
  <c r="K101" i="8"/>
  <c r="J101" i="8"/>
  <c r="I101" i="8"/>
  <c r="H101" i="8"/>
  <c r="G101" i="8"/>
  <c r="F101" i="8"/>
  <c r="E101" i="8"/>
  <c r="A101" i="8"/>
  <c r="G100" i="8"/>
  <c r="A100" i="8"/>
  <c r="O99" i="8"/>
  <c r="N99" i="8"/>
  <c r="M99" i="8"/>
  <c r="L99" i="8"/>
  <c r="K99" i="8"/>
  <c r="I99" i="8"/>
  <c r="H99" i="8"/>
  <c r="G99" i="8"/>
  <c r="F99" i="8"/>
  <c r="E99" i="8"/>
  <c r="D99" i="8"/>
  <c r="A99" i="8"/>
  <c r="O98" i="8"/>
  <c r="N98" i="8"/>
  <c r="M98" i="8"/>
  <c r="L98" i="8"/>
  <c r="K98" i="8"/>
  <c r="I98" i="8"/>
  <c r="H98" i="8"/>
  <c r="G98" i="8"/>
  <c r="F98" i="8"/>
  <c r="E98" i="8"/>
  <c r="D98" i="8"/>
  <c r="A98" i="8"/>
  <c r="O97" i="8"/>
  <c r="N97" i="8"/>
  <c r="M97" i="8"/>
  <c r="L97" i="8"/>
  <c r="K97" i="8"/>
  <c r="I97" i="8"/>
  <c r="H97" i="8"/>
  <c r="G97" i="8"/>
  <c r="F97" i="8"/>
  <c r="E97" i="8"/>
  <c r="D97" i="8"/>
  <c r="A97" i="8"/>
  <c r="O96" i="8"/>
  <c r="N96" i="8"/>
  <c r="M96" i="8"/>
  <c r="L96" i="8"/>
  <c r="K96" i="8"/>
  <c r="I96" i="8"/>
  <c r="H96" i="8"/>
  <c r="G96" i="8"/>
  <c r="F96" i="8"/>
  <c r="E96" i="8"/>
  <c r="D96" i="8"/>
  <c r="A96" i="8"/>
  <c r="O95" i="8"/>
  <c r="N95" i="8"/>
  <c r="M95" i="8"/>
  <c r="L95" i="8"/>
  <c r="K95" i="8"/>
  <c r="I95" i="8"/>
  <c r="H95" i="8"/>
  <c r="G95" i="8"/>
  <c r="F95" i="8"/>
  <c r="E95" i="8"/>
  <c r="D95" i="8"/>
  <c r="A95" i="8"/>
  <c r="O94" i="8"/>
  <c r="N94" i="8"/>
  <c r="M94" i="8"/>
  <c r="L94" i="8"/>
  <c r="K94" i="8"/>
  <c r="J94" i="8"/>
  <c r="I94" i="8"/>
  <c r="H94" i="8"/>
  <c r="G94" i="8"/>
  <c r="F94" i="8"/>
  <c r="E94" i="8"/>
  <c r="A94" i="8"/>
  <c r="O93" i="8"/>
  <c r="N93" i="8"/>
  <c r="M93" i="8"/>
  <c r="L93" i="8"/>
  <c r="K93" i="8"/>
  <c r="J93" i="8"/>
  <c r="I93" i="8"/>
  <c r="H93" i="8"/>
  <c r="G93" i="8"/>
  <c r="F93" i="8"/>
  <c r="E93" i="8"/>
  <c r="A93" i="8"/>
  <c r="O92" i="8"/>
  <c r="N92" i="8"/>
  <c r="M92" i="8"/>
  <c r="L92" i="8"/>
  <c r="K92" i="8"/>
  <c r="J92" i="8"/>
  <c r="I92" i="8"/>
  <c r="H92" i="8"/>
  <c r="G92" i="8"/>
  <c r="F92" i="8"/>
  <c r="E92" i="8"/>
  <c r="A92" i="8"/>
  <c r="O91" i="8"/>
  <c r="N91" i="8"/>
  <c r="M91" i="8"/>
  <c r="L91" i="8"/>
  <c r="K91" i="8"/>
  <c r="I91" i="8"/>
  <c r="H91" i="8"/>
  <c r="G91" i="8"/>
  <c r="F91" i="8"/>
  <c r="E91" i="8"/>
  <c r="D91" i="8"/>
  <c r="A91" i="8"/>
  <c r="O90" i="8"/>
  <c r="N90" i="8"/>
  <c r="M90" i="8"/>
  <c r="L90" i="8"/>
  <c r="K90" i="8"/>
  <c r="I90" i="8"/>
  <c r="H90" i="8"/>
  <c r="G90" i="8"/>
  <c r="F90" i="8"/>
  <c r="E90" i="8"/>
  <c r="D90" i="8"/>
  <c r="A90" i="8"/>
  <c r="O89" i="8"/>
  <c r="N89" i="8"/>
  <c r="M89" i="8"/>
  <c r="L89" i="8"/>
  <c r="K89" i="8"/>
  <c r="I89" i="8"/>
  <c r="H89" i="8"/>
  <c r="G89" i="8"/>
  <c r="F89" i="8"/>
  <c r="E89" i="8"/>
  <c r="D89" i="8"/>
  <c r="A89" i="8"/>
  <c r="O88" i="8"/>
  <c r="N88" i="8"/>
  <c r="M88" i="8"/>
  <c r="L88" i="8"/>
  <c r="K88" i="8"/>
  <c r="J88" i="8"/>
  <c r="I88" i="8"/>
  <c r="H88" i="8"/>
  <c r="G88" i="8"/>
  <c r="F88" i="8"/>
  <c r="E88" i="8"/>
  <c r="A88" i="8"/>
  <c r="O87" i="8"/>
  <c r="N87" i="8"/>
  <c r="M87" i="8"/>
  <c r="L87" i="8"/>
  <c r="K87" i="8"/>
  <c r="J87" i="8"/>
  <c r="I87" i="8"/>
  <c r="H87" i="8"/>
  <c r="G87" i="8"/>
  <c r="F87" i="8"/>
  <c r="E87" i="8"/>
  <c r="A87" i="8"/>
  <c r="O86" i="8"/>
  <c r="N86" i="8"/>
  <c r="M86" i="8"/>
  <c r="L86" i="8"/>
  <c r="K86" i="8"/>
  <c r="J86" i="8"/>
  <c r="I86" i="8"/>
  <c r="H86" i="8"/>
  <c r="G86" i="8"/>
  <c r="F86" i="8"/>
  <c r="E86" i="8"/>
  <c r="A86" i="8"/>
  <c r="O85" i="8"/>
  <c r="N85" i="8"/>
  <c r="M85" i="8"/>
  <c r="L85" i="8"/>
  <c r="K85" i="8"/>
  <c r="J85" i="8"/>
  <c r="I85" i="8"/>
  <c r="H85" i="8"/>
  <c r="G85" i="8"/>
  <c r="F85" i="8"/>
  <c r="E85" i="8"/>
  <c r="A85" i="8"/>
  <c r="O84" i="8"/>
  <c r="N84" i="8"/>
  <c r="M84" i="8"/>
  <c r="L84" i="8"/>
  <c r="K84" i="8"/>
  <c r="J84" i="8"/>
  <c r="I84" i="8"/>
  <c r="H84" i="8"/>
  <c r="G84" i="8"/>
  <c r="F84" i="8"/>
  <c r="E84" i="8"/>
  <c r="A84" i="8"/>
  <c r="O83" i="8"/>
  <c r="N83" i="8"/>
  <c r="M83" i="8"/>
  <c r="L83" i="8"/>
  <c r="K83" i="8"/>
  <c r="J83" i="8"/>
  <c r="I83" i="8"/>
  <c r="H83" i="8"/>
  <c r="G83" i="8"/>
  <c r="F83" i="8"/>
  <c r="E83" i="8"/>
  <c r="A83" i="8"/>
  <c r="O82" i="8"/>
  <c r="N82" i="8"/>
  <c r="M82" i="8"/>
  <c r="L82" i="8"/>
  <c r="K82" i="8"/>
  <c r="J82" i="8"/>
  <c r="I82" i="8"/>
  <c r="H82" i="8"/>
  <c r="G82" i="8"/>
  <c r="F82" i="8"/>
  <c r="E82" i="8"/>
  <c r="A82" i="8"/>
  <c r="O81" i="8"/>
  <c r="N81" i="8"/>
  <c r="M81" i="8"/>
  <c r="L81" i="8"/>
  <c r="K81" i="8"/>
  <c r="I81" i="8"/>
  <c r="H81" i="8"/>
  <c r="G81" i="8"/>
  <c r="F81" i="8"/>
  <c r="E81" i="8"/>
  <c r="D81" i="8"/>
  <c r="A81" i="8"/>
  <c r="O80" i="8"/>
  <c r="N80" i="8"/>
  <c r="M80" i="8"/>
  <c r="L80" i="8"/>
  <c r="K80" i="8"/>
  <c r="J80" i="8"/>
  <c r="I80" i="8"/>
  <c r="H80" i="8"/>
  <c r="G80" i="8"/>
  <c r="F80" i="8"/>
  <c r="E80" i="8"/>
  <c r="A80" i="8"/>
  <c r="O79" i="8"/>
  <c r="N79" i="8"/>
  <c r="M79" i="8"/>
  <c r="L79" i="8"/>
  <c r="K79" i="8"/>
  <c r="J79" i="8"/>
  <c r="I79" i="8"/>
  <c r="H79" i="8"/>
  <c r="G79" i="8"/>
  <c r="F79" i="8"/>
  <c r="E79" i="8"/>
  <c r="A79" i="8"/>
  <c r="O78" i="8"/>
  <c r="N78" i="8"/>
  <c r="M78" i="8"/>
  <c r="L78" i="8"/>
  <c r="K78" i="8"/>
  <c r="I78" i="8"/>
  <c r="H78" i="8"/>
  <c r="G78" i="8"/>
  <c r="F78" i="8"/>
  <c r="E78" i="8"/>
  <c r="D78" i="8"/>
  <c r="A78" i="8"/>
  <c r="O77" i="8"/>
  <c r="N77" i="8"/>
  <c r="M77" i="8"/>
  <c r="L77" i="8"/>
  <c r="K77" i="8"/>
  <c r="J77" i="8"/>
  <c r="I77" i="8"/>
  <c r="H77" i="8"/>
  <c r="G77" i="8"/>
  <c r="F77" i="8"/>
  <c r="E77" i="8"/>
  <c r="A77" i="8"/>
  <c r="G76" i="8"/>
  <c r="A76" i="8"/>
  <c r="O75" i="8"/>
  <c r="N75" i="8"/>
  <c r="M75" i="8"/>
  <c r="L75" i="8"/>
  <c r="K75" i="8"/>
  <c r="I75" i="8"/>
  <c r="H75" i="8"/>
  <c r="G75" i="8"/>
  <c r="F75" i="8"/>
  <c r="E75" i="8"/>
  <c r="D75" i="8"/>
  <c r="A75" i="8"/>
  <c r="O74" i="8"/>
  <c r="N74" i="8"/>
  <c r="M74" i="8"/>
  <c r="L74" i="8"/>
  <c r="K74" i="8"/>
  <c r="I74" i="8"/>
  <c r="H74" i="8"/>
  <c r="G74" i="8"/>
  <c r="F74" i="8"/>
  <c r="E74" i="8"/>
  <c r="D74" i="8"/>
  <c r="A74" i="8"/>
  <c r="O73" i="8"/>
  <c r="N73" i="8"/>
  <c r="M73" i="8"/>
  <c r="L73" i="8"/>
  <c r="K73" i="8"/>
  <c r="I73" i="8"/>
  <c r="H73" i="8"/>
  <c r="G73" i="8"/>
  <c r="F73" i="8"/>
  <c r="E73" i="8"/>
  <c r="D73" i="8"/>
  <c r="A73" i="8"/>
  <c r="O72" i="8"/>
  <c r="N72" i="8"/>
  <c r="M72" i="8"/>
  <c r="L72" i="8"/>
  <c r="K72" i="8"/>
  <c r="J72" i="8"/>
  <c r="I72" i="8"/>
  <c r="H72" i="8"/>
  <c r="G72" i="8"/>
  <c r="F72" i="8"/>
  <c r="E72" i="8"/>
  <c r="A72" i="8"/>
  <c r="O71" i="8"/>
  <c r="N71" i="8"/>
  <c r="M71" i="8"/>
  <c r="L71" i="8"/>
  <c r="K71" i="8"/>
  <c r="I71" i="8"/>
  <c r="H71" i="8"/>
  <c r="G71" i="8"/>
  <c r="F71" i="8"/>
  <c r="E71" i="8"/>
  <c r="D71" i="8"/>
  <c r="A71" i="8"/>
  <c r="O70" i="8"/>
  <c r="N70" i="8"/>
  <c r="M70" i="8"/>
  <c r="L70" i="8"/>
  <c r="K70" i="8"/>
  <c r="I70" i="8"/>
  <c r="H70" i="8"/>
  <c r="G70" i="8"/>
  <c r="F70" i="8"/>
  <c r="E70" i="8"/>
  <c r="D70" i="8"/>
  <c r="A70" i="8"/>
  <c r="O69" i="8"/>
  <c r="N69" i="8"/>
  <c r="M69" i="8"/>
  <c r="L69" i="8"/>
  <c r="K69" i="8"/>
  <c r="J69" i="8"/>
  <c r="I69" i="8"/>
  <c r="H69" i="8"/>
  <c r="G69" i="8"/>
  <c r="F69" i="8"/>
  <c r="E69" i="8"/>
  <c r="A69" i="8"/>
  <c r="O68" i="8"/>
  <c r="N68" i="8"/>
  <c r="M68" i="8"/>
  <c r="L68" i="8"/>
  <c r="K68" i="8"/>
  <c r="I68" i="8"/>
  <c r="H68" i="8"/>
  <c r="G68" i="8"/>
  <c r="F68" i="8"/>
  <c r="E68" i="8"/>
  <c r="D68" i="8"/>
  <c r="A68" i="8"/>
  <c r="O67" i="8"/>
  <c r="N67" i="8"/>
  <c r="M67" i="8"/>
  <c r="L67" i="8"/>
  <c r="K67" i="8"/>
  <c r="I67" i="8"/>
  <c r="H67" i="8"/>
  <c r="G67" i="8"/>
  <c r="F67" i="8"/>
  <c r="E67" i="8"/>
  <c r="D67" i="8"/>
  <c r="A67" i="8"/>
  <c r="O66" i="8"/>
  <c r="N66" i="8"/>
  <c r="M66" i="8"/>
  <c r="L66" i="8"/>
  <c r="K66" i="8"/>
  <c r="J66" i="8"/>
  <c r="I66" i="8"/>
  <c r="H66" i="8"/>
  <c r="G66" i="8"/>
  <c r="F66" i="8"/>
  <c r="E66" i="8"/>
  <c r="A66" i="8"/>
  <c r="O65" i="8"/>
  <c r="N65" i="8"/>
  <c r="M65" i="8"/>
  <c r="L65" i="8"/>
  <c r="K65" i="8"/>
  <c r="I65" i="8"/>
  <c r="H65" i="8"/>
  <c r="G65" i="8"/>
  <c r="F65" i="8"/>
  <c r="E65" i="8"/>
  <c r="D65" i="8"/>
  <c r="A65" i="8"/>
  <c r="O64" i="8"/>
  <c r="N64" i="8"/>
  <c r="M64" i="8"/>
  <c r="L64" i="8"/>
  <c r="K64" i="8"/>
  <c r="J64" i="8"/>
  <c r="I64" i="8"/>
  <c r="H64" i="8"/>
  <c r="G64" i="8"/>
  <c r="F64" i="8"/>
  <c r="E64" i="8"/>
  <c r="A64" i="8"/>
  <c r="O63" i="8"/>
  <c r="N63" i="8"/>
  <c r="M63" i="8"/>
  <c r="L63" i="8"/>
  <c r="K63" i="8"/>
  <c r="J63" i="8"/>
  <c r="I63" i="8"/>
  <c r="H63" i="8"/>
  <c r="G63" i="8"/>
  <c r="F63" i="8"/>
  <c r="E63" i="8"/>
  <c r="A63" i="8"/>
  <c r="G62" i="8"/>
  <c r="A62" i="8"/>
  <c r="O61" i="8"/>
  <c r="N61" i="8"/>
  <c r="M61" i="8"/>
  <c r="L61" i="8"/>
  <c r="K61" i="8"/>
  <c r="I61" i="8"/>
  <c r="H61" i="8"/>
  <c r="G61" i="8"/>
  <c r="F61" i="8"/>
  <c r="E61" i="8"/>
  <c r="D61" i="8"/>
  <c r="A61" i="8"/>
  <c r="O60" i="8"/>
  <c r="N60" i="8"/>
  <c r="M60" i="8"/>
  <c r="L60" i="8"/>
  <c r="K60" i="8"/>
  <c r="J60" i="8"/>
  <c r="I60" i="8"/>
  <c r="H60" i="8"/>
  <c r="G60" i="8"/>
  <c r="F60" i="8"/>
  <c r="E60" i="8"/>
  <c r="A60" i="8"/>
  <c r="O59" i="8"/>
  <c r="N59" i="8"/>
  <c r="M59" i="8"/>
  <c r="L59" i="8"/>
  <c r="K59" i="8"/>
  <c r="I59" i="8"/>
  <c r="H59" i="8"/>
  <c r="G59" i="8"/>
  <c r="F59" i="8"/>
  <c r="E59" i="8"/>
  <c r="D59" i="8"/>
  <c r="A59" i="8"/>
  <c r="O58" i="8"/>
  <c r="N58" i="8"/>
  <c r="M58" i="8"/>
  <c r="L58" i="8"/>
  <c r="K58" i="8"/>
  <c r="I58" i="8"/>
  <c r="H58" i="8"/>
  <c r="G58" i="8"/>
  <c r="F58" i="8"/>
  <c r="E58" i="8"/>
  <c r="D58" i="8"/>
  <c r="A58" i="8"/>
  <c r="O57" i="8"/>
  <c r="N57" i="8"/>
  <c r="M57" i="8"/>
  <c r="L57" i="8"/>
  <c r="K57" i="8"/>
  <c r="J57" i="8"/>
  <c r="I57" i="8"/>
  <c r="H57" i="8"/>
  <c r="G57" i="8"/>
  <c r="F57" i="8"/>
  <c r="E57" i="8"/>
  <c r="A57" i="8"/>
  <c r="O56" i="8"/>
  <c r="N56" i="8"/>
  <c r="M56" i="8"/>
  <c r="L56" i="8"/>
  <c r="K56" i="8"/>
  <c r="J56" i="8"/>
  <c r="I56" i="8"/>
  <c r="H56" i="8"/>
  <c r="G56" i="8"/>
  <c r="F56" i="8"/>
  <c r="E56" i="8"/>
  <c r="A56" i="8"/>
  <c r="O55" i="8"/>
  <c r="N55" i="8"/>
  <c r="M55" i="8"/>
  <c r="L55" i="8"/>
  <c r="K55" i="8"/>
  <c r="J55" i="8"/>
  <c r="I55" i="8"/>
  <c r="H55" i="8"/>
  <c r="G55" i="8"/>
  <c r="F55" i="8"/>
  <c r="E55" i="8"/>
  <c r="A55" i="8"/>
  <c r="O54" i="8"/>
  <c r="N54" i="8"/>
  <c r="M54" i="8"/>
  <c r="L54" i="8"/>
  <c r="K54" i="8"/>
  <c r="J54" i="8"/>
  <c r="I54" i="8"/>
  <c r="H54" i="8"/>
  <c r="G54" i="8"/>
  <c r="F54" i="8"/>
  <c r="E54" i="8"/>
  <c r="A54" i="8"/>
  <c r="O53" i="8"/>
  <c r="N53" i="8"/>
  <c r="M53" i="8"/>
  <c r="L53" i="8"/>
  <c r="K53" i="8"/>
  <c r="J53" i="8"/>
  <c r="I53" i="8"/>
  <c r="H53" i="8"/>
  <c r="G53" i="8"/>
  <c r="F53" i="8"/>
  <c r="E53" i="8"/>
  <c r="A53" i="8"/>
  <c r="O52" i="8"/>
  <c r="N52" i="8"/>
  <c r="M52" i="8"/>
  <c r="L52" i="8"/>
  <c r="K52" i="8"/>
  <c r="J52" i="8"/>
  <c r="I52" i="8"/>
  <c r="H52" i="8"/>
  <c r="G52" i="8"/>
  <c r="F52" i="8"/>
  <c r="E52" i="8"/>
  <c r="A52" i="8"/>
  <c r="O51" i="8"/>
  <c r="N51" i="8"/>
  <c r="M51" i="8"/>
  <c r="L51" i="8"/>
  <c r="K51" i="8"/>
  <c r="I51" i="8"/>
  <c r="H51" i="8"/>
  <c r="G51" i="8"/>
  <c r="F51" i="8"/>
  <c r="E51" i="8"/>
  <c r="D51" i="8"/>
  <c r="A51" i="8"/>
  <c r="O50" i="8"/>
  <c r="N50" i="8"/>
  <c r="M50" i="8"/>
  <c r="L50" i="8"/>
  <c r="K50" i="8"/>
  <c r="I50" i="8"/>
  <c r="H50" i="8"/>
  <c r="G50" i="8"/>
  <c r="F50" i="8"/>
  <c r="E50" i="8"/>
  <c r="D50" i="8"/>
  <c r="A50" i="8"/>
  <c r="O49" i="8"/>
  <c r="N49" i="8"/>
  <c r="M49" i="8"/>
  <c r="L49" i="8"/>
  <c r="K49" i="8"/>
  <c r="J49" i="8"/>
  <c r="I49" i="8"/>
  <c r="H49" i="8"/>
  <c r="G49" i="8"/>
  <c r="F49" i="8"/>
  <c r="E49" i="8"/>
  <c r="A49" i="8"/>
  <c r="O48" i="8"/>
  <c r="N48" i="8"/>
  <c r="M48" i="8"/>
  <c r="L48" i="8"/>
  <c r="K48" i="8"/>
  <c r="J48" i="8"/>
  <c r="I48" i="8"/>
  <c r="H48" i="8"/>
  <c r="G48" i="8"/>
  <c r="F48" i="8"/>
  <c r="E48" i="8"/>
  <c r="A48" i="8"/>
  <c r="O47" i="8"/>
  <c r="N47" i="8"/>
  <c r="M47" i="8"/>
  <c r="L47" i="8"/>
  <c r="K47" i="8"/>
  <c r="I47" i="8"/>
  <c r="H47" i="8"/>
  <c r="G47" i="8"/>
  <c r="F47" i="8"/>
  <c r="E47" i="8"/>
  <c r="D47" i="8"/>
  <c r="A47" i="8"/>
  <c r="O46" i="8"/>
  <c r="N46" i="8"/>
  <c r="M46" i="8"/>
  <c r="L46" i="8"/>
  <c r="K46" i="8"/>
  <c r="I46" i="8"/>
  <c r="H46" i="8"/>
  <c r="G46" i="8"/>
  <c r="F46" i="8"/>
  <c r="E46" i="8"/>
  <c r="D46" i="8"/>
  <c r="A46" i="8"/>
  <c r="O45" i="8"/>
  <c r="N45" i="8"/>
  <c r="M45" i="8"/>
  <c r="L45" i="8"/>
  <c r="K45" i="8"/>
  <c r="J45" i="8"/>
  <c r="I45" i="8"/>
  <c r="H45" i="8"/>
  <c r="G45" i="8"/>
  <c r="F45" i="8"/>
  <c r="E45" i="8"/>
  <c r="A45" i="8"/>
  <c r="O44" i="8"/>
  <c r="N44" i="8"/>
  <c r="M44" i="8"/>
  <c r="L44" i="8"/>
  <c r="K44" i="8"/>
  <c r="I44" i="8"/>
  <c r="H44" i="8"/>
  <c r="G44" i="8"/>
  <c r="F44" i="8"/>
  <c r="E44" i="8"/>
  <c r="D44" i="8"/>
  <c r="A44" i="8"/>
  <c r="O43" i="8"/>
  <c r="N43" i="8"/>
  <c r="M43" i="8"/>
  <c r="L43" i="8"/>
  <c r="K43" i="8"/>
  <c r="I43" i="8"/>
  <c r="H43" i="8"/>
  <c r="G43" i="8"/>
  <c r="F43" i="8"/>
  <c r="E43" i="8"/>
  <c r="D43" i="8"/>
  <c r="A43" i="8"/>
  <c r="O42" i="8"/>
  <c r="N42" i="8"/>
  <c r="M42" i="8"/>
  <c r="L42" i="8"/>
  <c r="K42" i="8"/>
  <c r="I42" i="8"/>
  <c r="H42" i="8"/>
  <c r="G42" i="8"/>
  <c r="F42" i="8"/>
  <c r="E42" i="8"/>
  <c r="D42" i="8"/>
  <c r="A42" i="8"/>
  <c r="O41" i="8"/>
  <c r="N41" i="8"/>
  <c r="M41" i="8"/>
  <c r="L41" i="8"/>
  <c r="K41" i="8"/>
  <c r="J41" i="8"/>
  <c r="I41" i="8"/>
  <c r="H41" i="8"/>
  <c r="G41" i="8"/>
  <c r="F41" i="8"/>
  <c r="E41" i="8"/>
  <c r="A41" i="8"/>
  <c r="O40" i="8"/>
  <c r="N40" i="8"/>
  <c r="M40" i="8"/>
  <c r="L40" i="8"/>
  <c r="K40" i="8"/>
  <c r="I40" i="8"/>
  <c r="H40" i="8"/>
  <c r="G40" i="8"/>
  <c r="F40" i="8"/>
  <c r="E40" i="8"/>
  <c r="D40" i="8"/>
  <c r="A40" i="8"/>
  <c r="O39" i="8"/>
  <c r="N39" i="8"/>
  <c r="M39" i="8"/>
  <c r="L39" i="8"/>
  <c r="K39" i="8"/>
  <c r="I39" i="8"/>
  <c r="H39" i="8"/>
  <c r="G39" i="8"/>
  <c r="F39" i="8"/>
  <c r="E39" i="8"/>
  <c r="D39" i="8"/>
  <c r="A39" i="8"/>
  <c r="O38" i="8"/>
  <c r="N38" i="8"/>
  <c r="M38" i="8"/>
  <c r="L38" i="8"/>
  <c r="K38" i="8"/>
  <c r="I38" i="8"/>
  <c r="H38" i="8"/>
  <c r="G38" i="8"/>
  <c r="F38" i="8"/>
  <c r="E38" i="8"/>
  <c r="D38" i="8"/>
  <c r="A38" i="8"/>
  <c r="O37" i="8"/>
  <c r="N37" i="8"/>
  <c r="M37" i="8"/>
  <c r="L37" i="8"/>
  <c r="K37" i="8"/>
  <c r="I37" i="8"/>
  <c r="H37" i="8"/>
  <c r="G37" i="8"/>
  <c r="F37" i="8"/>
  <c r="E37" i="8"/>
  <c r="D37" i="8"/>
  <c r="A37" i="8"/>
  <c r="O36" i="8"/>
  <c r="N36" i="8"/>
  <c r="M36" i="8"/>
  <c r="L36" i="8"/>
  <c r="K36" i="8"/>
  <c r="I36" i="8"/>
  <c r="H36" i="8"/>
  <c r="G36" i="8"/>
  <c r="F36" i="8"/>
  <c r="E36" i="8"/>
  <c r="D36" i="8"/>
  <c r="A36" i="8"/>
  <c r="O35" i="8"/>
  <c r="N35" i="8"/>
  <c r="M35" i="8"/>
  <c r="L35" i="8"/>
  <c r="K35" i="8"/>
  <c r="I35" i="8"/>
  <c r="H35" i="8"/>
  <c r="G35" i="8"/>
  <c r="F35" i="8"/>
  <c r="E35" i="8"/>
  <c r="D35" i="8"/>
  <c r="A35" i="8"/>
  <c r="O34" i="8"/>
  <c r="N34" i="8"/>
  <c r="M34" i="8"/>
  <c r="L34" i="8"/>
  <c r="K34" i="8"/>
  <c r="J34" i="8"/>
  <c r="I34" i="8"/>
  <c r="H34" i="8"/>
  <c r="G34" i="8"/>
  <c r="F34" i="8"/>
  <c r="E34" i="8"/>
  <c r="A34" i="8"/>
  <c r="O33" i="8"/>
  <c r="N33" i="8"/>
  <c r="M33" i="8"/>
  <c r="L33" i="8"/>
  <c r="K33" i="8"/>
  <c r="J33" i="8"/>
  <c r="I33" i="8"/>
  <c r="H33" i="8"/>
  <c r="G33" i="8"/>
  <c r="F33" i="8"/>
  <c r="E33" i="8"/>
  <c r="A33" i="8"/>
  <c r="O32" i="8"/>
  <c r="N32" i="8"/>
  <c r="M32" i="8"/>
  <c r="L32" i="8"/>
  <c r="K32" i="8"/>
  <c r="I32" i="8"/>
  <c r="H32" i="8"/>
  <c r="G32" i="8"/>
  <c r="F32" i="8"/>
  <c r="E32" i="8"/>
  <c r="D32" i="8"/>
  <c r="A32" i="8"/>
  <c r="O31" i="8"/>
  <c r="N31" i="8"/>
  <c r="M31" i="8"/>
  <c r="L31" i="8"/>
  <c r="K31" i="8"/>
  <c r="J31" i="8"/>
  <c r="I31" i="8"/>
  <c r="H31" i="8"/>
  <c r="G31" i="8"/>
  <c r="F31" i="8"/>
  <c r="E31" i="8"/>
  <c r="A31" i="8"/>
  <c r="O30" i="8"/>
  <c r="N30" i="8"/>
  <c r="M30" i="8"/>
  <c r="L30" i="8"/>
  <c r="K30" i="8"/>
  <c r="J30" i="8"/>
  <c r="I30" i="8"/>
  <c r="H30" i="8"/>
  <c r="G30" i="8"/>
  <c r="F30" i="8"/>
  <c r="E30" i="8"/>
  <c r="A30" i="8"/>
  <c r="O29" i="8"/>
  <c r="N29" i="8"/>
  <c r="M29" i="8"/>
  <c r="L29" i="8"/>
  <c r="K29" i="8"/>
  <c r="I29" i="8"/>
  <c r="H29" i="8"/>
  <c r="G29" i="8"/>
  <c r="F29" i="8"/>
  <c r="E29" i="8"/>
  <c r="D29" i="8"/>
  <c r="A29" i="8"/>
  <c r="O28" i="8"/>
  <c r="N28" i="8"/>
  <c r="M28" i="8"/>
  <c r="L28" i="8"/>
  <c r="K28" i="8"/>
  <c r="J28" i="8"/>
  <c r="I28" i="8"/>
  <c r="H28" i="8"/>
  <c r="G28" i="8"/>
  <c r="F28" i="8"/>
  <c r="E28" i="8"/>
  <c r="A28" i="8"/>
  <c r="G27" i="8"/>
  <c r="A27" i="8"/>
  <c r="G26" i="8"/>
  <c r="A26" i="8"/>
  <c r="O25" i="8"/>
  <c r="N25" i="8"/>
  <c r="M25" i="8"/>
  <c r="L25" i="8"/>
  <c r="K25" i="8"/>
  <c r="I25" i="8"/>
  <c r="H25" i="8"/>
  <c r="G25" i="8"/>
  <c r="F25" i="8"/>
  <c r="E25" i="8"/>
  <c r="D25" i="8"/>
  <c r="A25" i="8"/>
  <c r="O24" i="8"/>
  <c r="N24" i="8"/>
  <c r="M24" i="8"/>
  <c r="L24" i="8"/>
  <c r="K24" i="8"/>
  <c r="J24" i="8"/>
  <c r="I24" i="8"/>
  <c r="H24" i="8"/>
  <c r="G24" i="8"/>
  <c r="F24" i="8"/>
  <c r="E24" i="8"/>
  <c r="A24" i="8"/>
  <c r="O23" i="8"/>
  <c r="N23" i="8"/>
  <c r="M23" i="8"/>
  <c r="L23" i="8"/>
  <c r="K23" i="8"/>
  <c r="J23" i="8"/>
  <c r="I23" i="8"/>
  <c r="H23" i="8"/>
  <c r="G23" i="8"/>
  <c r="F23" i="8"/>
  <c r="E23" i="8"/>
  <c r="A23" i="8"/>
  <c r="O22" i="8"/>
  <c r="N22" i="8"/>
  <c r="M22" i="8"/>
  <c r="L22" i="8"/>
  <c r="K22" i="8"/>
  <c r="I22" i="8"/>
  <c r="H22" i="8"/>
  <c r="G22" i="8"/>
  <c r="F22" i="8"/>
  <c r="E22" i="8"/>
  <c r="D22" i="8"/>
  <c r="A22" i="8"/>
  <c r="O21" i="8"/>
  <c r="N21" i="8"/>
  <c r="M21" i="8"/>
  <c r="L21" i="8"/>
  <c r="K21" i="8"/>
  <c r="I21" i="8"/>
  <c r="H21" i="8"/>
  <c r="G21" i="8"/>
  <c r="F21" i="8"/>
  <c r="E21" i="8"/>
  <c r="D21" i="8"/>
  <c r="A21" i="8"/>
  <c r="O20" i="8"/>
  <c r="N20" i="8"/>
  <c r="M20" i="8"/>
  <c r="L20" i="8"/>
  <c r="K20" i="8"/>
  <c r="J20" i="8"/>
  <c r="I20" i="8"/>
  <c r="H20" i="8"/>
  <c r="G20" i="8"/>
  <c r="F20" i="8"/>
  <c r="E20" i="8"/>
  <c r="A20" i="8"/>
  <c r="O19" i="8"/>
  <c r="N19" i="8"/>
  <c r="M19" i="8"/>
  <c r="L19" i="8"/>
  <c r="K19" i="8"/>
  <c r="J19" i="8"/>
  <c r="I19" i="8"/>
  <c r="H19" i="8"/>
  <c r="G19" i="8"/>
  <c r="F19" i="8"/>
  <c r="E19" i="8"/>
  <c r="A19" i="8"/>
  <c r="G18" i="8"/>
  <c r="A18" i="8"/>
  <c r="G17" i="8"/>
  <c r="A17" i="8"/>
  <c r="O16" i="8"/>
  <c r="N16" i="8"/>
  <c r="M16" i="8"/>
  <c r="L16" i="8"/>
  <c r="K16" i="8"/>
  <c r="I16" i="8"/>
  <c r="H16" i="8"/>
  <c r="G16" i="8"/>
  <c r="F16" i="8"/>
  <c r="E16" i="8"/>
  <c r="D16" i="8"/>
  <c r="A16" i="8"/>
  <c r="O15" i="8"/>
  <c r="N15" i="8"/>
  <c r="M15" i="8"/>
  <c r="L15" i="8"/>
  <c r="K15" i="8"/>
  <c r="J15" i="8"/>
  <c r="I15" i="8"/>
  <c r="H15" i="8"/>
  <c r="G15" i="8"/>
  <c r="F15" i="8"/>
  <c r="E15" i="8"/>
  <c r="A15" i="8"/>
  <c r="O14" i="8"/>
  <c r="N14" i="8"/>
  <c r="M14" i="8"/>
  <c r="L14" i="8"/>
  <c r="K14" i="8"/>
  <c r="I14" i="8"/>
  <c r="H14" i="8"/>
  <c r="G14" i="8"/>
  <c r="F14" i="8"/>
  <c r="E14" i="8"/>
  <c r="D14" i="8"/>
  <c r="A14" i="8"/>
  <c r="O13" i="8"/>
  <c r="N13" i="8"/>
  <c r="M13" i="8"/>
  <c r="L13" i="8"/>
  <c r="K13" i="8"/>
  <c r="J13" i="8"/>
  <c r="I13" i="8"/>
  <c r="H13" i="8"/>
  <c r="G13" i="8"/>
  <c r="F13" i="8"/>
  <c r="E13" i="8"/>
  <c r="A13" i="8"/>
  <c r="O12" i="8"/>
  <c r="N12" i="8"/>
  <c r="M12" i="8"/>
  <c r="L12" i="8"/>
  <c r="K12" i="8"/>
  <c r="I12" i="8"/>
  <c r="H12" i="8"/>
  <c r="G12" i="8"/>
  <c r="F12" i="8"/>
  <c r="E12" i="8"/>
  <c r="D12" i="8"/>
  <c r="A12" i="8"/>
  <c r="O11" i="8"/>
  <c r="N11" i="8"/>
  <c r="M11" i="8"/>
  <c r="L11" i="8"/>
  <c r="K11" i="8"/>
  <c r="I11" i="8"/>
  <c r="H11" i="8"/>
  <c r="G11" i="8"/>
  <c r="F11" i="8"/>
  <c r="E11" i="8"/>
  <c r="D11" i="8"/>
  <c r="A11" i="8"/>
  <c r="O10" i="8"/>
  <c r="N10" i="8"/>
  <c r="M10" i="8"/>
  <c r="L10" i="8"/>
  <c r="K10" i="8"/>
  <c r="I10" i="8"/>
  <c r="H10" i="8"/>
  <c r="G10" i="8"/>
  <c r="F10" i="8"/>
  <c r="E10" i="8"/>
  <c r="D10" i="8"/>
  <c r="A10" i="8"/>
  <c r="O9" i="8"/>
  <c r="N9" i="8"/>
  <c r="M9" i="8"/>
  <c r="L9" i="8"/>
  <c r="K9" i="8"/>
  <c r="J9" i="8"/>
  <c r="I9" i="8"/>
  <c r="H9" i="8"/>
  <c r="G9" i="8"/>
  <c r="F9" i="8"/>
  <c r="E9" i="8"/>
  <c r="A9" i="8"/>
  <c r="O8" i="8"/>
  <c r="N8" i="8"/>
  <c r="M8" i="8"/>
  <c r="L8" i="8"/>
  <c r="K8" i="8"/>
  <c r="I8" i="8"/>
  <c r="H8" i="8"/>
  <c r="G8" i="8"/>
  <c r="F8" i="8"/>
  <c r="E8" i="8"/>
  <c r="D8" i="8"/>
  <c r="A8" i="8"/>
  <c r="G7" i="8"/>
  <c r="A7" i="8"/>
  <c r="G6" i="8"/>
  <c r="A6" i="8"/>
  <c r="D144" i="6"/>
  <c r="C144" i="6"/>
  <c r="B144" i="6"/>
  <c r="A144" i="6"/>
  <c r="D143" i="6"/>
  <c r="C143" i="6"/>
  <c r="B143" i="6"/>
  <c r="A143" i="6"/>
  <c r="D142" i="6"/>
  <c r="C142" i="6"/>
  <c r="B142" i="6"/>
  <c r="A142" i="6"/>
  <c r="A141" i="6"/>
  <c r="D140" i="6"/>
  <c r="C140" i="6"/>
  <c r="B140" i="6"/>
  <c r="A140" i="6"/>
  <c r="D139" i="6"/>
  <c r="C139" i="6"/>
  <c r="B139" i="6"/>
  <c r="A139" i="6"/>
  <c r="D138" i="6"/>
  <c r="C138" i="6"/>
  <c r="B138" i="6"/>
  <c r="A138" i="6"/>
  <c r="D137" i="6"/>
  <c r="C137" i="6"/>
  <c r="B137" i="6"/>
  <c r="A137" i="6"/>
  <c r="D136" i="6"/>
  <c r="C136" i="6"/>
  <c r="B136" i="6"/>
  <c r="A136" i="6"/>
  <c r="A135" i="6"/>
  <c r="D134" i="6"/>
  <c r="C134" i="6"/>
  <c r="B134" i="6"/>
  <c r="A134" i="6"/>
  <c r="D133" i="6"/>
  <c r="C133" i="6"/>
  <c r="B133" i="6"/>
  <c r="A133" i="6"/>
  <c r="D132" i="6"/>
  <c r="C132" i="6"/>
  <c r="B132" i="6"/>
  <c r="A132" i="6"/>
  <c r="D131" i="6"/>
  <c r="C131" i="6"/>
  <c r="B131" i="6"/>
  <c r="A131" i="6"/>
  <c r="D130" i="6"/>
  <c r="C130" i="6"/>
  <c r="B130" i="6"/>
  <c r="A130" i="6"/>
  <c r="D129" i="6"/>
  <c r="C129" i="6"/>
  <c r="B129" i="6"/>
  <c r="A129" i="6"/>
  <c r="D128" i="6"/>
  <c r="C128" i="6"/>
  <c r="B128" i="6"/>
  <c r="A128" i="6"/>
  <c r="D127" i="6"/>
  <c r="C127" i="6"/>
  <c r="B127" i="6"/>
  <c r="A127" i="6"/>
  <c r="D126" i="6"/>
  <c r="C126" i="6"/>
  <c r="B126" i="6"/>
  <c r="A126" i="6"/>
  <c r="D125" i="6"/>
  <c r="C125" i="6"/>
  <c r="B125" i="6"/>
  <c r="A125" i="6"/>
  <c r="D124" i="6"/>
  <c r="C124" i="6"/>
  <c r="B124" i="6"/>
  <c r="A124" i="6"/>
  <c r="D123" i="6"/>
  <c r="C123" i="6"/>
  <c r="B123" i="6"/>
  <c r="A123" i="6"/>
  <c r="D122" i="6"/>
  <c r="C122" i="6"/>
  <c r="B122" i="6"/>
  <c r="A122" i="6"/>
  <c r="D121" i="6"/>
  <c r="C121" i="6"/>
  <c r="B121" i="6"/>
  <c r="A121" i="6"/>
  <c r="A120" i="6"/>
  <c r="D119" i="6"/>
  <c r="C119" i="6"/>
  <c r="B119" i="6"/>
  <c r="A119" i="6"/>
  <c r="D118" i="6"/>
  <c r="C118" i="6"/>
  <c r="B118" i="6"/>
  <c r="A118" i="6"/>
  <c r="D117" i="6"/>
  <c r="C117" i="6"/>
  <c r="B117" i="6"/>
  <c r="A117" i="6"/>
  <c r="D116" i="6"/>
  <c r="C116" i="6"/>
  <c r="B116" i="6"/>
  <c r="A116" i="6"/>
  <c r="D115" i="6"/>
  <c r="C115" i="6"/>
  <c r="B115" i="6"/>
  <c r="A115" i="6"/>
  <c r="D114" i="6"/>
  <c r="C114" i="6"/>
  <c r="B114" i="6"/>
  <c r="A114" i="6"/>
  <c r="D113" i="6"/>
  <c r="C113" i="6"/>
  <c r="B113" i="6"/>
  <c r="A113" i="6"/>
  <c r="D112" i="6"/>
  <c r="C112" i="6"/>
  <c r="B112" i="6"/>
  <c r="A112" i="6"/>
  <c r="D111" i="6"/>
  <c r="C111" i="6"/>
  <c r="B111" i="6"/>
  <c r="A111" i="6"/>
  <c r="D110" i="6"/>
  <c r="C110" i="6"/>
  <c r="B110" i="6"/>
  <c r="A110" i="6"/>
  <c r="D109" i="6"/>
  <c r="C109" i="6"/>
  <c r="B109" i="6"/>
  <c r="A109" i="6"/>
  <c r="D108" i="6"/>
  <c r="C108" i="6"/>
  <c r="B108" i="6"/>
  <c r="A108" i="6"/>
  <c r="D107" i="6"/>
  <c r="C107" i="6"/>
  <c r="B107" i="6"/>
  <c r="A107" i="6"/>
  <c r="D106" i="6"/>
  <c r="C106" i="6"/>
  <c r="B106" i="6"/>
  <c r="A106" i="6"/>
  <c r="A105" i="6"/>
  <c r="D104" i="6"/>
  <c r="C104" i="6"/>
  <c r="B104" i="6"/>
  <c r="A104" i="6"/>
  <c r="D103" i="6"/>
  <c r="C103" i="6"/>
  <c r="B103" i="6"/>
  <c r="A103" i="6"/>
  <c r="D102" i="6"/>
  <c r="C102" i="6"/>
  <c r="B102" i="6"/>
  <c r="A102" i="6"/>
  <c r="D101" i="6"/>
  <c r="C101" i="6"/>
  <c r="B101" i="6"/>
  <c r="A101" i="6"/>
  <c r="D100" i="6"/>
  <c r="C100" i="6"/>
  <c r="B100" i="6"/>
  <c r="A100" i="6"/>
  <c r="D99" i="6"/>
  <c r="C99" i="6"/>
  <c r="B99" i="6"/>
  <c r="A99" i="6"/>
  <c r="D98" i="6"/>
  <c r="C98" i="6"/>
  <c r="B98" i="6"/>
  <c r="A98" i="6"/>
  <c r="D97" i="6"/>
  <c r="C97" i="6"/>
  <c r="B97" i="6"/>
  <c r="A97" i="6"/>
  <c r="D96" i="6"/>
  <c r="C96" i="6"/>
  <c r="B96" i="6"/>
  <c r="A96" i="6"/>
  <c r="D95" i="6"/>
  <c r="C95" i="6"/>
  <c r="B95" i="6"/>
  <c r="A95" i="6"/>
  <c r="D94" i="6"/>
  <c r="C94" i="6"/>
  <c r="B94" i="6"/>
  <c r="A94" i="6"/>
  <c r="D93" i="6"/>
  <c r="C93" i="6"/>
  <c r="B93" i="6"/>
  <c r="A93" i="6"/>
  <c r="D92" i="6"/>
  <c r="C92" i="6"/>
  <c r="B92" i="6"/>
  <c r="A92" i="6"/>
  <c r="D91" i="6"/>
  <c r="C91" i="6"/>
  <c r="B91" i="6"/>
  <c r="A91" i="6"/>
  <c r="A90" i="6"/>
  <c r="D89" i="6"/>
  <c r="C89" i="6"/>
  <c r="B89" i="6"/>
  <c r="A89" i="6"/>
  <c r="D88" i="6"/>
  <c r="C88" i="6"/>
  <c r="B88" i="6"/>
  <c r="A88" i="6"/>
  <c r="D87" i="6"/>
  <c r="C87" i="6"/>
  <c r="B87" i="6"/>
  <c r="A87" i="6"/>
  <c r="D86" i="6"/>
  <c r="C86" i="6"/>
  <c r="B86" i="6"/>
  <c r="A86" i="6"/>
  <c r="D85" i="6"/>
  <c r="C85" i="6"/>
  <c r="B85" i="6"/>
  <c r="A85" i="6"/>
  <c r="D84" i="6"/>
  <c r="C84" i="6"/>
  <c r="B84" i="6"/>
  <c r="A84" i="6"/>
  <c r="D83" i="6"/>
  <c r="C83" i="6"/>
  <c r="B83" i="6"/>
  <c r="A83" i="6"/>
  <c r="D82" i="6"/>
  <c r="C82" i="6"/>
  <c r="B82" i="6"/>
  <c r="A82" i="6"/>
  <c r="D81" i="6"/>
  <c r="C81" i="6"/>
  <c r="B81" i="6"/>
  <c r="A81" i="6"/>
  <c r="D80" i="6"/>
  <c r="C80" i="6"/>
  <c r="B80" i="6"/>
  <c r="A80" i="6"/>
  <c r="D79" i="6"/>
  <c r="C79" i="6"/>
  <c r="B79" i="6"/>
  <c r="A79" i="6"/>
  <c r="D78" i="6"/>
  <c r="C78" i="6"/>
  <c r="B78" i="6"/>
  <c r="A78" i="6"/>
  <c r="A77" i="6"/>
  <c r="D76" i="6"/>
  <c r="C76" i="6"/>
  <c r="B76" i="6"/>
  <c r="A76" i="6"/>
  <c r="D75" i="6"/>
  <c r="C75" i="6"/>
  <c r="B75" i="6"/>
  <c r="A75" i="6"/>
  <c r="D74" i="6"/>
  <c r="C74" i="6"/>
  <c r="B74" i="6"/>
  <c r="A74" i="6"/>
  <c r="D73" i="6"/>
  <c r="C73" i="6"/>
  <c r="B73" i="6"/>
  <c r="A73" i="6"/>
  <c r="D72" i="6"/>
  <c r="C72" i="6"/>
  <c r="B72" i="6"/>
  <c r="A72" i="6"/>
  <c r="D71" i="6"/>
  <c r="C71" i="6"/>
  <c r="B71" i="6"/>
  <c r="A71" i="6"/>
  <c r="D70" i="6"/>
  <c r="C70" i="6"/>
  <c r="B70" i="6"/>
  <c r="A70" i="6"/>
  <c r="D69" i="6"/>
  <c r="C69" i="6"/>
  <c r="B69" i="6"/>
  <c r="A69" i="6"/>
  <c r="D68" i="6"/>
  <c r="C68" i="6"/>
  <c r="B68" i="6"/>
  <c r="A68" i="6"/>
  <c r="D67" i="6"/>
  <c r="C67" i="6"/>
  <c r="B67" i="6"/>
  <c r="A67" i="6"/>
  <c r="D66" i="6"/>
  <c r="C66" i="6"/>
  <c r="B66" i="6"/>
  <c r="A66" i="6"/>
  <c r="D65" i="6"/>
  <c r="C65" i="6"/>
  <c r="B65" i="6"/>
  <c r="A65" i="6"/>
  <c r="D64" i="6"/>
  <c r="C64" i="6"/>
  <c r="B64" i="6"/>
  <c r="A64" i="6"/>
  <c r="D63" i="6"/>
  <c r="C63" i="6"/>
  <c r="B63" i="6"/>
  <c r="A63" i="6"/>
  <c r="D62" i="6"/>
  <c r="C62" i="6"/>
  <c r="B62" i="6"/>
  <c r="A62" i="6"/>
  <c r="D61" i="6"/>
  <c r="C61" i="6"/>
  <c r="B61" i="6"/>
  <c r="A61" i="6"/>
  <c r="D60" i="6"/>
  <c r="C60" i="6"/>
  <c r="B60" i="6"/>
  <c r="A60" i="6"/>
  <c r="D59" i="6"/>
  <c r="C59" i="6"/>
  <c r="B59" i="6"/>
  <c r="A59" i="6"/>
  <c r="D58" i="6"/>
  <c r="C58" i="6"/>
  <c r="B58" i="6"/>
  <c r="A58" i="6"/>
  <c r="D57" i="6"/>
  <c r="C57" i="6"/>
  <c r="B57" i="6"/>
  <c r="A57" i="6"/>
  <c r="D56" i="6"/>
  <c r="C56" i="6"/>
  <c r="B56" i="6"/>
  <c r="A56" i="6"/>
  <c r="D55" i="6"/>
  <c r="C55" i="6"/>
  <c r="B55" i="6"/>
  <c r="A55" i="6"/>
  <c r="D54" i="6"/>
  <c r="C54" i="6"/>
  <c r="B54" i="6"/>
  <c r="A54" i="6"/>
  <c r="D53" i="6"/>
  <c r="C53" i="6"/>
  <c r="B53" i="6"/>
  <c r="A53" i="6"/>
  <c r="D52" i="6"/>
  <c r="C52" i="6"/>
  <c r="B52" i="6"/>
  <c r="A52" i="6"/>
  <c r="D51" i="6"/>
  <c r="C51" i="6"/>
  <c r="B51" i="6"/>
  <c r="A51" i="6"/>
  <c r="D50" i="6"/>
  <c r="C50" i="6"/>
  <c r="B50" i="6"/>
  <c r="A50" i="6"/>
  <c r="A49" i="6"/>
  <c r="A48" i="6"/>
  <c r="D47" i="6"/>
  <c r="C47" i="6"/>
  <c r="B47" i="6"/>
  <c r="A47" i="6"/>
  <c r="D46" i="6"/>
  <c r="C46" i="6"/>
  <c r="B46" i="6"/>
  <c r="A46" i="6"/>
  <c r="D45" i="6"/>
  <c r="C45" i="6"/>
  <c r="B45" i="6"/>
  <c r="A45" i="6"/>
  <c r="D44" i="6"/>
  <c r="C44" i="6"/>
  <c r="B44" i="6"/>
  <c r="A44" i="6"/>
  <c r="D43" i="6"/>
  <c r="C43" i="6"/>
  <c r="B43" i="6"/>
  <c r="A43" i="6"/>
  <c r="D42" i="6"/>
  <c r="C42" i="6"/>
  <c r="B42" i="6"/>
  <c r="A42" i="6"/>
  <c r="D41" i="6"/>
  <c r="C41" i="6"/>
  <c r="B41" i="6"/>
  <c r="A41" i="6"/>
  <c r="D40" i="6"/>
  <c r="C40" i="6"/>
  <c r="B40" i="6"/>
  <c r="A40" i="6"/>
  <c r="A39" i="6"/>
  <c r="A38" i="6"/>
  <c r="D37" i="6"/>
  <c r="C37" i="6"/>
  <c r="B37" i="6"/>
  <c r="A37" i="6"/>
  <c r="D36" i="6"/>
  <c r="C36" i="6"/>
  <c r="B36" i="6"/>
  <c r="A36" i="6"/>
  <c r="D35" i="6"/>
  <c r="C35" i="6"/>
  <c r="B35" i="6"/>
  <c r="A35" i="6"/>
  <c r="D34" i="6"/>
  <c r="C34" i="6"/>
  <c r="B34" i="6"/>
  <c r="A34" i="6"/>
  <c r="D33" i="6"/>
  <c r="C33" i="6"/>
  <c r="B33" i="6"/>
  <c r="A33" i="6"/>
  <c r="D32" i="6"/>
  <c r="C32" i="6"/>
  <c r="B32" i="6"/>
  <c r="A32" i="6"/>
  <c r="D31" i="6"/>
  <c r="C31" i="6"/>
  <c r="B31" i="6"/>
  <c r="A31" i="6"/>
  <c r="D30" i="6"/>
  <c r="C30" i="6"/>
  <c r="B30" i="6"/>
  <c r="A30" i="6"/>
  <c r="D29" i="6"/>
  <c r="C29" i="6"/>
  <c r="B29" i="6"/>
  <c r="A29" i="6"/>
  <c r="D28" i="6"/>
  <c r="C28" i="6"/>
  <c r="B28" i="6"/>
  <c r="A28" i="6"/>
  <c r="D27" i="6"/>
  <c r="C27" i="6"/>
  <c r="B27" i="6"/>
  <c r="A27" i="6"/>
  <c r="D26" i="6"/>
  <c r="C26" i="6"/>
  <c r="B26" i="6"/>
  <c r="A26" i="6"/>
  <c r="D25" i="6"/>
  <c r="C25" i="6"/>
  <c r="B25" i="6"/>
  <c r="A25" i="6"/>
  <c r="D24" i="6"/>
  <c r="C24" i="6"/>
  <c r="B24" i="6"/>
  <c r="A24" i="6"/>
  <c r="D23" i="6"/>
  <c r="C23" i="6"/>
  <c r="B23" i="6"/>
  <c r="A23" i="6"/>
  <c r="D22" i="6"/>
  <c r="C22" i="6"/>
  <c r="B22" i="6"/>
  <c r="A22" i="6"/>
  <c r="D21" i="6"/>
  <c r="C21" i="6"/>
  <c r="B21" i="6"/>
  <c r="A21" i="6"/>
  <c r="A20" i="6"/>
  <c r="A19" i="6"/>
  <c r="AD12" i="6"/>
  <c r="A12" i="6"/>
  <c r="A11" i="6"/>
  <c r="A1" i="6"/>
  <c r="H606" i="5"/>
  <c r="H603" i="5"/>
  <c r="C606" i="5"/>
  <c r="C603" i="5"/>
  <c r="H600" i="5"/>
  <c r="J600" i="5"/>
  <c r="H599" i="5"/>
  <c r="J599" i="5"/>
  <c r="J28" i="5"/>
  <c r="J27" i="5"/>
  <c r="J26" i="5"/>
  <c r="J25" i="5"/>
  <c r="J24" i="5"/>
  <c r="J23" i="5"/>
  <c r="I28" i="5"/>
  <c r="I27" i="5"/>
  <c r="I26" i="5"/>
  <c r="I25" i="5"/>
  <c r="I24" i="5"/>
  <c r="I23" i="5"/>
  <c r="H597" i="5"/>
  <c r="J597" i="5"/>
  <c r="H596" i="5"/>
  <c r="J596" i="5"/>
  <c r="A596" i="5"/>
  <c r="H594" i="5"/>
  <c r="J594" i="5"/>
  <c r="H593" i="5"/>
  <c r="J593" i="5"/>
  <c r="A593" i="5"/>
  <c r="AA591" i="5"/>
  <c r="Z591" i="5"/>
  <c r="Y591" i="5"/>
  <c r="X591" i="5"/>
  <c r="O591" i="5"/>
  <c r="H591" i="5"/>
  <c r="P591" i="5"/>
  <c r="J591" i="5"/>
  <c r="K590" i="5"/>
  <c r="J590" i="5"/>
  <c r="I590" i="5"/>
  <c r="H590" i="5"/>
  <c r="G590" i="5"/>
  <c r="F590" i="5"/>
  <c r="V589" i="5"/>
  <c r="T589" i="5"/>
  <c r="R589" i="5"/>
  <c r="U589" i="5"/>
  <c r="S589" i="5"/>
  <c r="Q589" i="5"/>
  <c r="E589" i="5"/>
  <c r="D589" i="5"/>
  <c r="C589" i="5"/>
  <c r="B589" i="5"/>
  <c r="A589" i="5"/>
  <c r="AA588" i="5"/>
  <c r="Z588" i="5"/>
  <c r="Y588" i="5"/>
  <c r="X588" i="5"/>
  <c r="O588" i="5"/>
  <c r="H588" i="5"/>
  <c r="P588" i="5"/>
  <c r="J588" i="5"/>
  <c r="K587" i="5"/>
  <c r="J587" i="5"/>
  <c r="I587" i="5"/>
  <c r="H587" i="5"/>
  <c r="G587" i="5"/>
  <c r="F587" i="5"/>
  <c r="V586" i="5"/>
  <c r="T586" i="5"/>
  <c r="R586" i="5"/>
  <c r="U586" i="5"/>
  <c r="S586" i="5"/>
  <c r="Q586" i="5"/>
  <c r="E586" i="5"/>
  <c r="D586" i="5"/>
  <c r="C586" i="5"/>
  <c r="B586" i="5"/>
  <c r="A586" i="5"/>
  <c r="AA585" i="5"/>
  <c r="Z585" i="5"/>
  <c r="Y585" i="5"/>
  <c r="X585" i="5"/>
  <c r="O585" i="5"/>
  <c r="H585" i="5"/>
  <c r="P585" i="5"/>
  <c r="J585" i="5"/>
  <c r="K584" i="5"/>
  <c r="J584" i="5"/>
  <c r="I584" i="5"/>
  <c r="E584" i="5"/>
  <c r="K583" i="5"/>
  <c r="J583" i="5"/>
  <c r="W583" i="5"/>
  <c r="I583" i="5"/>
  <c r="H583" i="5"/>
  <c r="G583" i="5"/>
  <c r="F583" i="5"/>
  <c r="K582" i="5"/>
  <c r="J582" i="5"/>
  <c r="I582" i="5"/>
  <c r="H582" i="5"/>
  <c r="G582" i="5"/>
  <c r="F582" i="5"/>
  <c r="V581" i="5"/>
  <c r="T581" i="5"/>
  <c r="R581" i="5"/>
  <c r="U581" i="5"/>
  <c r="S581" i="5"/>
  <c r="Q581" i="5"/>
  <c r="E581" i="5"/>
  <c r="D581" i="5"/>
  <c r="C581" i="5"/>
  <c r="B581" i="5"/>
  <c r="A581" i="5"/>
  <c r="A580" i="5"/>
  <c r="H578" i="5"/>
  <c r="J578" i="5"/>
  <c r="H577" i="5"/>
  <c r="J577" i="5"/>
  <c r="A577" i="5"/>
  <c r="AA575" i="5"/>
  <c r="Z575" i="5"/>
  <c r="Y575" i="5"/>
  <c r="X575" i="5"/>
  <c r="O575" i="5"/>
  <c r="H575" i="5"/>
  <c r="P575" i="5"/>
  <c r="J575" i="5"/>
  <c r="K574" i="5"/>
  <c r="J574" i="5"/>
  <c r="I574" i="5"/>
  <c r="H574" i="5"/>
  <c r="G574" i="5"/>
  <c r="F574" i="5"/>
  <c r="V574" i="5"/>
  <c r="T574" i="5"/>
  <c r="R574" i="5"/>
  <c r="U574" i="5"/>
  <c r="S574" i="5"/>
  <c r="Q574" i="5"/>
  <c r="E574" i="5"/>
  <c r="D574" i="5"/>
  <c r="B574" i="5"/>
  <c r="A574" i="5"/>
  <c r="AA573" i="5"/>
  <c r="Z573" i="5"/>
  <c r="Y573" i="5"/>
  <c r="X573" i="5"/>
  <c r="O573" i="5"/>
  <c r="H573" i="5"/>
  <c r="P573" i="5"/>
  <c r="J573" i="5"/>
  <c r="K572" i="5"/>
  <c r="J572" i="5"/>
  <c r="I572" i="5"/>
  <c r="H572" i="5"/>
  <c r="G572" i="5"/>
  <c r="F572" i="5"/>
  <c r="V572" i="5"/>
  <c r="T572" i="5"/>
  <c r="R572" i="5"/>
  <c r="U572" i="5"/>
  <c r="S572" i="5"/>
  <c r="Q572" i="5"/>
  <c r="E572" i="5"/>
  <c r="D572" i="5"/>
  <c r="B572" i="5"/>
  <c r="A572" i="5"/>
  <c r="AA571" i="5"/>
  <c r="Z571" i="5"/>
  <c r="Y571" i="5"/>
  <c r="X571" i="5"/>
  <c r="O571" i="5"/>
  <c r="H571" i="5"/>
  <c r="P571" i="5"/>
  <c r="J571" i="5"/>
  <c r="K570" i="5"/>
  <c r="J570" i="5"/>
  <c r="I570" i="5"/>
  <c r="H570" i="5"/>
  <c r="G570" i="5"/>
  <c r="F570" i="5"/>
  <c r="V570" i="5"/>
  <c r="T570" i="5"/>
  <c r="R570" i="5"/>
  <c r="U570" i="5"/>
  <c r="S570" i="5"/>
  <c r="Q570" i="5"/>
  <c r="E570" i="5"/>
  <c r="D570" i="5"/>
  <c r="B570" i="5"/>
  <c r="A570" i="5"/>
  <c r="AA569" i="5"/>
  <c r="Z569" i="5"/>
  <c r="Y569" i="5"/>
  <c r="X569" i="5"/>
  <c r="O569" i="5"/>
  <c r="H569" i="5"/>
  <c r="P569" i="5"/>
  <c r="J569" i="5"/>
  <c r="K568" i="5"/>
  <c r="J568" i="5"/>
  <c r="I568" i="5"/>
  <c r="H568" i="5"/>
  <c r="G568" i="5"/>
  <c r="F568" i="5"/>
  <c r="V568" i="5"/>
  <c r="T568" i="5"/>
  <c r="R568" i="5"/>
  <c r="U568" i="5"/>
  <c r="S568" i="5"/>
  <c r="Q568" i="5"/>
  <c r="E568" i="5"/>
  <c r="D568" i="5"/>
  <c r="B568" i="5"/>
  <c r="A568" i="5"/>
  <c r="AA567" i="5"/>
  <c r="Z567" i="5"/>
  <c r="Y567" i="5"/>
  <c r="X567" i="5"/>
  <c r="O567" i="5"/>
  <c r="H567" i="5"/>
  <c r="P567" i="5"/>
  <c r="J567" i="5"/>
  <c r="K566" i="5"/>
  <c r="J566" i="5"/>
  <c r="I566" i="5"/>
  <c r="H566" i="5"/>
  <c r="G566" i="5"/>
  <c r="F566" i="5"/>
  <c r="V566" i="5"/>
  <c r="T566" i="5"/>
  <c r="R566" i="5"/>
  <c r="U566" i="5"/>
  <c r="S566" i="5"/>
  <c r="Q566" i="5"/>
  <c r="E566" i="5"/>
  <c r="D566" i="5"/>
  <c r="B566" i="5"/>
  <c r="A566" i="5"/>
  <c r="A565" i="5"/>
  <c r="H563" i="5"/>
  <c r="J563" i="5"/>
  <c r="H562" i="5"/>
  <c r="J562" i="5"/>
  <c r="A562" i="5"/>
  <c r="H560" i="5"/>
  <c r="J560" i="5"/>
  <c r="H559" i="5"/>
  <c r="J559" i="5"/>
  <c r="A559" i="5"/>
  <c r="AA557" i="5"/>
  <c r="Z557" i="5"/>
  <c r="Y557" i="5"/>
  <c r="X557" i="5"/>
  <c r="O557" i="5"/>
  <c r="H557" i="5"/>
  <c r="P557" i="5"/>
  <c r="J557" i="5"/>
  <c r="I556" i="5"/>
  <c r="H556" i="5"/>
  <c r="G556" i="5"/>
  <c r="E556" i="5"/>
  <c r="K555" i="5"/>
  <c r="J555" i="5"/>
  <c r="I555" i="5"/>
  <c r="E555" i="5"/>
  <c r="K554" i="5"/>
  <c r="J554" i="5"/>
  <c r="I554" i="5"/>
  <c r="E554" i="5"/>
  <c r="K553" i="5"/>
  <c r="J553" i="5"/>
  <c r="I553" i="5"/>
  <c r="E553" i="5"/>
  <c r="K552" i="5"/>
  <c r="J552" i="5"/>
  <c r="H552" i="5"/>
  <c r="AA552" i="5"/>
  <c r="Z552" i="5"/>
  <c r="Y552" i="5"/>
  <c r="X552" i="5"/>
  <c r="I552" i="5"/>
  <c r="F552" i="5"/>
  <c r="V552" i="5"/>
  <c r="T552" i="5"/>
  <c r="R552" i="5"/>
  <c r="U552" i="5"/>
  <c r="S552" i="5"/>
  <c r="Q552" i="5"/>
  <c r="E552" i="5"/>
  <c r="D552" i="5"/>
  <c r="C552" i="5"/>
  <c r="B552" i="5"/>
  <c r="A552" i="5"/>
  <c r="K551" i="5"/>
  <c r="J551" i="5"/>
  <c r="H551" i="5"/>
  <c r="AA551" i="5"/>
  <c r="Z551" i="5"/>
  <c r="Y551" i="5"/>
  <c r="X551" i="5"/>
  <c r="I551" i="5"/>
  <c r="F551" i="5"/>
  <c r="V551" i="5"/>
  <c r="T551" i="5"/>
  <c r="R551" i="5"/>
  <c r="U551" i="5"/>
  <c r="S551" i="5"/>
  <c r="Q551" i="5"/>
  <c r="E551" i="5"/>
  <c r="D551" i="5"/>
  <c r="C551" i="5"/>
  <c r="B551" i="5"/>
  <c r="A551" i="5"/>
  <c r="K550" i="5"/>
  <c r="J550" i="5"/>
  <c r="I550" i="5"/>
  <c r="H550" i="5"/>
  <c r="G550" i="5"/>
  <c r="F550" i="5"/>
  <c r="K549" i="5"/>
  <c r="J549" i="5"/>
  <c r="W549" i="5"/>
  <c r="I549" i="5"/>
  <c r="H549" i="5"/>
  <c r="G549" i="5"/>
  <c r="F549" i="5"/>
  <c r="K548" i="5"/>
  <c r="J548" i="5"/>
  <c r="I548" i="5"/>
  <c r="H548" i="5"/>
  <c r="G548" i="5"/>
  <c r="F548" i="5"/>
  <c r="K547" i="5"/>
  <c r="J547" i="5"/>
  <c r="W547" i="5"/>
  <c r="I547" i="5"/>
  <c r="H547" i="5"/>
  <c r="G547" i="5"/>
  <c r="F547" i="5"/>
  <c r="C546" i="5"/>
  <c r="V545" i="5"/>
  <c r="T545" i="5"/>
  <c r="R545" i="5"/>
  <c r="U545" i="5"/>
  <c r="S545" i="5"/>
  <c r="Q545" i="5"/>
  <c r="E545" i="5"/>
  <c r="D545" i="5"/>
  <c r="C545" i="5"/>
  <c r="B545" i="5"/>
  <c r="A545" i="5"/>
  <c r="AA544" i="5"/>
  <c r="Z544" i="5"/>
  <c r="Y544" i="5"/>
  <c r="X544" i="5"/>
  <c r="O544" i="5"/>
  <c r="H544" i="5"/>
  <c r="P544" i="5"/>
  <c r="J544" i="5"/>
  <c r="I543" i="5"/>
  <c r="H543" i="5"/>
  <c r="G543" i="5"/>
  <c r="E543" i="5"/>
  <c r="K542" i="5"/>
  <c r="J542" i="5"/>
  <c r="I542" i="5"/>
  <c r="E542" i="5"/>
  <c r="K541" i="5"/>
  <c r="J541" i="5"/>
  <c r="I541" i="5"/>
  <c r="E541" i="5"/>
  <c r="K540" i="5"/>
  <c r="J540" i="5"/>
  <c r="I540" i="5"/>
  <c r="E540" i="5"/>
  <c r="K539" i="5"/>
  <c r="J539" i="5"/>
  <c r="H539" i="5"/>
  <c r="AA539" i="5"/>
  <c r="Z539" i="5"/>
  <c r="Y539" i="5"/>
  <c r="X539" i="5"/>
  <c r="I539" i="5"/>
  <c r="F539" i="5"/>
  <c r="V539" i="5"/>
  <c r="T539" i="5"/>
  <c r="R539" i="5"/>
  <c r="U539" i="5"/>
  <c r="S539" i="5"/>
  <c r="Q539" i="5"/>
  <c r="E539" i="5"/>
  <c r="D539" i="5"/>
  <c r="C539" i="5"/>
  <c r="B539" i="5"/>
  <c r="A539" i="5"/>
  <c r="K538" i="5"/>
  <c r="J538" i="5"/>
  <c r="I538" i="5"/>
  <c r="H538" i="5"/>
  <c r="G538" i="5"/>
  <c r="F538" i="5"/>
  <c r="K537" i="5"/>
  <c r="J537" i="5"/>
  <c r="W537" i="5"/>
  <c r="I537" i="5"/>
  <c r="H537" i="5"/>
  <c r="G537" i="5"/>
  <c r="F537" i="5"/>
  <c r="K536" i="5"/>
  <c r="J536" i="5"/>
  <c r="I536" i="5"/>
  <c r="H536" i="5"/>
  <c r="G536" i="5"/>
  <c r="F536" i="5"/>
  <c r="K535" i="5"/>
  <c r="J535" i="5"/>
  <c r="W535" i="5"/>
  <c r="I535" i="5"/>
  <c r="H535" i="5"/>
  <c r="G535" i="5"/>
  <c r="F535" i="5"/>
  <c r="C534" i="5"/>
  <c r="V533" i="5"/>
  <c r="T533" i="5"/>
  <c r="R533" i="5"/>
  <c r="U533" i="5"/>
  <c r="S533" i="5"/>
  <c r="Q533" i="5"/>
  <c r="E533" i="5"/>
  <c r="D533" i="5"/>
  <c r="C533" i="5"/>
  <c r="B533" i="5"/>
  <c r="A533" i="5"/>
  <c r="AA532" i="5"/>
  <c r="Z532" i="5"/>
  <c r="Y532" i="5"/>
  <c r="X532" i="5"/>
  <c r="O532" i="5"/>
  <c r="H532" i="5"/>
  <c r="P532" i="5"/>
  <c r="J532" i="5"/>
  <c r="I531" i="5"/>
  <c r="H531" i="5"/>
  <c r="G531" i="5"/>
  <c r="E531" i="5"/>
  <c r="K530" i="5"/>
  <c r="J530" i="5"/>
  <c r="I530" i="5"/>
  <c r="E530" i="5"/>
  <c r="K529" i="5"/>
  <c r="J529" i="5"/>
  <c r="I529" i="5"/>
  <c r="E529" i="5"/>
  <c r="K528" i="5"/>
  <c r="J528" i="5"/>
  <c r="I528" i="5"/>
  <c r="E528" i="5"/>
  <c r="K527" i="5"/>
  <c r="J527" i="5"/>
  <c r="H527" i="5"/>
  <c r="AA527" i="5"/>
  <c r="Z527" i="5"/>
  <c r="Y527" i="5"/>
  <c r="X527" i="5"/>
  <c r="I527" i="5"/>
  <c r="F527" i="5"/>
  <c r="V527" i="5"/>
  <c r="T527" i="5"/>
  <c r="R527" i="5"/>
  <c r="U527" i="5"/>
  <c r="S527" i="5"/>
  <c r="Q527" i="5"/>
  <c r="E527" i="5"/>
  <c r="D527" i="5"/>
  <c r="C527" i="5"/>
  <c r="B527" i="5"/>
  <c r="A527" i="5"/>
  <c r="K526" i="5"/>
  <c r="J526" i="5"/>
  <c r="H526" i="5"/>
  <c r="AA526" i="5"/>
  <c r="Z526" i="5"/>
  <c r="Y526" i="5"/>
  <c r="X526" i="5"/>
  <c r="I526" i="5"/>
  <c r="F526" i="5"/>
  <c r="V526" i="5"/>
  <c r="T526" i="5"/>
  <c r="R526" i="5"/>
  <c r="U526" i="5"/>
  <c r="S526" i="5"/>
  <c r="Q526" i="5"/>
  <c r="E526" i="5"/>
  <c r="D526" i="5"/>
  <c r="C526" i="5"/>
  <c r="B526" i="5"/>
  <c r="A526" i="5"/>
  <c r="K525" i="5"/>
  <c r="J525" i="5"/>
  <c r="I525" i="5"/>
  <c r="H525" i="5"/>
  <c r="G525" i="5"/>
  <c r="F525" i="5"/>
  <c r="K524" i="5"/>
  <c r="J524" i="5"/>
  <c r="W524" i="5"/>
  <c r="I524" i="5"/>
  <c r="H524" i="5"/>
  <c r="G524" i="5"/>
  <c r="F524" i="5"/>
  <c r="K523" i="5"/>
  <c r="J523" i="5"/>
  <c r="I523" i="5"/>
  <c r="H523" i="5"/>
  <c r="G523" i="5"/>
  <c r="F523" i="5"/>
  <c r="K522" i="5"/>
  <c r="J522" i="5"/>
  <c r="W522" i="5"/>
  <c r="I522" i="5"/>
  <c r="H522" i="5"/>
  <c r="G522" i="5"/>
  <c r="F522" i="5"/>
  <c r="C521" i="5"/>
  <c r="V520" i="5"/>
  <c r="T520" i="5"/>
  <c r="R520" i="5"/>
  <c r="U520" i="5"/>
  <c r="S520" i="5"/>
  <c r="Q520" i="5"/>
  <c r="E520" i="5"/>
  <c r="D520" i="5"/>
  <c r="C520" i="5"/>
  <c r="B520" i="5"/>
  <c r="A520" i="5"/>
  <c r="AA519" i="5"/>
  <c r="Z519" i="5"/>
  <c r="Y519" i="5"/>
  <c r="X519" i="5"/>
  <c r="O519" i="5"/>
  <c r="H519" i="5"/>
  <c r="P519" i="5"/>
  <c r="J519" i="5"/>
  <c r="I518" i="5"/>
  <c r="H518" i="5"/>
  <c r="G518" i="5"/>
  <c r="E518" i="5"/>
  <c r="K517" i="5"/>
  <c r="J517" i="5"/>
  <c r="I517" i="5"/>
  <c r="E517" i="5"/>
  <c r="K516" i="5"/>
  <c r="J516" i="5"/>
  <c r="I516" i="5"/>
  <c r="E516" i="5"/>
  <c r="K515" i="5"/>
  <c r="J515" i="5"/>
  <c r="I515" i="5"/>
  <c r="E515" i="5"/>
  <c r="K514" i="5"/>
  <c r="J514" i="5"/>
  <c r="H514" i="5"/>
  <c r="AA514" i="5"/>
  <c r="Z514" i="5"/>
  <c r="Y514" i="5"/>
  <c r="X514" i="5"/>
  <c r="I514" i="5"/>
  <c r="F514" i="5"/>
  <c r="V514" i="5"/>
  <c r="T514" i="5"/>
  <c r="R514" i="5"/>
  <c r="U514" i="5"/>
  <c r="S514" i="5"/>
  <c r="Q514" i="5"/>
  <c r="E514" i="5"/>
  <c r="D514" i="5"/>
  <c r="C514" i="5"/>
  <c r="B514" i="5"/>
  <c r="A514" i="5"/>
  <c r="K513" i="5"/>
  <c r="J513" i="5"/>
  <c r="H513" i="5"/>
  <c r="AA513" i="5"/>
  <c r="Z513" i="5"/>
  <c r="Y513" i="5"/>
  <c r="X513" i="5"/>
  <c r="I513" i="5"/>
  <c r="F513" i="5"/>
  <c r="V513" i="5"/>
  <c r="T513" i="5"/>
  <c r="R513" i="5"/>
  <c r="U513" i="5"/>
  <c r="S513" i="5"/>
  <c r="Q513" i="5"/>
  <c r="E513" i="5"/>
  <c r="D513" i="5"/>
  <c r="C513" i="5"/>
  <c r="B513" i="5"/>
  <c r="A513" i="5"/>
  <c r="K512" i="5"/>
  <c r="J512" i="5"/>
  <c r="I512" i="5"/>
  <c r="H512" i="5"/>
  <c r="G512" i="5"/>
  <c r="F512" i="5"/>
  <c r="K511" i="5"/>
  <c r="J511" i="5"/>
  <c r="W511" i="5"/>
  <c r="I511" i="5"/>
  <c r="H511" i="5"/>
  <c r="G511" i="5"/>
  <c r="F511" i="5"/>
  <c r="K510" i="5"/>
  <c r="J510" i="5"/>
  <c r="I510" i="5"/>
  <c r="H510" i="5"/>
  <c r="G510" i="5"/>
  <c r="F510" i="5"/>
  <c r="K509" i="5"/>
  <c r="J509" i="5"/>
  <c r="W509" i="5"/>
  <c r="I509" i="5"/>
  <c r="H509" i="5"/>
  <c r="G509" i="5"/>
  <c r="F509" i="5"/>
  <c r="C508" i="5"/>
  <c r="V507" i="5"/>
  <c r="T507" i="5"/>
  <c r="R507" i="5"/>
  <c r="U507" i="5"/>
  <c r="S507" i="5"/>
  <c r="Q507" i="5"/>
  <c r="E507" i="5"/>
  <c r="D507" i="5"/>
  <c r="C507" i="5"/>
  <c r="B507" i="5"/>
  <c r="A507" i="5"/>
  <c r="AA506" i="5"/>
  <c r="Z506" i="5"/>
  <c r="Y506" i="5"/>
  <c r="X506" i="5"/>
  <c r="O506" i="5"/>
  <c r="H506" i="5"/>
  <c r="P506" i="5"/>
  <c r="J506" i="5"/>
  <c r="I505" i="5"/>
  <c r="H505" i="5"/>
  <c r="G505" i="5"/>
  <c r="E505" i="5"/>
  <c r="K504" i="5"/>
  <c r="J504" i="5"/>
  <c r="I504" i="5"/>
  <c r="E504" i="5"/>
  <c r="K503" i="5"/>
  <c r="J503" i="5"/>
  <c r="I503" i="5"/>
  <c r="E503" i="5"/>
  <c r="K502" i="5"/>
  <c r="J502" i="5"/>
  <c r="I502" i="5"/>
  <c r="E502" i="5"/>
  <c r="K501" i="5"/>
  <c r="J501" i="5"/>
  <c r="H501" i="5"/>
  <c r="AA501" i="5"/>
  <c r="Z501" i="5"/>
  <c r="Y501" i="5"/>
  <c r="X501" i="5"/>
  <c r="I501" i="5"/>
  <c r="F501" i="5"/>
  <c r="V501" i="5"/>
  <c r="T501" i="5"/>
  <c r="R501" i="5"/>
  <c r="U501" i="5"/>
  <c r="S501" i="5"/>
  <c r="Q501" i="5"/>
  <c r="E501" i="5"/>
  <c r="D501" i="5"/>
  <c r="C501" i="5"/>
  <c r="B501" i="5"/>
  <c r="A501" i="5"/>
  <c r="K500" i="5"/>
  <c r="J500" i="5"/>
  <c r="H500" i="5"/>
  <c r="AA500" i="5"/>
  <c r="Z500" i="5"/>
  <c r="Y500" i="5"/>
  <c r="X500" i="5"/>
  <c r="I500" i="5"/>
  <c r="F500" i="5"/>
  <c r="V500" i="5"/>
  <c r="T500" i="5"/>
  <c r="R500" i="5"/>
  <c r="U500" i="5"/>
  <c r="S500" i="5"/>
  <c r="Q500" i="5"/>
  <c r="E500" i="5"/>
  <c r="D500" i="5"/>
  <c r="C500" i="5"/>
  <c r="B500" i="5"/>
  <c r="A500" i="5"/>
  <c r="K499" i="5"/>
  <c r="J499" i="5"/>
  <c r="I499" i="5"/>
  <c r="H499" i="5"/>
  <c r="G499" i="5"/>
  <c r="F499" i="5"/>
  <c r="K498" i="5"/>
  <c r="J498" i="5"/>
  <c r="W498" i="5"/>
  <c r="I498" i="5"/>
  <c r="H498" i="5"/>
  <c r="G498" i="5"/>
  <c r="F498" i="5"/>
  <c r="K497" i="5"/>
  <c r="J497" i="5"/>
  <c r="I497" i="5"/>
  <c r="H497" i="5"/>
  <c r="G497" i="5"/>
  <c r="F497" i="5"/>
  <c r="K496" i="5"/>
  <c r="J496" i="5"/>
  <c r="W496" i="5"/>
  <c r="I496" i="5"/>
  <c r="H496" i="5"/>
  <c r="G496" i="5"/>
  <c r="F496" i="5"/>
  <c r="C495" i="5"/>
  <c r="V494" i="5"/>
  <c r="T494" i="5"/>
  <c r="R494" i="5"/>
  <c r="U494" i="5"/>
  <c r="S494" i="5"/>
  <c r="Q494" i="5"/>
  <c r="E494" i="5"/>
  <c r="D494" i="5"/>
  <c r="C494" i="5"/>
  <c r="B494" i="5"/>
  <c r="A494" i="5"/>
  <c r="A493" i="5"/>
  <c r="H491" i="5"/>
  <c r="J491" i="5"/>
  <c r="H490" i="5"/>
  <c r="J490" i="5"/>
  <c r="A490" i="5"/>
  <c r="AA488" i="5"/>
  <c r="Z488" i="5"/>
  <c r="Y488" i="5"/>
  <c r="X488" i="5"/>
  <c r="O488" i="5"/>
  <c r="H488" i="5"/>
  <c r="P488" i="5"/>
  <c r="J488" i="5"/>
  <c r="I487" i="5"/>
  <c r="H487" i="5"/>
  <c r="G487" i="5"/>
  <c r="E487" i="5"/>
  <c r="K486" i="5"/>
  <c r="J486" i="5"/>
  <c r="I486" i="5"/>
  <c r="E486" i="5"/>
  <c r="K485" i="5"/>
  <c r="J485" i="5"/>
  <c r="I485" i="5"/>
  <c r="E485" i="5"/>
  <c r="K484" i="5"/>
  <c r="J484" i="5"/>
  <c r="I484" i="5"/>
  <c r="E484" i="5"/>
  <c r="K483" i="5"/>
  <c r="J483" i="5"/>
  <c r="H483" i="5"/>
  <c r="AA483" i="5"/>
  <c r="Z483" i="5"/>
  <c r="Y483" i="5"/>
  <c r="X483" i="5"/>
  <c r="I483" i="5"/>
  <c r="F483" i="5"/>
  <c r="V483" i="5"/>
  <c r="T483" i="5"/>
  <c r="R483" i="5"/>
  <c r="U483" i="5"/>
  <c r="S483" i="5"/>
  <c r="Q483" i="5"/>
  <c r="E483" i="5"/>
  <c r="D483" i="5"/>
  <c r="B483" i="5"/>
  <c r="A483" i="5"/>
  <c r="K482" i="5"/>
  <c r="J482" i="5"/>
  <c r="H482" i="5"/>
  <c r="AA482" i="5"/>
  <c r="Z482" i="5"/>
  <c r="Y482" i="5"/>
  <c r="X482" i="5"/>
  <c r="I482" i="5"/>
  <c r="F482" i="5"/>
  <c r="V482" i="5"/>
  <c r="T482" i="5"/>
  <c r="R482" i="5"/>
  <c r="U482" i="5"/>
  <c r="S482" i="5"/>
  <c r="Q482" i="5"/>
  <c r="E482" i="5"/>
  <c r="D482" i="5"/>
  <c r="C482" i="5"/>
  <c r="B482" i="5"/>
  <c r="A482" i="5"/>
  <c r="K481" i="5"/>
  <c r="J481" i="5"/>
  <c r="I481" i="5"/>
  <c r="H481" i="5"/>
  <c r="G481" i="5"/>
  <c r="F481" i="5"/>
  <c r="K480" i="5"/>
  <c r="J480" i="5"/>
  <c r="W480" i="5"/>
  <c r="I480" i="5"/>
  <c r="H480" i="5"/>
  <c r="G480" i="5"/>
  <c r="F480" i="5"/>
  <c r="K479" i="5"/>
  <c r="J479" i="5"/>
  <c r="I479" i="5"/>
  <c r="H479" i="5"/>
  <c r="G479" i="5"/>
  <c r="F479" i="5"/>
  <c r="K478" i="5"/>
  <c r="J478" i="5"/>
  <c r="W478" i="5"/>
  <c r="I478" i="5"/>
  <c r="H478" i="5"/>
  <c r="G478" i="5"/>
  <c r="F478" i="5"/>
  <c r="C477" i="5"/>
  <c r="V476" i="5"/>
  <c r="T476" i="5"/>
  <c r="R476" i="5"/>
  <c r="U476" i="5"/>
  <c r="S476" i="5"/>
  <c r="Q476" i="5"/>
  <c r="E476" i="5"/>
  <c r="D476" i="5"/>
  <c r="C476" i="5"/>
  <c r="B476" i="5"/>
  <c r="A476" i="5"/>
  <c r="AA475" i="5"/>
  <c r="Z475" i="5"/>
  <c r="Y475" i="5"/>
  <c r="X475" i="5"/>
  <c r="O475" i="5"/>
  <c r="H475" i="5"/>
  <c r="P475" i="5"/>
  <c r="J475" i="5"/>
  <c r="I474" i="5"/>
  <c r="H474" i="5"/>
  <c r="G474" i="5"/>
  <c r="E474" i="5"/>
  <c r="K473" i="5"/>
  <c r="J473" i="5"/>
  <c r="I473" i="5"/>
  <c r="E473" i="5"/>
  <c r="K472" i="5"/>
  <c r="J472" i="5"/>
  <c r="I472" i="5"/>
  <c r="E472" i="5"/>
  <c r="K471" i="5"/>
  <c r="J471" i="5"/>
  <c r="I471" i="5"/>
  <c r="E471" i="5"/>
  <c r="K470" i="5"/>
  <c r="J470" i="5"/>
  <c r="H470" i="5"/>
  <c r="AA470" i="5"/>
  <c r="Z470" i="5"/>
  <c r="Y470" i="5"/>
  <c r="X470" i="5"/>
  <c r="I470" i="5"/>
  <c r="F470" i="5"/>
  <c r="V470" i="5"/>
  <c r="T470" i="5"/>
  <c r="R470" i="5"/>
  <c r="U470" i="5"/>
  <c r="S470" i="5"/>
  <c r="Q470" i="5"/>
  <c r="E470" i="5"/>
  <c r="D470" i="5"/>
  <c r="B470" i="5"/>
  <c r="A470" i="5"/>
  <c r="K469" i="5"/>
  <c r="J469" i="5"/>
  <c r="I469" i="5"/>
  <c r="H469" i="5"/>
  <c r="G469" i="5"/>
  <c r="F469" i="5"/>
  <c r="K468" i="5"/>
  <c r="J468" i="5"/>
  <c r="W468" i="5"/>
  <c r="I468" i="5"/>
  <c r="H468" i="5"/>
  <c r="G468" i="5"/>
  <c r="F468" i="5"/>
  <c r="K467" i="5"/>
  <c r="J467" i="5"/>
  <c r="I467" i="5"/>
  <c r="H467" i="5"/>
  <c r="G467" i="5"/>
  <c r="F467" i="5"/>
  <c r="K466" i="5"/>
  <c r="J466" i="5"/>
  <c r="W466" i="5"/>
  <c r="I466" i="5"/>
  <c r="H466" i="5"/>
  <c r="G466" i="5"/>
  <c r="F466" i="5"/>
  <c r="C465" i="5"/>
  <c r="V464" i="5"/>
  <c r="T464" i="5"/>
  <c r="R464" i="5"/>
  <c r="U464" i="5"/>
  <c r="S464" i="5"/>
  <c r="Q464" i="5"/>
  <c r="E464" i="5"/>
  <c r="D464" i="5"/>
  <c r="C464" i="5"/>
  <c r="B464" i="5"/>
  <c r="A464" i="5"/>
  <c r="AA463" i="5"/>
  <c r="Z463" i="5"/>
  <c r="Y463" i="5"/>
  <c r="X463" i="5"/>
  <c r="O463" i="5"/>
  <c r="H463" i="5"/>
  <c r="P463" i="5"/>
  <c r="J463" i="5"/>
  <c r="I462" i="5"/>
  <c r="H462" i="5"/>
  <c r="G462" i="5"/>
  <c r="E462" i="5"/>
  <c r="K461" i="5"/>
  <c r="J461" i="5"/>
  <c r="I461" i="5"/>
  <c r="E461" i="5"/>
  <c r="K460" i="5"/>
  <c r="J460" i="5"/>
  <c r="I460" i="5"/>
  <c r="E460" i="5"/>
  <c r="K459" i="5"/>
  <c r="J459" i="5"/>
  <c r="I459" i="5"/>
  <c r="E459" i="5"/>
  <c r="K458" i="5"/>
  <c r="J458" i="5"/>
  <c r="H458" i="5"/>
  <c r="AA458" i="5"/>
  <c r="Z458" i="5"/>
  <c r="Y458" i="5"/>
  <c r="X458" i="5"/>
  <c r="I458" i="5"/>
  <c r="F458" i="5"/>
  <c r="V458" i="5"/>
  <c r="T458" i="5"/>
  <c r="R458" i="5"/>
  <c r="U458" i="5"/>
  <c r="S458" i="5"/>
  <c r="Q458" i="5"/>
  <c r="E458" i="5"/>
  <c r="D458" i="5"/>
  <c r="C458" i="5"/>
  <c r="B458" i="5"/>
  <c r="A458" i="5"/>
  <c r="K457" i="5"/>
  <c r="J457" i="5"/>
  <c r="H457" i="5"/>
  <c r="AA457" i="5"/>
  <c r="Z457" i="5"/>
  <c r="Y457" i="5"/>
  <c r="X457" i="5"/>
  <c r="I457" i="5"/>
  <c r="F457" i="5"/>
  <c r="V457" i="5"/>
  <c r="T457" i="5"/>
  <c r="R457" i="5"/>
  <c r="U457" i="5"/>
  <c r="S457" i="5"/>
  <c r="Q457" i="5"/>
  <c r="E457" i="5"/>
  <c r="D457" i="5"/>
  <c r="C457" i="5"/>
  <c r="B457" i="5"/>
  <c r="A457" i="5"/>
  <c r="K456" i="5"/>
  <c r="J456" i="5"/>
  <c r="I456" i="5"/>
  <c r="H456" i="5"/>
  <c r="G456" i="5"/>
  <c r="F456" i="5"/>
  <c r="K455" i="5"/>
  <c r="J455" i="5"/>
  <c r="W455" i="5"/>
  <c r="I455" i="5"/>
  <c r="H455" i="5"/>
  <c r="G455" i="5"/>
  <c r="F455" i="5"/>
  <c r="K454" i="5"/>
  <c r="J454" i="5"/>
  <c r="I454" i="5"/>
  <c r="H454" i="5"/>
  <c r="G454" i="5"/>
  <c r="F454" i="5"/>
  <c r="K453" i="5"/>
  <c r="J453" i="5"/>
  <c r="W453" i="5"/>
  <c r="I453" i="5"/>
  <c r="H453" i="5"/>
  <c r="G453" i="5"/>
  <c r="F453" i="5"/>
  <c r="C452" i="5"/>
  <c r="V451" i="5"/>
  <c r="T451" i="5"/>
  <c r="R451" i="5"/>
  <c r="U451" i="5"/>
  <c r="S451" i="5"/>
  <c r="Q451" i="5"/>
  <c r="E451" i="5"/>
  <c r="D451" i="5"/>
  <c r="C451" i="5"/>
  <c r="B451" i="5"/>
  <c r="A451" i="5"/>
  <c r="AA450" i="5"/>
  <c r="Z450" i="5"/>
  <c r="Y450" i="5"/>
  <c r="X450" i="5"/>
  <c r="O450" i="5"/>
  <c r="H450" i="5"/>
  <c r="P450" i="5"/>
  <c r="J450" i="5"/>
  <c r="I449" i="5"/>
  <c r="H449" i="5"/>
  <c r="G449" i="5"/>
  <c r="E449" i="5"/>
  <c r="K448" i="5"/>
  <c r="J448" i="5"/>
  <c r="I448" i="5"/>
  <c r="E448" i="5"/>
  <c r="K447" i="5"/>
  <c r="J447" i="5"/>
  <c r="I447" i="5"/>
  <c r="E447" i="5"/>
  <c r="K446" i="5"/>
  <c r="J446" i="5"/>
  <c r="I446" i="5"/>
  <c r="E446" i="5"/>
  <c r="K445" i="5"/>
  <c r="J445" i="5"/>
  <c r="H445" i="5"/>
  <c r="AA445" i="5"/>
  <c r="Z445" i="5"/>
  <c r="Y445" i="5"/>
  <c r="X445" i="5"/>
  <c r="I445" i="5"/>
  <c r="F445" i="5"/>
  <c r="V445" i="5"/>
  <c r="T445" i="5"/>
  <c r="R445" i="5"/>
  <c r="U445" i="5"/>
  <c r="S445" i="5"/>
  <c r="Q445" i="5"/>
  <c r="E445" i="5"/>
  <c r="D445" i="5"/>
  <c r="B445" i="5"/>
  <c r="A445" i="5"/>
  <c r="K444" i="5"/>
  <c r="J444" i="5"/>
  <c r="I444" i="5"/>
  <c r="H444" i="5"/>
  <c r="G444" i="5"/>
  <c r="F444" i="5"/>
  <c r="K443" i="5"/>
  <c r="J443" i="5"/>
  <c r="W443" i="5"/>
  <c r="I443" i="5"/>
  <c r="H443" i="5"/>
  <c r="G443" i="5"/>
  <c r="F443" i="5"/>
  <c r="K442" i="5"/>
  <c r="J442" i="5"/>
  <c r="I442" i="5"/>
  <c r="H442" i="5"/>
  <c r="G442" i="5"/>
  <c r="F442" i="5"/>
  <c r="K441" i="5"/>
  <c r="J441" i="5"/>
  <c r="W441" i="5"/>
  <c r="I441" i="5"/>
  <c r="H441" i="5"/>
  <c r="G441" i="5"/>
  <c r="F441" i="5"/>
  <c r="V440" i="5"/>
  <c r="T440" i="5"/>
  <c r="R440" i="5"/>
  <c r="U440" i="5"/>
  <c r="S440" i="5"/>
  <c r="Q440" i="5"/>
  <c r="E440" i="5"/>
  <c r="D440" i="5"/>
  <c r="C440" i="5"/>
  <c r="B440" i="5"/>
  <c r="A440" i="5"/>
  <c r="AA439" i="5"/>
  <c r="Z439" i="5"/>
  <c r="Y439" i="5"/>
  <c r="X439" i="5"/>
  <c r="O439" i="5"/>
  <c r="H439" i="5"/>
  <c r="P439" i="5"/>
  <c r="J439" i="5"/>
  <c r="I438" i="5"/>
  <c r="H438" i="5"/>
  <c r="G438" i="5"/>
  <c r="E438" i="5"/>
  <c r="K437" i="5"/>
  <c r="J437" i="5"/>
  <c r="I437" i="5"/>
  <c r="E437" i="5"/>
  <c r="K436" i="5"/>
  <c r="J436" i="5"/>
  <c r="I436" i="5"/>
  <c r="E436" i="5"/>
  <c r="K435" i="5"/>
  <c r="J435" i="5"/>
  <c r="I435" i="5"/>
  <c r="H435" i="5"/>
  <c r="G435" i="5"/>
  <c r="F435" i="5"/>
  <c r="K434" i="5"/>
  <c r="J434" i="5"/>
  <c r="W434" i="5"/>
  <c r="I434" i="5"/>
  <c r="H434" i="5"/>
  <c r="G434" i="5"/>
  <c r="F434" i="5"/>
  <c r="V433" i="5"/>
  <c r="T433" i="5"/>
  <c r="R433" i="5"/>
  <c r="U433" i="5"/>
  <c r="S433" i="5"/>
  <c r="Q433" i="5"/>
  <c r="E433" i="5"/>
  <c r="D433" i="5"/>
  <c r="C433" i="5"/>
  <c r="B433" i="5"/>
  <c r="A433" i="5"/>
  <c r="AA432" i="5"/>
  <c r="Z432" i="5"/>
  <c r="Y432" i="5"/>
  <c r="X432" i="5"/>
  <c r="O432" i="5"/>
  <c r="H432" i="5"/>
  <c r="P432" i="5"/>
  <c r="J432" i="5"/>
  <c r="I431" i="5"/>
  <c r="H431" i="5"/>
  <c r="G431" i="5"/>
  <c r="E431" i="5"/>
  <c r="K430" i="5"/>
  <c r="J430" i="5"/>
  <c r="I430" i="5"/>
  <c r="E430" i="5"/>
  <c r="K429" i="5"/>
  <c r="J429" i="5"/>
  <c r="I429" i="5"/>
  <c r="E429" i="5"/>
  <c r="K428" i="5"/>
  <c r="J428" i="5"/>
  <c r="I428" i="5"/>
  <c r="E428" i="5"/>
  <c r="K427" i="5"/>
  <c r="J427" i="5"/>
  <c r="I427" i="5"/>
  <c r="H427" i="5"/>
  <c r="G427" i="5"/>
  <c r="F427" i="5"/>
  <c r="K426" i="5"/>
  <c r="J426" i="5"/>
  <c r="W426" i="5"/>
  <c r="I426" i="5"/>
  <c r="H426" i="5"/>
  <c r="G426" i="5"/>
  <c r="F426" i="5"/>
  <c r="K425" i="5"/>
  <c r="J425" i="5"/>
  <c r="I425" i="5"/>
  <c r="H425" i="5"/>
  <c r="G425" i="5"/>
  <c r="F425" i="5"/>
  <c r="K424" i="5"/>
  <c r="J424" i="5"/>
  <c r="W424" i="5"/>
  <c r="I424" i="5"/>
  <c r="H424" i="5"/>
  <c r="G424" i="5"/>
  <c r="F424" i="5"/>
  <c r="C423" i="5"/>
  <c r="V422" i="5"/>
  <c r="T422" i="5"/>
  <c r="R422" i="5"/>
  <c r="U422" i="5"/>
  <c r="S422" i="5"/>
  <c r="Q422" i="5"/>
  <c r="E422" i="5"/>
  <c r="D422" i="5"/>
  <c r="C422" i="5"/>
  <c r="B422" i="5"/>
  <c r="A422" i="5"/>
  <c r="AA421" i="5"/>
  <c r="Z421" i="5"/>
  <c r="Y421" i="5"/>
  <c r="X421" i="5"/>
  <c r="O421" i="5"/>
  <c r="H421" i="5"/>
  <c r="P421" i="5"/>
  <c r="J421" i="5"/>
  <c r="I420" i="5"/>
  <c r="H420" i="5"/>
  <c r="G420" i="5"/>
  <c r="E420" i="5"/>
  <c r="K419" i="5"/>
  <c r="J419" i="5"/>
  <c r="I419" i="5"/>
  <c r="E419" i="5"/>
  <c r="K418" i="5"/>
  <c r="J418" i="5"/>
  <c r="I418" i="5"/>
  <c r="E418" i="5"/>
  <c r="K417" i="5"/>
  <c r="J417" i="5"/>
  <c r="I417" i="5"/>
  <c r="H417" i="5"/>
  <c r="G417" i="5"/>
  <c r="F417" i="5"/>
  <c r="K416" i="5"/>
  <c r="J416" i="5"/>
  <c r="W416" i="5"/>
  <c r="I416" i="5"/>
  <c r="H416" i="5"/>
  <c r="G416" i="5"/>
  <c r="F416" i="5"/>
  <c r="V415" i="5"/>
  <c r="T415" i="5"/>
  <c r="R415" i="5"/>
  <c r="U415" i="5"/>
  <c r="S415" i="5"/>
  <c r="Q415" i="5"/>
  <c r="E415" i="5"/>
  <c r="D415" i="5"/>
  <c r="C415" i="5"/>
  <c r="B415" i="5"/>
  <c r="A415" i="5"/>
  <c r="AA414" i="5"/>
  <c r="Z414" i="5"/>
  <c r="Y414" i="5"/>
  <c r="X414" i="5"/>
  <c r="O414" i="5"/>
  <c r="H414" i="5"/>
  <c r="P414" i="5"/>
  <c r="J414" i="5"/>
  <c r="I413" i="5"/>
  <c r="H413" i="5"/>
  <c r="G413" i="5"/>
  <c r="E413" i="5"/>
  <c r="K412" i="5"/>
  <c r="J412" i="5"/>
  <c r="I412" i="5"/>
  <c r="E412" i="5"/>
  <c r="K411" i="5"/>
  <c r="J411" i="5"/>
  <c r="I411" i="5"/>
  <c r="E411" i="5"/>
  <c r="K410" i="5"/>
  <c r="J410" i="5"/>
  <c r="I410" i="5"/>
  <c r="H410" i="5"/>
  <c r="G410" i="5"/>
  <c r="F410" i="5"/>
  <c r="K409" i="5"/>
  <c r="J409" i="5"/>
  <c r="W409" i="5"/>
  <c r="I409" i="5"/>
  <c r="H409" i="5"/>
  <c r="G409" i="5"/>
  <c r="F409" i="5"/>
  <c r="V408" i="5"/>
  <c r="T408" i="5"/>
  <c r="R408" i="5"/>
  <c r="U408" i="5"/>
  <c r="S408" i="5"/>
  <c r="Q408" i="5"/>
  <c r="E408" i="5"/>
  <c r="D408" i="5"/>
  <c r="C408" i="5"/>
  <c r="B408" i="5"/>
  <c r="A408" i="5"/>
  <c r="A407" i="5"/>
  <c r="H405" i="5"/>
  <c r="J405" i="5"/>
  <c r="H404" i="5"/>
  <c r="J404" i="5"/>
  <c r="A404" i="5"/>
  <c r="AA402" i="5"/>
  <c r="Z402" i="5"/>
  <c r="Y402" i="5"/>
  <c r="X402" i="5"/>
  <c r="O402" i="5"/>
  <c r="H402" i="5"/>
  <c r="P402" i="5"/>
  <c r="J402" i="5"/>
  <c r="I401" i="5"/>
  <c r="H401" i="5"/>
  <c r="G401" i="5"/>
  <c r="E401" i="5"/>
  <c r="K400" i="5"/>
  <c r="J400" i="5"/>
  <c r="I400" i="5"/>
  <c r="E400" i="5"/>
  <c r="K399" i="5"/>
  <c r="J399" i="5"/>
  <c r="I399" i="5"/>
  <c r="E399" i="5"/>
  <c r="K398" i="5"/>
  <c r="J398" i="5"/>
  <c r="I398" i="5"/>
  <c r="E398" i="5"/>
  <c r="K397" i="5"/>
  <c r="J397" i="5"/>
  <c r="H397" i="5"/>
  <c r="AA397" i="5"/>
  <c r="Z397" i="5"/>
  <c r="Y397" i="5"/>
  <c r="X397" i="5"/>
  <c r="I397" i="5"/>
  <c r="F397" i="5"/>
  <c r="V397" i="5"/>
  <c r="T397" i="5"/>
  <c r="R397" i="5"/>
  <c r="U397" i="5"/>
  <c r="S397" i="5"/>
  <c r="Q397" i="5"/>
  <c r="E397" i="5"/>
  <c r="D397" i="5"/>
  <c r="C397" i="5"/>
  <c r="B397" i="5"/>
  <c r="A397" i="5"/>
  <c r="K396" i="5"/>
  <c r="J396" i="5"/>
  <c r="H396" i="5"/>
  <c r="AA396" i="5"/>
  <c r="Z396" i="5"/>
  <c r="Y396" i="5"/>
  <c r="X396" i="5"/>
  <c r="I396" i="5"/>
  <c r="F396" i="5"/>
  <c r="V396" i="5"/>
  <c r="T396" i="5"/>
  <c r="R396" i="5"/>
  <c r="U396" i="5"/>
  <c r="S396" i="5"/>
  <c r="Q396" i="5"/>
  <c r="E396" i="5"/>
  <c r="D396" i="5"/>
  <c r="C396" i="5"/>
  <c r="B396" i="5"/>
  <c r="A396" i="5"/>
  <c r="K395" i="5"/>
  <c r="J395" i="5"/>
  <c r="H395" i="5"/>
  <c r="AA395" i="5"/>
  <c r="Z395" i="5"/>
  <c r="Y395" i="5"/>
  <c r="X395" i="5"/>
  <c r="I395" i="5"/>
  <c r="F395" i="5"/>
  <c r="V395" i="5"/>
  <c r="T395" i="5"/>
  <c r="R395" i="5"/>
  <c r="U395" i="5"/>
  <c r="S395" i="5"/>
  <c r="Q395" i="5"/>
  <c r="E395" i="5"/>
  <c r="D395" i="5"/>
  <c r="C395" i="5"/>
  <c r="B395" i="5"/>
  <c r="A395" i="5"/>
  <c r="K394" i="5"/>
  <c r="J394" i="5"/>
  <c r="H394" i="5"/>
  <c r="AA394" i="5"/>
  <c r="Z394" i="5"/>
  <c r="Y394" i="5"/>
  <c r="X394" i="5"/>
  <c r="I394" i="5"/>
  <c r="F394" i="5"/>
  <c r="V394" i="5"/>
  <c r="T394" i="5"/>
  <c r="R394" i="5"/>
  <c r="U394" i="5"/>
  <c r="S394" i="5"/>
  <c r="Q394" i="5"/>
  <c r="E394" i="5"/>
  <c r="D394" i="5"/>
  <c r="C394" i="5"/>
  <c r="B394" i="5"/>
  <c r="A394" i="5"/>
  <c r="K393" i="5"/>
  <c r="J393" i="5"/>
  <c r="H393" i="5"/>
  <c r="AA393" i="5"/>
  <c r="Z393" i="5"/>
  <c r="Y393" i="5"/>
  <c r="X393" i="5"/>
  <c r="I393" i="5"/>
  <c r="F393" i="5"/>
  <c r="V393" i="5"/>
  <c r="T393" i="5"/>
  <c r="R393" i="5"/>
  <c r="U393" i="5"/>
  <c r="S393" i="5"/>
  <c r="Q393" i="5"/>
  <c r="E393" i="5"/>
  <c r="D393" i="5"/>
  <c r="C393" i="5"/>
  <c r="B393" i="5"/>
  <c r="A393" i="5"/>
  <c r="K392" i="5"/>
  <c r="J392" i="5"/>
  <c r="I392" i="5"/>
  <c r="H392" i="5"/>
  <c r="G392" i="5"/>
  <c r="F392" i="5"/>
  <c r="K391" i="5"/>
  <c r="J391" i="5"/>
  <c r="W391" i="5"/>
  <c r="I391" i="5"/>
  <c r="H391" i="5"/>
  <c r="G391" i="5"/>
  <c r="F391" i="5"/>
  <c r="K390" i="5"/>
  <c r="J390" i="5"/>
  <c r="I390" i="5"/>
  <c r="H390" i="5"/>
  <c r="G390" i="5"/>
  <c r="F390" i="5"/>
  <c r="K389" i="5"/>
  <c r="J389" i="5"/>
  <c r="W389" i="5"/>
  <c r="I389" i="5"/>
  <c r="H389" i="5"/>
  <c r="G389" i="5"/>
  <c r="F389" i="5"/>
  <c r="V388" i="5"/>
  <c r="T388" i="5"/>
  <c r="R388" i="5"/>
  <c r="U388" i="5"/>
  <c r="S388" i="5"/>
  <c r="Q388" i="5"/>
  <c r="E388" i="5"/>
  <c r="D388" i="5"/>
  <c r="C388" i="5"/>
  <c r="B388" i="5"/>
  <c r="A388" i="5"/>
  <c r="AA387" i="5"/>
  <c r="Z387" i="5"/>
  <c r="Y387" i="5"/>
  <c r="X387" i="5"/>
  <c r="O387" i="5"/>
  <c r="H387" i="5"/>
  <c r="P387" i="5"/>
  <c r="J387" i="5"/>
  <c r="I386" i="5"/>
  <c r="H386" i="5"/>
  <c r="G386" i="5"/>
  <c r="E386" i="5"/>
  <c r="K385" i="5"/>
  <c r="J385" i="5"/>
  <c r="I385" i="5"/>
  <c r="E385" i="5"/>
  <c r="K384" i="5"/>
  <c r="J384" i="5"/>
  <c r="I384" i="5"/>
  <c r="E384" i="5"/>
  <c r="K383" i="5"/>
  <c r="J383" i="5"/>
  <c r="I383" i="5"/>
  <c r="E383" i="5"/>
  <c r="K382" i="5"/>
  <c r="J382" i="5"/>
  <c r="H382" i="5"/>
  <c r="AA382" i="5"/>
  <c r="Z382" i="5"/>
  <c r="Y382" i="5"/>
  <c r="X382" i="5"/>
  <c r="I382" i="5"/>
  <c r="F382" i="5"/>
  <c r="V382" i="5"/>
  <c r="T382" i="5"/>
  <c r="R382" i="5"/>
  <c r="U382" i="5"/>
  <c r="S382" i="5"/>
  <c r="Q382" i="5"/>
  <c r="E382" i="5"/>
  <c r="D382" i="5"/>
  <c r="C382" i="5"/>
  <c r="B382" i="5"/>
  <c r="A382" i="5"/>
  <c r="K381" i="5"/>
  <c r="J381" i="5"/>
  <c r="H381" i="5"/>
  <c r="AA381" i="5"/>
  <c r="Z381" i="5"/>
  <c r="Y381" i="5"/>
  <c r="X381" i="5"/>
  <c r="I381" i="5"/>
  <c r="F381" i="5"/>
  <c r="V381" i="5"/>
  <c r="T381" i="5"/>
  <c r="R381" i="5"/>
  <c r="U381" i="5"/>
  <c r="S381" i="5"/>
  <c r="Q381" i="5"/>
  <c r="E381" i="5"/>
  <c r="D381" i="5"/>
  <c r="C381" i="5"/>
  <c r="B381" i="5"/>
  <c r="A381" i="5"/>
  <c r="K380" i="5"/>
  <c r="J380" i="5"/>
  <c r="H380" i="5"/>
  <c r="AA380" i="5"/>
  <c r="Z380" i="5"/>
  <c r="Y380" i="5"/>
  <c r="X380" i="5"/>
  <c r="I380" i="5"/>
  <c r="F380" i="5"/>
  <c r="V380" i="5"/>
  <c r="T380" i="5"/>
  <c r="R380" i="5"/>
  <c r="U380" i="5"/>
  <c r="S380" i="5"/>
  <c r="Q380" i="5"/>
  <c r="E380" i="5"/>
  <c r="D380" i="5"/>
  <c r="C380" i="5"/>
  <c r="B380" i="5"/>
  <c r="A380" i="5"/>
  <c r="K379" i="5"/>
  <c r="J379" i="5"/>
  <c r="I379" i="5"/>
  <c r="H379" i="5"/>
  <c r="G379" i="5"/>
  <c r="F379" i="5"/>
  <c r="K378" i="5"/>
  <c r="J378" i="5"/>
  <c r="W378" i="5"/>
  <c r="I378" i="5"/>
  <c r="H378" i="5"/>
  <c r="G378" i="5"/>
  <c r="F378" i="5"/>
  <c r="K377" i="5"/>
  <c r="J377" i="5"/>
  <c r="I377" i="5"/>
  <c r="H377" i="5"/>
  <c r="G377" i="5"/>
  <c r="F377" i="5"/>
  <c r="K376" i="5"/>
  <c r="J376" i="5"/>
  <c r="W376" i="5"/>
  <c r="I376" i="5"/>
  <c r="H376" i="5"/>
  <c r="G376" i="5"/>
  <c r="F376" i="5"/>
  <c r="C375" i="5"/>
  <c r="V374" i="5"/>
  <c r="T374" i="5"/>
  <c r="R374" i="5"/>
  <c r="U374" i="5"/>
  <c r="S374" i="5"/>
  <c r="Q374" i="5"/>
  <c r="E374" i="5"/>
  <c r="D374" i="5"/>
  <c r="C374" i="5"/>
  <c r="B374" i="5"/>
  <c r="A374" i="5"/>
  <c r="AA373" i="5"/>
  <c r="Z373" i="5"/>
  <c r="Y373" i="5"/>
  <c r="X373" i="5"/>
  <c r="O373" i="5"/>
  <c r="H373" i="5"/>
  <c r="P373" i="5"/>
  <c r="J373" i="5"/>
  <c r="I372" i="5"/>
  <c r="H372" i="5"/>
  <c r="G372" i="5"/>
  <c r="E372" i="5"/>
  <c r="K371" i="5"/>
  <c r="J371" i="5"/>
  <c r="I371" i="5"/>
  <c r="E371" i="5"/>
  <c r="K370" i="5"/>
  <c r="J370" i="5"/>
  <c r="I370" i="5"/>
  <c r="E370" i="5"/>
  <c r="K369" i="5"/>
  <c r="J369" i="5"/>
  <c r="I369" i="5"/>
  <c r="E369" i="5"/>
  <c r="K368" i="5"/>
  <c r="J368" i="5"/>
  <c r="H368" i="5"/>
  <c r="AA368" i="5"/>
  <c r="Z368" i="5"/>
  <c r="Y368" i="5"/>
  <c r="X368" i="5"/>
  <c r="I368" i="5"/>
  <c r="F368" i="5"/>
  <c r="V368" i="5"/>
  <c r="T368" i="5"/>
  <c r="R368" i="5"/>
  <c r="U368" i="5"/>
  <c r="S368" i="5"/>
  <c r="Q368" i="5"/>
  <c r="E368" i="5"/>
  <c r="D368" i="5"/>
  <c r="C368" i="5"/>
  <c r="B368" i="5"/>
  <c r="A368" i="5"/>
  <c r="K367" i="5"/>
  <c r="J367" i="5"/>
  <c r="I367" i="5"/>
  <c r="H367" i="5"/>
  <c r="G367" i="5"/>
  <c r="F367" i="5"/>
  <c r="K366" i="5"/>
  <c r="J366" i="5"/>
  <c r="W366" i="5"/>
  <c r="I366" i="5"/>
  <c r="H366" i="5"/>
  <c r="G366" i="5"/>
  <c r="F366" i="5"/>
  <c r="K365" i="5"/>
  <c r="J365" i="5"/>
  <c r="I365" i="5"/>
  <c r="H365" i="5"/>
  <c r="G365" i="5"/>
  <c r="F365" i="5"/>
  <c r="K364" i="5"/>
  <c r="J364" i="5"/>
  <c r="W364" i="5"/>
  <c r="I364" i="5"/>
  <c r="H364" i="5"/>
  <c r="G364" i="5"/>
  <c r="F364" i="5"/>
  <c r="C363" i="5"/>
  <c r="V362" i="5"/>
  <c r="T362" i="5"/>
  <c r="R362" i="5"/>
  <c r="U362" i="5"/>
  <c r="S362" i="5"/>
  <c r="Q362" i="5"/>
  <c r="E362" i="5"/>
  <c r="D362" i="5"/>
  <c r="C362" i="5"/>
  <c r="B362" i="5"/>
  <c r="A362" i="5"/>
  <c r="AA361" i="5"/>
  <c r="Z361" i="5"/>
  <c r="Y361" i="5"/>
  <c r="X361" i="5"/>
  <c r="O361" i="5"/>
  <c r="H361" i="5"/>
  <c r="P361" i="5"/>
  <c r="J361" i="5"/>
  <c r="I360" i="5"/>
  <c r="H360" i="5"/>
  <c r="G360" i="5"/>
  <c r="E360" i="5"/>
  <c r="K359" i="5"/>
  <c r="J359" i="5"/>
  <c r="I359" i="5"/>
  <c r="E359" i="5"/>
  <c r="K358" i="5"/>
  <c r="J358" i="5"/>
  <c r="I358" i="5"/>
  <c r="E358" i="5"/>
  <c r="K357" i="5"/>
  <c r="J357" i="5"/>
  <c r="I357" i="5"/>
  <c r="E357" i="5"/>
  <c r="K356" i="5"/>
  <c r="J356" i="5"/>
  <c r="H356" i="5"/>
  <c r="AA356" i="5"/>
  <c r="Z356" i="5"/>
  <c r="Y356" i="5"/>
  <c r="X356" i="5"/>
  <c r="I356" i="5"/>
  <c r="F356" i="5"/>
  <c r="V356" i="5"/>
  <c r="T356" i="5"/>
  <c r="R356" i="5"/>
  <c r="U356" i="5"/>
  <c r="S356" i="5"/>
  <c r="Q356" i="5"/>
  <c r="E356" i="5"/>
  <c r="D356" i="5"/>
  <c r="C356" i="5"/>
  <c r="B356" i="5"/>
  <c r="A356" i="5"/>
  <c r="K355" i="5"/>
  <c r="J355" i="5"/>
  <c r="I355" i="5"/>
  <c r="H355" i="5"/>
  <c r="G355" i="5"/>
  <c r="F355" i="5"/>
  <c r="K354" i="5"/>
  <c r="J354" i="5"/>
  <c r="W354" i="5"/>
  <c r="I354" i="5"/>
  <c r="H354" i="5"/>
  <c r="G354" i="5"/>
  <c r="F354" i="5"/>
  <c r="K353" i="5"/>
  <c r="J353" i="5"/>
  <c r="I353" i="5"/>
  <c r="H353" i="5"/>
  <c r="G353" i="5"/>
  <c r="F353" i="5"/>
  <c r="K352" i="5"/>
  <c r="J352" i="5"/>
  <c r="W352" i="5"/>
  <c r="I352" i="5"/>
  <c r="H352" i="5"/>
  <c r="G352" i="5"/>
  <c r="F352" i="5"/>
  <c r="C351" i="5"/>
  <c r="V350" i="5"/>
  <c r="T350" i="5"/>
  <c r="R350" i="5"/>
  <c r="U350" i="5"/>
  <c r="S350" i="5"/>
  <c r="Q350" i="5"/>
  <c r="E350" i="5"/>
  <c r="D350" i="5"/>
  <c r="C350" i="5"/>
  <c r="B350" i="5"/>
  <c r="A350" i="5"/>
  <c r="A349" i="5"/>
  <c r="H347" i="5"/>
  <c r="J347" i="5"/>
  <c r="H346" i="5"/>
  <c r="J346" i="5"/>
  <c r="A346" i="5"/>
  <c r="AA344" i="5"/>
  <c r="Z344" i="5"/>
  <c r="Y344" i="5"/>
  <c r="X344" i="5"/>
  <c r="O344" i="5"/>
  <c r="H344" i="5"/>
  <c r="P344" i="5"/>
  <c r="J344" i="5"/>
  <c r="I343" i="5"/>
  <c r="H343" i="5"/>
  <c r="G343" i="5"/>
  <c r="E343" i="5"/>
  <c r="K342" i="5"/>
  <c r="J342" i="5"/>
  <c r="I342" i="5"/>
  <c r="E342" i="5"/>
  <c r="K341" i="5"/>
  <c r="J341" i="5"/>
  <c r="I341" i="5"/>
  <c r="E341" i="5"/>
  <c r="K340" i="5"/>
  <c r="J340" i="5"/>
  <c r="H340" i="5"/>
  <c r="AA340" i="5"/>
  <c r="Z340" i="5"/>
  <c r="Y340" i="5"/>
  <c r="X340" i="5"/>
  <c r="I340" i="5"/>
  <c r="F340" i="5"/>
  <c r="V340" i="5"/>
  <c r="T340" i="5"/>
  <c r="R340" i="5"/>
  <c r="U340" i="5"/>
  <c r="S340" i="5"/>
  <c r="Q340" i="5"/>
  <c r="E340" i="5"/>
  <c r="D340" i="5"/>
  <c r="B340" i="5"/>
  <c r="A340" i="5"/>
  <c r="K339" i="5"/>
  <c r="J339" i="5"/>
  <c r="H339" i="5"/>
  <c r="AA339" i="5"/>
  <c r="Z339" i="5"/>
  <c r="Y339" i="5"/>
  <c r="X339" i="5"/>
  <c r="I339" i="5"/>
  <c r="F339" i="5"/>
  <c r="V339" i="5"/>
  <c r="T339" i="5"/>
  <c r="R339" i="5"/>
  <c r="U339" i="5"/>
  <c r="S339" i="5"/>
  <c r="Q339" i="5"/>
  <c r="E339" i="5"/>
  <c r="D339" i="5"/>
  <c r="B339" i="5"/>
  <c r="A339" i="5"/>
  <c r="K338" i="5"/>
  <c r="J338" i="5"/>
  <c r="H338" i="5"/>
  <c r="AA338" i="5"/>
  <c r="Z338" i="5"/>
  <c r="Y338" i="5"/>
  <c r="X338" i="5"/>
  <c r="I338" i="5"/>
  <c r="F338" i="5"/>
  <c r="V338" i="5"/>
  <c r="T338" i="5"/>
  <c r="R338" i="5"/>
  <c r="U338" i="5"/>
  <c r="S338" i="5"/>
  <c r="Q338" i="5"/>
  <c r="E338" i="5"/>
  <c r="D338" i="5"/>
  <c r="B338" i="5"/>
  <c r="A338" i="5"/>
  <c r="K337" i="5"/>
  <c r="J337" i="5"/>
  <c r="I337" i="5"/>
  <c r="H337" i="5"/>
  <c r="G337" i="5"/>
  <c r="F337" i="5"/>
  <c r="K336" i="5"/>
  <c r="J336" i="5"/>
  <c r="W336" i="5"/>
  <c r="I336" i="5"/>
  <c r="H336" i="5"/>
  <c r="G336" i="5"/>
  <c r="F336" i="5"/>
  <c r="V335" i="5"/>
  <c r="T335" i="5"/>
  <c r="R335" i="5"/>
  <c r="U335" i="5"/>
  <c r="S335" i="5"/>
  <c r="Q335" i="5"/>
  <c r="E335" i="5"/>
  <c r="D335" i="5"/>
  <c r="C335" i="5"/>
  <c r="B335" i="5"/>
  <c r="A335" i="5"/>
  <c r="AA334" i="5"/>
  <c r="Z334" i="5"/>
  <c r="Y334" i="5"/>
  <c r="X334" i="5"/>
  <c r="O334" i="5"/>
  <c r="H334" i="5"/>
  <c r="P334" i="5"/>
  <c r="J334" i="5"/>
  <c r="I333" i="5"/>
  <c r="H333" i="5"/>
  <c r="G333" i="5"/>
  <c r="E333" i="5"/>
  <c r="K332" i="5"/>
  <c r="J332" i="5"/>
  <c r="I332" i="5"/>
  <c r="E332" i="5"/>
  <c r="K331" i="5"/>
  <c r="J331" i="5"/>
  <c r="I331" i="5"/>
  <c r="E331" i="5"/>
  <c r="K330" i="5"/>
  <c r="J330" i="5"/>
  <c r="H330" i="5"/>
  <c r="AA330" i="5"/>
  <c r="Z330" i="5"/>
  <c r="Y330" i="5"/>
  <c r="X330" i="5"/>
  <c r="I330" i="5"/>
  <c r="F330" i="5"/>
  <c r="V330" i="5"/>
  <c r="T330" i="5"/>
  <c r="R330" i="5"/>
  <c r="U330" i="5"/>
  <c r="S330" i="5"/>
  <c r="Q330" i="5"/>
  <c r="E330" i="5"/>
  <c r="D330" i="5"/>
  <c r="C330" i="5"/>
  <c r="B330" i="5"/>
  <c r="A330" i="5"/>
  <c r="K329" i="5"/>
  <c r="J329" i="5"/>
  <c r="H329" i="5"/>
  <c r="AA329" i="5"/>
  <c r="Z329" i="5"/>
  <c r="Y329" i="5"/>
  <c r="X329" i="5"/>
  <c r="I329" i="5"/>
  <c r="F329" i="5"/>
  <c r="V329" i="5"/>
  <c r="T329" i="5"/>
  <c r="R329" i="5"/>
  <c r="U329" i="5"/>
  <c r="S329" i="5"/>
  <c r="Q329" i="5"/>
  <c r="E329" i="5"/>
  <c r="D329" i="5"/>
  <c r="B329" i="5"/>
  <c r="A329" i="5"/>
  <c r="K328" i="5"/>
  <c r="J328" i="5"/>
  <c r="I328" i="5"/>
  <c r="H328" i="5"/>
  <c r="G328" i="5"/>
  <c r="F328" i="5"/>
  <c r="K327" i="5"/>
  <c r="J327" i="5"/>
  <c r="W327" i="5"/>
  <c r="I327" i="5"/>
  <c r="H327" i="5"/>
  <c r="G327" i="5"/>
  <c r="F327" i="5"/>
  <c r="C326" i="5"/>
  <c r="V325" i="5"/>
  <c r="T325" i="5"/>
  <c r="R325" i="5"/>
  <c r="U325" i="5"/>
  <c r="S325" i="5"/>
  <c r="Q325" i="5"/>
  <c r="E325" i="5"/>
  <c r="D325" i="5"/>
  <c r="C325" i="5"/>
  <c r="B325" i="5"/>
  <c r="A325" i="5"/>
  <c r="AA324" i="5"/>
  <c r="Z324" i="5"/>
  <c r="Y324" i="5"/>
  <c r="X324" i="5"/>
  <c r="O324" i="5"/>
  <c r="H324" i="5"/>
  <c r="P324" i="5"/>
  <c r="J324" i="5"/>
  <c r="I323" i="5"/>
  <c r="H323" i="5"/>
  <c r="G323" i="5"/>
  <c r="E323" i="5"/>
  <c r="K322" i="5"/>
  <c r="J322" i="5"/>
  <c r="I322" i="5"/>
  <c r="E322" i="5"/>
  <c r="K321" i="5"/>
  <c r="J321" i="5"/>
  <c r="I321" i="5"/>
  <c r="E321" i="5"/>
  <c r="K320" i="5"/>
  <c r="J320" i="5"/>
  <c r="I320" i="5"/>
  <c r="E320" i="5"/>
  <c r="K319" i="5"/>
  <c r="J319" i="5"/>
  <c r="H319" i="5"/>
  <c r="AA319" i="5"/>
  <c r="Z319" i="5"/>
  <c r="Y319" i="5"/>
  <c r="X319" i="5"/>
  <c r="I319" i="5"/>
  <c r="F319" i="5"/>
  <c r="V319" i="5"/>
  <c r="T319" i="5"/>
  <c r="R319" i="5"/>
  <c r="U319" i="5"/>
  <c r="S319" i="5"/>
  <c r="Q319" i="5"/>
  <c r="E319" i="5"/>
  <c r="D319" i="5"/>
  <c r="C319" i="5"/>
  <c r="B319" i="5"/>
  <c r="A319" i="5"/>
  <c r="K318" i="5"/>
  <c r="J318" i="5"/>
  <c r="H318" i="5"/>
  <c r="AA318" i="5"/>
  <c r="Z318" i="5"/>
  <c r="Y318" i="5"/>
  <c r="X318" i="5"/>
  <c r="I318" i="5"/>
  <c r="F318" i="5"/>
  <c r="V318" i="5"/>
  <c r="T318" i="5"/>
  <c r="R318" i="5"/>
  <c r="U318" i="5"/>
  <c r="S318" i="5"/>
  <c r="Q318" i="5"/>
  <c r="E318" i="5"/>
  <c r="D318" i="5"/>
  <c r="C318" i="5"/>
  <c r="B318" i="5"/>
  <c r="A318" i="5"/>
  <c r="K317" i="5"/>
  <c r="J317" i="5"/>
  <c r="I317" i="5"/>
  <c r="H317" i="5"/>
  <c r="G317" i="5"/>
  <c r="F317" i="5"/>
  <c r="K316" i="5"/>
  <c r="J316" i="5"/>
  <c r="W316" i="5"/>
  <c r="I316" i="5"/>
  <c r="H316" i="5"/>
  <c r="G316" i="5"/>
  <c r="F316" i="5"/>
  <c r="K315" i="5"/>
  <c r="J315" i="5"/>
  <c r="I315" i="5"/>
  <c r="H315" i="5"/>
  <c r="G315" i="5"/>
  <c r="F315" i="5"/>
  <c r="K314" i="5"/>
  <c r="J314" i="5"/>
  <c r="W314" i="5"/>
  <c r="I314" i="5"/>
  <c r="H314" i="5"/>
  <c r="G314" i="5"/>
  <c r="F314" i="5"/>
  <c r="C313" i="5"/>
  <c r="V312" i="5"/>
  <c r="T312" i="5"/>
  <c r="R312" i="5"/>
  <c r="U312" i="5"/>
  <c r="S312" i="5"/>
  <c r="Q312" i="5"/>
  <c r="E312" i="5"/>
  <c r="D312" i="5"/>
  <c r="C312" i="5"/>
  <c r="B312" i="5"/>
  <c r="A312" i="5"/>
  <c r="AA311" i="5"/>
  <c r="Z311" i="5"/>
  <c r="Y311" i="5"/>
  <c r="X311" i="5"/>
  <c r="O311" i="5"/>
  <c r="H311" i="5"/>
  <c r="P311" i="5"/>
  <c r="J311" i="5"/>
  <c r="I310" i="5"/>
  <c r="H310" i="5"/>
  <c r="G310" i="5"/>
  <c r="E310" i="5"/>
  <c r="K309" i="5"/>
  <c r="J309" i="5"/>
  <c r="I309" i="5"/>
  <c r="E309" i="5"/>
  <c r="K308" i="5"/>
  <c r="J308" i="5"/>
  <c r="I308" i="5"/>
  <c r="E308" i="5"/>
  <c r="K307" i="5"/>
  <c r="J307" i="5"/>
  <c r="I307" i="5"/>
  <c r="E307" i="5"/>
  <c r="K306" i="5"/>
  <c r="J306" i="5"/>
  <c r="H306" i="5"/>
  <c r="AA306" i="5"/>
  <c r="Z306" i="5"/>
  <c r="Y306" i="5"/>
  <c r="X306" i="5"/>
  <c r="I306" i="5"/>
  <c r="F306" i="5"/>
  <c r="V306" i="5"/>
  <c r="T306" i="5"/>
  <c r="R306" i="5"/>
  <c r="U306" i="5"/>
  <c r="S306" i="5"/>
  <c r="Q306" i="5"/>
  <c r="E306" i="5"/>
  <c r="D306" i="5"/>
  <c r="C306" i="5"/>
  <c r="B306" i="5"/>
  <c r="A306" i="5"/>
  <c r="K305" i="5"/>
  <c r="J305" i="5"/>
  <c r="I305" i="5"/>
  <c r="H305" i="5"/>
  <c r="G305" i="5"/>
  <c r="F305" i="5"/>
  <c r="K304" i="5"/>
  <c r="J304" i="5"/>
  <c r="W304" i="5"/>
  <c r="I304" i="5"/>
  <c r="H304" i="5"/>
  <c r="G304" i="5"/>
  <c r="F304" i="5"/>
  <c r="K303" i="5"/>
  <c r="J303" i="5"/>
  <c r="I303" i="5"/>
  <c r="H303" i="5"/>
  <c r="G303" i="5"/>
  <c r="F303" i="5"/>
  <c r="K302" i="5"/>
  <c r="J302" i="5"/>
  <c r="W302" i="5"/>
  <c r="I302" i="5"/>
  <c r="H302" i="5"/>
  <c r="G302" i="5"/>
  <c r="F302" i="5"/>
  <c r="C301" i="5"/>
  <c r="V300" i="5"/>
  <c r="T300" i="5"/>
  <c r="R300" i="5"/>
  <c r="U300" i="5"/>
  <c r="S300" i="5"/>
  <c r="Q300" i="5"/>
  <c r="E300" i="5"/>
  <c r="D300" i="5"/>
  <c r="C300" i="5"/>
  <c r="B300" i="5"/>
  <c r="A300" i="5"/>
  <c r="A299" i="5"/>
  <c r="H297" i="5"/>
  <c r="J297" i="5"/>
  <c r="H296" i="5"/>
  <c r="J296" i="5"/>
  <c r="A296" i="5"/>
  <c r="AA294" i="5"/>
  <c r="Z294" i="5"/>
  <c r="Y294" i="5"/>
  <c r="X294" i="5"/>
  <c r="O294" i="5"/>
  <c r="H294" i="5"/>
  <c r="P294" i="5"/>
  <c r="J294" i="5"/>
  <c r="I293" i="5"/>
  <c r="H293" i="5"/>
  <c r="G293" i="5"/>
  <c r="E293" i="5"/>
  <c r="K292" i="5"/>
  <c r="J292" i="5"/>
  <c r="I292" i="5"/>
  <c r="E292" i="5"/>
  <c r="K291" i="5"/>
  <c r="J291" i="5"/>
  <c r="I291" i="5"/>
  <c r="E291" i="5"/>
  <c r="K290" i="5"/>
  <c r="J290" i="5"/>
  <c r="I290" i="5"/>
  <c r="E290" i="5"/>
  <c r="K289" i="5"/>
  <c r="J289" i="5"/>
  <c r="H289" i="5"/>
  <c r="AA289" i="5"/>
  <c r="Z289" i="5"/>
  <c r="Y289" i="5"/>
  <c r="X289" i="5"/>
  <c r="I289" i="5"/>
  <c r="F289" i="5"/>
  <c r="V289" i="5"/>
  <c r="T289" i="5"/>
  <c r="R289" i="5"/>
  <c r="U289" i="5"/>
  <c r="S289" i="5"/>
  <c r="Q289" i="5"/>
  <c r="E289" i="5"/>
  <c r="D289" i="5"/>
  <c r="C289" i="5"/>
  <c r="B289" i="5"/>
  <c r="A289" i="5"/>
  <c r="K288" i="5"/>
  <c r="J288" i="5"/>
  <c r="I288" i="5"/>
  <c r="H288" i="5"/>
  <c r="G288" i="5"/>
  <c r="F288" i="5"/>
  <c r="K287" i="5"/>
  <c r="J287" i="5"/>
  <c r="W287" i="5"/>
  <c r="I287" i="5"/>
  <c r="H287" i="5"/>
  <c r="G287" i="5"/>
  <c r="F287" i="5"/>
  <c r="K286" i="5"/>
  <c r="J286" i="5"/>
  <c r="I286" i="5"/>
  <c r="H286" i="5"/>
  <c r="G286" i="5"/>
  <c r="F286" i="5"/>
  <c r="K285" i="5"/>
  <c r="J285" i="5"/>
  <c r="W285" i="5"/>
  <c r="I285" i="5"/>
  <c r="H285" i="5"/>
  <c r="G285" i="5"/>
  <c r="F285" i="5"/>
  <c r="V284" i="5"/>
  <c r="T284" i="5"/>
  <c r="R284" i="5"/>
  <c r="U284" i="5"/>
  <c r="S284" i="5"/>
  <c r="Q284" i="5"/>
  <c r="E284" i="5"/>
  <c r="D284" i="5"/>
  <c r="C284" i="5"/>
  <c r="B284" i="5"/>
  <c r="A284" i="5"/>
  <c r="AA283" i="5"/>
  <c r="Z283" i="5"/>
  <c r="Y283" i="5"/>
  <c r="X283" i="5"/>
  <c r="O283" i="5"/>
  <c r="H283" i="5"/>
  <c r="P283" i="5"/>
  <c r="J283" i="5"/>
  <c r="I282" i="5"/>
  <c r="H282" i="5"/>
  <c r="G282" i="5"/>
  <c r="E282" i="5"/>
  <c r="K281" i="5"/>
  <c r="J281" i="5"/>
  <c r="I281" i="5"/>
  <c r="E281" i="5"/>
  <c r="K280" i="5"/>
  <c r="J280" i="5"/>
  <c r="I280" i="5"/>
  <c r="E280" i="5"/>
  <c r="K279" i="5"/>
  <c r="J279" i="5"/>
  <c r="I279" i="5"/>
  <c r="E279" i="5"/>
  <c r="K278" i="5"/>
  <c r="J278" i="5"/>
  <c r="H278" i="5"/>
  <c r="AA278" i="5"/>
  <c r="Z278" i="5"/>
  <c r="Y278" i="5"/>
  <c r="X278" i="5"/>
  <c r="I278" i="5"/>
  <c r="F278" i="5"/>
  <c r="V278" i="5"/>
  <c r="T278" i="5"/>
  <c r="R278" i="5"/>
  <c r="U278" i="5"/>
  <c r="S278" i="5"/>
  <c r="Q278" i="5"/>
  <c r="E278" i="5"/>
  <c r="D278" i="5"/>
  <c r="C278" i="5"/>
  <c r="B278" i="5"/>
  <c r="A278" i="5"/>
  <c r="K277" i="5"/>
  <c r="J277" i="5"/>
  <c r="H277" i="5"/>
  <c r="AA277" i="5"/>
  <c r="Z277" i="5"/>
  <c r="Y277" i="5"/>
  <c r="X277" i="5"/>
  <c r="I277" i="5"/>
  <c r="F277" i="5"/>
  <c r="V277" i="5"/>
  <c r="T277" i="5"/>
  <c r="R277" i="5"/>
  <c r="U277" i="5"/>
  <c r="S277" i="5"/>
  <c r="Q277" i="5"/>
  <c r="E277" i="5"/>
  <c r="D277" i="5"/>
  <c r="C277" i="5"/>
  <c r="B277" i="5"/>
  <c r="A277" i="5"/>
  <c r="K276" i="5"/>
  <c r="J276" i="5"/>
  <c r="I276" i="5"/>
  <c r="H276" i="5"/>
  <c r="G276" i="5"/>
  <c r="F276" i="5"/>
  <c r="K275" i="5"/>
  <c r="J275" i="5"/>
  <c r="W275" i="5"/>
  <c r="I275" i="5"/>
  <c r="H275" i="5"/>
  <c r="G275" i="5"/>
  <c r="F275" i="5"/>
  <c r="K274" i="5"/>
  <c r="J274" i="5"/>
  <c r="I274" i="5"/>
  <c r="H274" i="5"/>
  <c r="G274" i="5"/>
  <c r="F274" i="5"/>
  <c r="K273" i="5"/>
  <c r="J273" i="5"/>
  <c r="W273" i="5"/>
  <c r="I273" i="5"/>
  <c r="H273" i="5"/>
  <c r="G273" i="5"/>
  <c r="F273" i="5"/>
  <c r="C272" i="5"/>
  <c r="V271" i="5"/>
  <c r="T271" i="5"/>
  <c r="R271" i="5"/>
  <c r="U271" i="5"/>
  <c r="S271" i="5"/>
  <c r="Q271" i="5"/>
  <c r="E271" i="5"/>
  <c r="D271" i="5"/>
  <c r="C271" i="5"/>
  <c r="B271" i="5"/>
  <c r="A271" i="5"/>
  <c r="AA270" i="5"/>
  <c r="Z270" i="5"/>
  <c r="Y270" i="5"/>
  <c r="X270" i="5"/>
  <c r="O270" i="5"/>
  <c r="H270" i="5"/>
  <c r="P270" i="5"/>
  <c r="J270" i="5"/>
  <c r="I269" i="5"/>
  <c r="H269" i="5"/>
  <c r="G269" i="5"/>
  <c r="E269" i="5"/>
  <c r="K268" i="5"/>
  <c r="J268" i="5"/>
  <c r="I268" i="5"/>
  <c r="E268" i="5"/>
  <c r="K267" i="5"/>
  <c r="J267" i="5"/>
  <c r="I267" i="5"/>
  <c r="E267" i="5"/>
  <c r="K266" i="5"/>
  <c r="J266" i="5"/>
  <c r="I266" i="5"/>
  <c r="E266" i="5"/>
  <c r="K265" i="5"/>
  <c r="J265" i="5"/>
  <c r="H265" i="5"/>
  <c r="AA265" i="5"/>
  <c r="Z265" i="5"/>
  <c r="Y265" i="5"/>
  <c r="X265" i="5"/>
  <c r="I265" i="5"/>
  <c r="F265" i="5"/>
  <c r="V265" i="5"/>
  <c r="T265" i="5"/>
  <c r="R265" i="5"/>
  <c r="U265" i="5"/>
  <c r="S265" i="5"/>
  <c r="Q265" i="5"/>
  <c r="E265" i="5"/>
  <c r="D265" i="5"/>
  <c r="C265" i="5"/>
  <c r="B265" i="5"/>
  <c r="A265" i="5"/>
  <c r="K264" i="5"/>
  <c r="J264" i="5"/>
  <c r="H264" i="5"/>
  <c r="AA264" i="5"/>
  <c r="Z264" i="5"/>
  <c r="Y264" i="5"/>
  <c r="X264" i="5"/>
  <c r="I264" i="5"/>
  <c r="F264" i="5"/>
  <c r="V264" i="5"/>
  <c r="T264" i="5"/>
  <c r="R264" i="5"/>
  <c r="U264" i="5"/>
  <c r="S264" i="5"/>
  <c r="Q264" i="5"/>
  <c r="E264" i="5"/>
  <c r="D264" i="5"/>
  <c r="C264" i="5"/>
  <c r="B264" i="5"/>
  <c r="A264" i="5"/>
  <c r="K263" i="5"/>
  <c r="J263" i="5"/>
  <c r="I263" i="5"/>
  <c r="H263" i="5"/>
  <c r="G263" i="5"/>
  <c r="F263" i="5"/>
  <c r="K262" i="5"/>
  <c r="J262" i="5"/>
  <c r="W262" i="5"/>
  <c r="I262" i="5"/>
  <c r="H262" i="5"/>
  <c r="G262" i="5"/>
  <c r="F262" i="5"/>
  <c r="K261" i="5"/>
  <c r="J261" i="5"/>
  <c r="I261" i="5"/>
  <c r="H261" i="5"/>
  <c r="G261" i="5"/>
  <c r="F261" i="5"/>
  <c r="K260" i="5"/>
  <c r="J260" i="5"/>
  <c r="W260" i="5"/>
  <c r="I260" i="5"/>
  <c r="H260" i="5"/>
  <c r="G260" i="5"/>
  <c r="F260" i="5"/>
  <c r="V259" i="5"/>
  <c r="T259" i="5"/>
  <c r="R259" i="5"/>
  <c r="U259" i="5"/>
  <c r="S259" i="5"/>
  <c r="Q259" i="5"/>
  <c r="E259" i="5"/>
  <c r="D259" i="5"/>
  <c r="C259" i="5"/>
  <c r="B259" i="5"/>
  <c r="A259" i="5"/>
  <c r="AA258" i="5"/>
  <c r="Z258" i="5"/>
  <c r="Y258" i="5"/>
  <c r="X258" i="5"/>
  <c r="O258" i="5"/>
  <c r="H258" i="5"/>
  <c r="P258" i="5"/>
  <c r="J258" i="5"/>
  <c r="I257" i="5"/>
  <c r="H257" i="5"/>
  <c r="G257" i="5"/>
  <c r="E257" i="5"/>
  <c r="K256" i="5"/>
  <c r="J256" i="5"/>
  <c r="I256" i="5"/>
  <c r="E256" i="5"/>
  <c r="K255" i="5"/>
  <c r="J255" i="5"/>
  <c r="I255" i="5"/>
  <c r="E255" i="5"/>
  <c r="K254" i="5"/>
  <c r="J254" i="5"/>
  <c r="I254" i="5"/>
  <c r="E254" i="5"/>
  <c r="K253" i="5"/>
  <c r="J253" i="5"/>
  <c r="H253" i="5"/>
  <c r="AA253" i="5"/>
  <c r="Z253" i="5"/>
  <c r="Y253" i="5"/>
  <c r="X253" i="5"/>
  <c r="I253" i="5"/>
  <c r="F253" i="5"/>
  <c r="V253" i="5"/>
  <c r="T253" i="5"/>
  <c r="R253" i="5"/>
  <c r="U253" i="5"/>
  <c r="S253" i="5"/>
  <c r="Q253" i="5"/>
  <c r="E253" i="5"/>
  <c r="D253" i="5"/>
  <c r="C253" i="5"/>
  <c r="B253" i="5"/>
  <c r="A253" i="5"/>
  <c r="K252" i="5"/>
  <c r="J252" i="5"/>
  <c r="H252" i="5"/>
  <c r="AA252" i="5"/>
  <c r="Z252" i="5"/>
  <c r="Y252" i="5"/>
  <c r="X252" i="5"/>
  <c r="I252" i="5"/>
  <c r="F252" i="5"/>
  <c r="V252" i="5"/>
  <c r="T252" i="5"/>
  <c r="R252" i="5"/>
  <c r="U252" i="5"/>
  <c r="S252" i="5"/>
  <c r="Q252" i="5"/>
  <c r="E252" i="5"/>
  <c r="D252" i="5"/>
  <c r="C252" i="5"/>
  <c r="B252" i="5"/>
  <c r="A252" i="5"/>
  <c r="K251" i="5"/>
  <c r="J251" i="5"/>
  <c r="I251" i="5"/>
  <c r="H251" i="5"/>
  <c r="G251" i="5"/>
  <c r="F251" i="5"/>
  <c r="K250" i="5"/>
  <c r="J250" i="5"/>
  <c r="W250" i="5"/>
  <c r="I250" i="5"/>
  <c r="H250" i="5"/>
  <c r="G250" i="5"/>
  <c r="F250" i="5"/>
  <c r="K249" i="5"/>
  <c r="J249" i="5"/>
  <c r="I249" i="5"/>
  <c r="H249" i="5"/>
  <c r="G249" i="5"/>
  <c r="F249" i="5"/>
  <c r="K248" i="5"/>
  <c r="J248" i="5"/>
  <c r="W248" i="5"/>
  <c r="I248" i="5"/>
  <c r="H248" i="5"/>
  <c r="G248" i="5"/>
  <c r="F248" i="5"/>
  <c r="C247" i="5"/>
  <c r="V246" i="5"/>
  <c r="T246" i="5"/>
  <c r="R246" i="5"/>
  <c r="U246" i="5"/>
  <c r="S246" i="5"/>
  <c r="Q246" i="5"/>
  <c r="E246" i="5"/>
  <c r="D246" i="5"/>
  <c r="C246" i="5"/>
  <c r="B246" i="5"/>
  <c r="A246" i="5"/>
  <c r="AA245" i="5"/>
  <c r="Z245" i="5"/>
  <c r="Y245" i="5"/>
  <c r="X245" i="5"/>
  <c r="O245" i="5"/>
  <c r="H245" i="5"/>
  <c r="P245" i="5"/>
  <c r="J245" i="5"/>
  <c r="I244" i="5"/>
  <c r="H244" i="5"/>
  <c r="G244" i="5"/>
  <c r="E244" i="5"/>
  <c r="K243" i="5"/>
  <c r="J243" i="5"/>
  <c r="I243" i="5"/>
  <c r="E243" i="5"/>
  <c r="K242" i="5"/>
  <c r="J242" i="5"/>
  <c r="I242" i="5"/>
  <c r="E242" i="5"/>
  <c r="K241" i="5"/>
  <c r="J241" i="5"/>
  <c r="I241" i="5"/>
  <c r="E241" i="5"/>
  <c r="K240" i="5"/>
  <c r="J240" i="5"/>
  <c r="H240" i="5"/>
  <c r="AA240" i="5"/>
  <c r="Z240" i="5"/>
  <c r="Y240" i="5"/>
  <c r="X240" i="5"/>
  <c r="I240" i="5"/>
  <c r="F240" i="5"/>
  <c r="V240" i="5"/>
  <c r="T240" i="5"/>
  <c r="R240" i="5"/>
  <c r="U240" i="5"/>
  <c r="S240" i="5"/>
  <c r="Q240" i="5"/>
  <c r="E240" i="5"/>
  <c r="D240" i="5"/>
  <c r="C240" i="5"/>
  <c r="B240" i="5"/>
  <c r="A240" i="5"/>
  <c r="K239" i="5"/>
  <c r="J239" i="5"/>
  <c r="H239" i="5"/>
  <c r="AA239" i="5"/>
  <c r="Z239" i="5"/>
  <c r="Y239" i="5"/>
  <c r="X239" i="5"/>
  <c r="I239" i="5"/>
  <c r="F239" i="5"/>
  <c r="V239" i="5"/>
  <c r="T239" i="5"/>
  <c r="R239" i="5"/>
  <c r="U239" i="5"/>
  <c r="S239" i="5"/>
  <c r="Q239" i="5"/>
  <c r="E239" i="5"/>
  <c r="D239" i="5"/>
  <c r="C239" i="5"/>
  <c r="B239" i="5"/>
  <c r="A239" i="5"/>
  <c r="K238" i="5"/>
  <c r="J238" i="5"/>
  <c r="H238" i="5"/>
  <c r="AA238" i="5"/>
  <c r="Z238" i="5"/>
  <c r="Y238" i="5"/>
  <c r="X238" i="5"/>
  <c r="I238" i="5"/>
  <c r="F238" i="5"/>
  <c r="V238" i="5"/>
  <c r="T238" i="5"/>
  <c r="R238" i="5"/>
  <c r="U238" i="5"/>
  <c r="S238" i="5"/>
  <c r="Q238" i="5"/>
  <c r="E238" i="5"/>
  <c r="D238" i="5"/>
  <c r="C238" i="5"/>
  <c r="B238" i="5"/>
  <c r="A238" i="5"/>
  <c r="K237" i="5"/>
  <c r="J237" i="5"/>
  <c r="I237" i="5"/>
  <c r="H237" i="5"/>
  <c r="G237" i="5"/>
  <c r="F237" i="5"/>
  <c r="K236" i="5"/>
  <c r="J236" i="5"/>
  <c r="W236" i="5"/>
  <c r="I236" i="5"/>
  <c r="H236" i="5"/>
  <c r="G236" i="5"/>
  <c r="F236" i="5"/>
  <c r="K235" i="5"/>
  <c r="J235" i="5"/>
  <c r="I235" i="5"/>
  <c r="H235" i="5"/>
  <c r="G235" i="5"/>
  <c r="F235" i="5"/>
  <c r="K234" i="5"/>
  <c r="J234" i="5"/>
  <c r="W234" i="5"/>
  <c r="I234" i="5"/>
  <c r="H234" i="5"/>
  <c r="G234" i="5"/>
  <c r="F234" i="5"/>
  <c r="C233" i="5"/>
  <c r="V232" i="5"/>
  <c r="T232" i="5"/>
  <c r="R232" i="5"/>
  <c r="U232" i="5"/>
  <c r="S232" i="5"/>
  <c r="Q232" i="5"/>
  <c r="E232" i="5"/>
  <c r="D232" i="5"/>
  <c r="C232" i="5"/>
  <c r="B232" i="5"/>
  <c r="A232" i="5"/>
  <c r="AA231" i="5"/>
  <c r="Z231" i="5"/>
  <c r="Y231" i="5"/>
  <c r="X231" i="5"/>
  <c r="O231" i="5"/>
  <c r="H231" i="5"/>
  <c r="P231" i="5"/>
  <c r="J231" i="5"/>
  <c r="I230" i="5"/>
  <c r="H230" i="5"/>
  <c r="G230" i="5"/>
  <c r="E230" i="5"/>
  <c r="K229" i="5"/>
  <c r="J229" i="5"/>
  <c r="I229" i="5"/>
  <c r="E229" i="5"/>
  <c r="K228" i="5"/>
  <c r="J228" i="5"/>
  <c r="I228" i="5"/>
  <c r="E228" i="5"/>
  <c r="K227" i="5"/>
  <c r="J227" i="5"/>
  <c r="I227" i="5"/>
  <c r="E227" i="5"/>
  <c r="K226" i="5"/>
  <c r="J226" i="5"/>
  <c r="H226" i="5"/>
  <c r="AA226" i="5"/>
  <c r="Z226" i="5"/>
  <c r="Y226" i="5"/>
  <c r="X226" i="5"/>
  <c r="I226" i="5"/>
  <c r="F226" i="5"/>
  <c r="V226" i="5"/>
  <c r="T226" i="5"/>
  <c r="R226" i="5"/>
  <c r="U226" i="5"/>
  <c r="S226" i="5"/>
  <c r="Q226" i="5"/>
  <c r="E226" i="5"/>
  <c r="D226" i="5"/>
  <c r="B226" i="5"/>
  <c r="A226" i="5"/>
  <c r="K225" i="5"/>
  <c r="J225" i="5"/>
  <c r="H225" i="5"/>
  <c r="AA225" i="5"/>
  <c r="Z225" i="5"/>
  <c r="Y225" i="5"/>
  <c r="X225" i="5"/>
  <c r="I225" i="5"/>
  <c r="F225" i="5"/>
  <c r="V225" i="5"/>
  <c r="T225" i="5"/>
  <c r="R225" i="5"/>
  <c r="U225" i="5"/>
  <c r="S225" i="5"/>
  <c r="Q225" i="5"/>
  <c r="E225" i="5"/>
  <c r="D225" i="5"/>
  <c r="B225" i="5"/>
  <c r="A225" i="5"/>
  <c r="K224" i="5"/>
  <c r="J224" i="5"/>
  <c r="H224" i="5"/>
  <c r="AA224" i="5"/>
  <c r="Z224" i="5"/>
  <c r="Y224" i="5"/>
  <c r="X224" i="5"/>
  <c r="I224" i="5"/>
  <c r="F224" i="5"/>
  <c r="V224" i="5"/>
  <c r="T224" i="5"/>
  <c r="R224" i="5"/>
  <c r="U224" i="5"/>
  <c r="S224" i="5"/>
  <c r="Q224" i="5"/>
  <c r="E224" i="5"/>
  <c r="D224" i="5"/>
  <c r="C224" i="5"/>
  <c r="B224" i="5"/>
  <c r="A224" i="5"/>
  <c r="K223" i="5"/>
  <c r="J223" i="5"/>
  <c r="W223" i="5"/>
  <c r="I223" i="5"/>
  <c r="H223" i="5"/>
  <c r="G223" i="5"/>
  <c r="F223" i="5"/>
  <c r="K222" i="5"/>
  <c r="J222" i="5"/>
  <c r="I222" i="5"/>
  <c r="H222" i="5"/>
  <c r="G222" i="5"/>
  <c r="F222" i="5"/>
  <c r="K221" i="5"/>
  <c r="J221" i="5"/>
  <c r="W221" i="5"/>
  <c r="I221" i="5"/>
  <c r="H221" i="5"/>
  <c r="G221" i="5"/>
  <c r="F221" i="5"/>
  <c r="C220" i="5"/>
  <c r="V219" i="5"/>
  <c r="T219" i="5"/>
  <c r="R219" i="5"/>
  <c r="U219" i="5"/>
  <c r="S219" i="5"/>
  <c r="Q219" i="5"/>
  <c r="E219" i="5"/>
  <c r="D219" i="5"/>
  <c r="C219" i="5"/>
  <c r="B219" i="5"/>
  <c r="A219" i="5"/>
  <c r="AA218" i="5"/>
  <c r="Z218" i="5"/>
  <c r="Y218" i="5"/>
  <c r="X218" i="5"/>
  <c r="O218" i="5"/>
  <c r="H218" i="5"/>
  <c r="P218" i="5"/>
  <c r="J218" i="5"/>
  <c r="I217" i="5"/>
  <c r="H217" i="5"/>
  <c r="G217" i="5"/>
  <c r="E217" i="5"/>
  <c r="K216" i="5"/>
  <c r="J216" i="5"/>
  <c r="I216" i="5"/>
  <c r="E216" i="5"/>
  <c r="K215" i="5"/>
  <c r="J215" i="5"/>
  <c r="I215" i="5"/>
  <c r="E215" i="5"/>
  <c r="K214" i="5"/>
  <c r="J214" i="5"/>
  <c r="I214" i="5"/>
  <c r="E214" i="5"/>
  <c r="K213" i="5"/>
  <c r="J213" i="5"/>
  <c r="H213" i="5"/>
  <c r="AA213" i="5"/>
  <c r="Z213" i="5"/>
  <c r="Y213" i="5"/>
  <c r="X213" i="5"/>
  <c r="I213" i="5"/>
  <c r="F213" i="5"/>
  <c r="V213" i="5"/>
  <c r="T213" i="5"/>
  <c r="R213" i="5"/>
  <c r="U213" i="5"/>
  <c r="S213" i="5"/>
  <c r="Q213" i="5"/>
  <c r="E213" i="5"/>
  <c r="D213" i="5"/>
  <c r="C213" i="5"/>
  <c r="B213" i="5"/>
  <c r="A213" i="5"/>
  <c r="K212" i="5"/>
  <c r="J212" i="5"/>
  <c r="H212" i="5"/>
  <c r="AA212" i="5"/>
  <c r="Z212" i="5"/>
  <c r="Y212" i="5"/>
  <c r="X212" i="5"/>
  <c r="I212" i="5"/>
  <c r="F212" i="5"/>
  <c r="V212" i="5"/>
  <c r="T212" i="5"/>
  <c r="R212" i="5"/>
  <c r="U212" i="5"/>
  <c r="S212" i="5"/>
  <c r="Q212" i="5"/>
  <c r="E212" i="5"/>
  <c r="D212" i="5"/>
  <c r="C212" i="5"/>
  <c r="B212" i="5"/>
  <c r="A212" i="5"/>
  <c r="K211" i="5"/>
  <c r="J211" i="5"/>
  <c r="H211" i="5"/>
  <c r="AA211" i="5"/>
  <c r="Z211" i="5"/>
  <c r="Y211" i="5"/>
  <c r="X211" i="5"/>
  <c r="I211" i="5"/>
  <c r="F211" i="5"/>
  <c r="V211" i="5"/>
  <c r="T211" i="5"/>
  <c r="R211" i="5"/>
  <c r="U211" i="5"/>
  <c r="S211" i="5"/>
  <c r="Q211" i="5"/>
  <c r="E211" i="5"/>
  <c r="D211" i="5"/>
  <c r="C211" i="5"/>
  <c r="B211" i="5"/>
  <c r="A211" i="5"/>
  <c r="K210" i="5"/>
  <c r="J210" i="5"/>
  <c r="I210" i="5"/>
  <c r="H210" i="5"/>
  <c r="G210" i="5"/>
  <c r="F210" i="5"/>
  <c r="K209" i="5"/>
  <c r="J209" i="5"/>
  <c r="W209" i="5"/>
  <c r="I209" i="5"/>
  <c r="H209" i="5"/>
  <c r="G209" i="5"/>
  <c r="F209" i="5"/>
  <c r="K208" i="5"/>
  <c r="J208" i="5"/>
  <c r="I208" i="5"/>
  <c r="H208" i="5"/>
  <c r="G208" i="5"/>
  <c r="F208" i="5"/>
  <c r="K207" i="5"/>
  <c r="J207" i="5"/>
  <c r="W207" i="5"/>
  <c r="I207" i="5"/>
  <c r="H207" i="5"/>
  <c r="G207" i="5"/>
  <c r="F207" i="5"/>
  <c r="C206" i="5"/>
  <c r="V205" i="5"/>
  <c r="T205" i="5"/>
  <c r="R205" i="5"/>
  <c r="U205" i="5"/>
  <c r="S205" i="5"/>
  <c r="Q205" i="5"/>
  <c r="E205" i="5"/>
  <c r="D205" i="5"/>
  <c r="C205" i="5"/>
  <c r="B205" i="5"/>
  <c r="A205" i="5"/>
  <c r="AA204" i="5"/>
  <c r="Z204" i="5"/>
  <c r="Y204" i="5"/>
  <c r="X204" i="5"/>
  <c r="O204" i="5"/>
  <c r="H204" i="5"/>
  <c r="P204" i="5"/>
  <c r="J204" i="5"/>
  <c r="I203" i="5"/>
  <c r="H203" i="5"/>
  <c r="G203" i="5"/>
  <c r="E203" i="5"/>
  <c r="K202" i="5"/>
  <c r="J202" i="5"/>
  <c r="I202" i="5"/>
  <c r="E202" i="5"/>
  <c r="K201" i="5"/>
  <c r="J201" i="5"/>
  <c r="I201" i="5"/>
  <c r="E201" i="5"/>
  <c r="K200" i="5"/>
  <c r="J200" i="5"/>
  <c r="I200" i="5"/>
  <c r="E200" i="5"/>
  <c r="K199" i="5"/>
  <c r="J199" i="5"/>
  <c r="H199" i="5"/>
  <c r="AA199" i="5"/>
  <c r="Z199" i="5"/>
  <c r="Y199" i="5"/>
  <c r="X199" i="5"/>
  <c r="I199" i="5"/>
  <c r="F199" i="5"/>
  <c r="V199" i="5"/>
  <c r="T199" i="5"/>
  <c r="R199" i="5"/>
  <c r="U199" i="5"/>
  <c r="S199" i="5"/>
  <c r="Q199" i="5"/>
  <c r="E199" i="5"/>
  <c r="D199" i="5"/>
  <c r="C199" i="5"/>
  <c r="B199" i="5"/>
  <c r="A199" i="5"/>
  <c r="K198" i="5"/>
  <c r="J198" i="5"/>
  <c r="I198" i="5"/>
  <c r="H198" i="5"/>
  <c r="G198" i="5"/>
  <c r="F198" i="5"/>
  <c r="K197" i="5"/>
  <c r="J197" i="5"/>
  <c r="W197" i="5"/>
  <c r="I197" i="5"/>
  <c r="H197" i="5"/>
  <c r="G197" i="5"/>
  <c r="F197" i="5"/>
  <c r="K196" i="5"/>
  <c r="J196" i="5"/>
  <c r="I196" i="5"/>
  <c r="H196" i="5"/>
  <c r="G196" i="5"/>
  <c r="F196" i="5"/>
  <c r="K195" i="5"/>
  <c r="J195" i="5"/>
  <c r="W195" i="5"/>
  <c r="I195" i="5"/>
  <c r="H195" i="5"/>
  <c r="G195" i="5"/>
  <c r="F195" i="5"/>
  <c r="C194" i="5"/>
  <c r="V193" i="5"/>
  <c r="T193" i="5"/>
  <c r="R193" i="5"/>
  <c r="U193" i="5"/>
  <c r="S193" i="5"/>
  <c r="Q193" i="5"/>
  <c r="E193" i="5"/>
  <c r="D193" i="5"/>
  <c r="C193" i="5"/>
  <c r="B193" i="5"/>
  <c r="A193" i="5"/>
  <c r="AA192" i="5"/>
  <c r="Z192" i="5"/>
  <c r="Y192" i="5"/>
  <c r="X192" i="5"/>
  <c r="O192" i="5"/>
  <c r="H192" i="5"/>
  <c r="P192" i="5"/>
  <c r="J192" i="5"/>
  <c r="I191" i="5"/>
  <c r="H191" i="5"/>
  <c r="G191" i="5"/>
  <c r="E191" i="5"/>
  <c r="K190" i="5"/>
  <c r="J190" i="5"/>
  <c r="I190" i="5"/>
  <c r="E190" i="5"/>
  <c r="K189" i="5"/>
  <c r="J189" i="5"/>
  <c r="I189" i="5"/>
  <c r="E189" i="5"/>
  <c r="K188" i="5"/>
  <c r="J188" i="5"/>
  <c r="I188" i="5"/>
  <c r="E188" i="5"/>
  <c r="K187" i="5"/>
  <c r="J187" i="5"/>
  <c r="H187" i="5"/>
  <c r="AA187" i="5"/>
  <c r="Z187" i="5"/>
  <c r="Y187" i="5"/>
  <c r="X187" i="5"/>
  <c r="I187" i="5"/>
  <c r="F187" i="5"/>
  <c r="V187" i="5"/>
  <c r="T187" i="5"/>
  <c r="R187" i="5"/>
  <c r="U187" i="5"/>
  <c r="S187" i="5"/>
  <c r="Q187" i="5"/>
  <c r="E187" i="5"/>
  <c r="D187" i="5"/>
  <c r="C187" i="5"/>
  <c r="B187" i="5"/>
  <c r="A187" i="5"/>
  <c r="K186" i="5"/>
  <c r="J186" i="5"/>
  <c r="I186" i="5"/>
  <c r="H186" i="5"/>
  <c r="G186" i="5"/>
  <c r="F186" i="5"/>
  <c r="K185" i="5"/>
  <c r="J185" i="5"/>
  <c r="W185" i="5"/>
  <c r="I185" i="5"/>
  <c r="H185" i="5"/>
  <c r="G185" i="5"/>
  <c r="F185" i="5"/>
  <c r="K184" i="5"/>
  <c r="J184" i="5"/>
  <c r="I184" i="5"/>
  <c r="H184" i="5"/>
  <c r="G184" i="5"/>
  <c r="F184" i="5"/>
  <c r="K183" i="5"/>
  <c r="J183" i="5"/>
  <c r="W183" i="5"/>
  <c r="I183" i="5"/>
  <c r="H183" i="5"/>
  <c r="G183" i="5"/>
  <c r="F183" i="5"/>
  <c r="C182" i="5"/>
  <c r="V181" i="5"/>
  <c r="T181" i="5"/>
  <c r="R181" i="5"/>
  <c r="U181" i="5"/>
  <c r="S181" i="5"/>
  <c r="Q181" i="5"/>
  <c r="E181" i="5"/>
  <c r="D181" i="5"/>
  <c r="C181" i="5"/>
  <c r="B181" i="5"/>
  <c r="A181" i="5"/>
  <c r="A180" i="5"/>
  <c r="A178" i="5"/>
  <c r="H176" i="5"/>
  <c r="J176" i="5"/>
  <c r="H175" i="5"/>
  <c r="J175" i="5"/>
  <c r="A175" i="5"/>
  <c r="H173" i="5"/>
  <c r="J173" i="5"/>
  <c r="H172" i="5"/>
  <c r="J172" i="5"/>
  <c r="A172" i="5"/>
  <c r="AA170" i="5"/>
  <c r="Z170" i="5"/>
  <c r="Y170" i="5"/>
  <c r="X170" i="5"/>
  <c r="O170" i="5"/>
  <c r="H170" i="5"/>
  <c r="P170" i="5"/>
  <c r="J170" i="5"/>
  <c r="I169" i="5"/>
  <c r="H169" i="5"/>
  <c r="G169" i="5"/>
  <c r="E169" i="5"/>
  <c r="K168" i="5"/>
  <c r="J168" i="5"/>
  <c r="I168" i="5"/>
  <c r="E168" i="5"/>
  <c r="K167" i="5"/>
  <c r="J167" i="5"/>
  <c r="I167" i="5"/>
  <c r="E167" i="5"/>
  <c r="K166" i="5"/>
  <c r="J166" i="5"/>
  <c r="I166" i="5"/>
  <c r="E166" i="5"/>
  <c r="K165" i="5"/>
  <c r="J165" i="5"/>
  <c r="H165" i="5"/>
  <c r="AA165" i="5"/>
  <c r="Z165" i="5"/>
  <c r="Y165" i="5"/>
  <c r="X165" i="5"/>
  <c r="I165" i="5"/>
  <c r="F165" i="5"/>
  <c r="V165" i="5"/>
  <c r="T165" i="5"/>
  <c r="R165" i="5"/>
  <c r="U165" i="5"/>
  <c r="S165" i="5"/>
  <c r="Q165" i="5"/>
  <c r="E165" i="5"/>
  <c r="D165" i="5"/>
  <c r="C165" i="5"/>
  <c r="B165" i="5"/>
  <c r="A165" i="5"/>
  <c r="K164" i="5"/>
  <c r="J164" i="5"/>
  <c r="I164" i="5"/>
  <c r="H164" i="5"/>
  <c r="G164" i="5"/>
  <c r="F164" i="5"/>
  <c r="K163" i="5"/>
  <c r="J163" i="5"/>
  <c r="W163" i="5"/>
  <c r="I163" i="5"/>
  <c r="H163" i="5"/>
  <c r="G163" i="5"/>
  <c r="F163" i="5"/>
  <c r="K162" i="5"/>
  <c r="J162" i="5"/>
  <c r="I162" i="5"/>
  <c r="H162" i="5"/>
  <c r="G162" i="5"/>
  <c r="F162" i="5"/>
  <c r="K161" i="5"/>
  <c r="J161" i="5"/>
  <c r="W161" i="5"/>
  <c r="I161" i="5"/>
  <c r="H161" i="5"/>
  <c r="G161" i="5"/>
  <c r="F161" i="5"/>
  <c r="V160" i="5"/>
  <c r="T160" i="5"/>
  <c r="R160" i="5"/>
  <c r="U160" i="5"/>
  <c r="S160" i="5"/>
  <c r="Q160" i="5"/>
  <c r="E160" i="5"/>
  <c r="D160" i="5"/>
  <c r="C160" i="5"/>
  <c r="B160" i="5"/>
  <c r="A160" i="5"/>
  <c r="AA159" i="5"/>
  <c r="Z159" i="5"/>
  <c r="Y159" i="5"/>
  <c r="X159" i="5"/>
  <c r="O159" i="5"/>
  <c r="H159" i="5"/>
  <c r="P159" i="5"/>
  <c r="J159" i="5"/>
  <c r="I158" i="5"/>
  <c r="H158" i="5"/>
  <c r="G158" i="5"/>
  <c r="E158" i="5"/>
  <c r="K157" i="5"/>
  <c r="J157" i="5"/>
  <c r="I157" i="5"/>
  <c r="E157" i="5"/>
  <c r="K156" i="5"/>
  <c r="J156" i="5"/>
  <c r="I156" i="5"/>
  <c r="E156" i="5"/>
  <c r="K155" i="5"/>
  <c r="J155" i="5"/>
  <c r="I155" i="5"/>
  <c r="E155" i="5"/>
  <c r="K154" i="5"/>
  <c r="J154" i="5"/>
  <c r="H154" i="5"/>
  <c r="AA154" i="5"/>
  <c r="Z154" i="5"/>
  <c r="Y154" i="5"/>
  <c r="X154" i="5"/>
  <c r="I154" i="5"/>
  <c r="F154" i="5"/>
  <c r="V154" i="5"/>
  <c r="T154" i="5"/>
  <c r="R154" i="5"/>
  <c r="U154" i="5"/>
  <c r="S154" i="5"/>
  <c r="Q154" i="5"/>
  <c r="E154" i="5"/>
  <c r="D154" i="5"/>
  <c r="C154" i="5"/>
  <c r="B154" i="5"/>
  <c r="A154" i="5"/>
  <c r="K153" i="5"/>
  <c r="J153" i="5"/>
  <c r="W153" i="5"/>
  <c r="I153" i="5"/>
  <c r="H153" i="5"/>
  <c r="G153" i="5"/>
  <c r="F153" i="5"/>
  <c r="K152" i="5"/>
  <c r="J152" i="5"/>
  <c r="I152" i="5"/>
  <c r="H152" i="5"/>
  <c r="G152" i="5"/>
  <c r="F152" i="5"/>
  <c r="K151" i="5"/>
  <c r="J151" i="5"/>
  <c r="W151" i="5"/>
  <c r="I151" i="5"/>
  <c r="H151" i="5"/>
  <c r="G151" i="5"/>
  <c r="F151" i="5"/>
  <c r="V150" i="5"/>
  <c r="T150" i="5"/>
  <c r="R150" i="5"/>
  <c r="U150" i="5"/>
  <c r="S150" i="5"/>
  <c r="Q150" i="5"/>
  <c r="E150" i="5"/>
  <c r="D150" i="5"/>
  <c r="C150" i="5"/>
  <c r="B150" i="5"/>
  <c r="A150" i="5"/>
  <c r="AA149" i="5"/>
  <c r="Z149" i="5"/>
  <c r="Y149" i="5"/>
  <c r="X149" i="5"/>
  <c r="O149" i="5"/>
  <c r="H149" i="5"/>
  <c r="P149" i="5"/>
  <c r="J149" i="5"/>
  <c r="I148" i="5"/>
  <c r="H148" i="5"/>
  <c r="G148" i="5"/>
  <c r="E148" i="5"/>
  <c r="K147" i="5"/>
  <c r="J147" i="5"/>
  <c r="I147" i="5"/>
  <c r="E147" i="5"/>
  <c r="K146" i="5"/>
  <c r="J146" i="5"/>
  <c r="I146" i="5"/>
  <c r="E146" i="5"/>
  <c r="K145" i="5"/>
  <c r="J145" i="5"/>
  <c r="H145" i="5"/>
  <c r="AA145" i="5"/>
  <c r="Z145" i="5"/>
  <c r="Y145" i="5"/>
  <c r="X145" i="5"/>
  <c r="I145" i="5"/>
  <c r="F145" i="5"/>
  <c r="V145" i="5"/>
  <c r="T145" i="5"/>
  <c r="R145" i="5"/>
  <c r="U145" i="5"/>
  <c r="S145" i="5"/>
  <c r="Q145" i="5"/>
  <c r="E145" i="5"/>
  <c r="D145" i="5"/>
  <c r="C145" i="5"/>
  <c r="B145" i="5"/>
  <c r="A145" i="5"/>
  <c r="K144" i="5"/>
  <c r="J144" i="5"/>
  <c r="W144" i="5"/>
  <c r="I144" i="5"/>
  <c r="H144" i="5"/>
  <c r="G144" i="5"/>
  <c r="F144" i="5"/>
  <c r="C143" i="5"/>
  <c r="V142" i="5"/>
  <c r="T142" i="5"/>
  <c r="R142" i="5"/>
  <c r="U142" i="5"/>
  <c r="S142" i="5"/>
  <c r="Q142" i="5"/>
  <c r="E142" i="5"/>
  <c r="D142" i="5"/>
  <c r="C142" i="5"/>
  <c r="B142" i="5"/>
  <c r="A142" i="5"/>
  <c r="AA141" i="5"/>
  <c r="Z141" i="5"/>
  <c r="Y141" i="5"/>
  <c r="X141" i="5"/>
  <c r="O141" i="5"/>
  <c r="H141" i="5"/>
  <c r="P141" i="5"/>
  <c r="J141" i="5"/>
  <c r="I140" i="5"/>
  <c r="H140" i="5"/>
  <c r="G140" i="5"/>
  <c r="E140" i="5"/>
  <c r="K139" i="5"/>
  <c r="J139" i="5"/>
  <c r="I139" i="5"/>
  <c r="E139" i="5"/>
  <c r="K138" i="5"/>
  <c r="J138" i="5"/>
  <c r="I138" i="5"/>
  <c r="E138" i="5"/>
  <c r="K137" i="5"/>
  <c r="J137" i="5"/>
  <c r="I137" i="5"/>
  <c r="E137" i="5"/>
  <c r="K136" i="5"/>
  <c r="J136" i="5"/>
  <c r="H136" i="5"/>
  <c r="AA136" i="5"/>
  <c r="Z136" i="5"/>
  <c r="Y136" i="5"/>
  <c r="X136" i="5"/>
  <c r="I136" i="5"/>
  <c r="F136" i="5"/>
  <c r="V136" i="5"/>
  <c r="T136" i="5"/>
  <c r="R136" i="5"/>
  <c r="U136" i="5"/>
  <c r="S136" i="5"/>
  <c r="Q136" i="5"/>
  <c r="E136" i="5"/>
  <c r="D136" i="5"/>
  <c r="C136" i="5"/>
  <c r="B136" i="5"/>
  <c r="A136" i="5"/>
  <c r="K135" i="5"/>
  <c r="J135" i="5"/>
  <c r="I135" i="5"/>
  <c r="H135" i="5"/>
  <c r="G135" i="5"/>
  <c r="F135" i="5"/>
  <c r="K134" i="5"/>
  <c r="J134" i="5"/>
  <c r="W134" i="5"/>
  <c r="I134" i="5"/>
  <c r="H134" i="5"/>
  <c r="G134" i="5"/>
  <c r="F134" i="5"/>
  <c r="K133" i="5"/>
  <c r="J133" i="5"/>
  <c r="I133" i="5"/>
  <c r="H133" i="5"/>
  <c r="G133" i="5"/>
  <c r="F133" i="5"/>
  <c r="K132" i="5"/>
  <c r="J132" i="5"/>
  <c r="W132" i="5"/>
  <c r="I132" i="5"/>
  <c r="H132" i="5"/>
  <c r="G132" i="5"/>
  <c r="F132" i="5"/>
  <c r="V131" i="5"/>
  <c r="T131" i="5"/>
  <c r="R131" i="5"/>
  <c r="U131" i="5"/>
  <c r="S131" i="5"/>
  <c r="Q131" i="5"/>
  <c r="E131" i="5"/>
  <c r="D131" i="5"/>
  <c r="C131" i="5"/>
  <c r="B131" i="5"/>
  <c r="A131" i="5"/>
  <c r="A130" i="5"/>
  <c r="A128" i="5"/>
  <c r="H126" i="5"/>
  <c r="J126" i="5"/>
  <c r="H125" i="5"/>
  <c r="J125" i="5"/>
  <c r="A125" i="5"/>
  <c r="AA123" i="5"/>
  <c r="Z123" i="5"/>
  <c r="Y123" i="5"/>
  <c r="X123" i="5"/>
  <c r="O123" i="5"/>
  <c r="H123" i="5"/>
  <c r="P123" i="5"/>
  <c r="J123" i="5"/>
  <c r="K122" i="5"/>
  <c r="J122" i="5"/>
  <c r="I122" i="5"/>
  <c r="H122" i="5"/>
  <c r="G122" i="5"/>
  <c r="F122" i="5"/>
  <c r="V121" i="5"/>
  <c r="T121" i="5"/>
  <c r="R121" i="5"/>
  <c r="U121" i="5"/>
  <c r="S121" i="5"/>
  <c r="Q121" i="5"/>
  <c r="E121" i="5"/>
  <c r="D121" i="5"/>
  <c r="C121" i="5"/>
  <c r="B121" i="5"/>
  <c r="A121" i="5"/>
  <c r="AA120" i="5"/>
  <c r="Z120" i="5"/>
  <c r="Y120" i="5"/>
  <c r="X120" i="5"/>
  <c r="O120" i="5"/>
  <c r="H120" i="5"/>
  <c r="P120" i="5"/>
  <c r="J120" i="5"/>
  <c r="I119" i="5"/>
  <c r="H119" i="5"/>
  <c r="G119" i="5"/>
  <c r="E119" i="5"/>
  <c r="K118" i="5"/>
  <c r="J118" i="5"/>
  <c r="I118" i="5"/>
  <c r="E118" i="5"/>
  <c r="K117" i="5"/>
  <c r="J117" i="5"/>
  <c r="I117" i="5"/>
  <c r="E117" i="5"/>
  <c r="K116" i="5"/>
  <c r="J116" i="5"/>
  <c r="W116" i="5"/>
  <c r="I116" i="5"/>
  <c r="H116" i="5"/>
  <c r="G116" i="5"/>
  <c r="F116" i="5"/>
  <c r="C115" i="5"/>
  <c r="V114" i="5"/>
  <c r="T114" i="5"/>
  <c r="R114" i="5"/>
  <c r="U114" i="5"/>
  <c r="S114" i="5"/>
  <c r="Q114" i="5"/>
  <c r="E114" i="5"/>
  <c r="D114" i="5"/>
  <c r="C114" i="5"/>
  <c r="B114" i="5"/>
  <c r="A114" i="5"/>
  <c r="AA113" i="5"/>
  <c r="Z113" i="5"/>
  <c r="Y113" i="5"/>
  <c r="X113" i="5"/>
  <c r="O113" i="5"/>
  <c r="H113" i="5"/>
  <c r="P113" i="5"/>
  <c r="J113" i="5"/>
  <c r="I112" i="5"/>
  <c r="H112" i="5"/>
  <c r="G112" i="5"/>
  <c r="E112" i="5"/>
  <c r="K111" i="5"/>
  <c r="J111" i="5"/>
  <c r="I111" i="5"/>
  <c r="E111" i="5"/>
  <c r="K110" i="5"/>
  <c r="J110" i="5"/>
  <c r="I110" i="5"/>
  <c r="E110" i="5"/>
  <c r="K109" i="5"/>
  <c r="J109" i="5"/>
  <c r="I109" i="5"/>
  <c r="E109" i="5"/>
  <c r="K108" i="5"/>
  <c r="J108" i="5"/>
  <c r="H108" i="5"/>
  <c r="AA108" i="5"/>
  <c r="Z108" i="5"/>
  <c r="Y108" i="5"/>
  <c r="X108" i="5"/>
  <c r="I108" i="5"/>
  <c r="F108" i="5"/>
  <c r="V108" i="5"/>
  <c r="T108" i="5"/>
  <c r="R108" i="5"/>
  <c r="U108" i="5"/>
  <c r="S108" i="5"/>
  <c r="Q108" i="5"/>
  <c r="E108" i="5"/>
  <c r="D108" i="5"/>
  <c r="C108" i="5"/>
  <c r="B108" i="5"/>
  <c r="A108" i="5"/>
  <c r="K107" i="5"/>
  <c r="J107" i="5"/>
  <c r="I107" i="5"/>
  <c r="H107" i="5"/>
  <c r="G107" i="5"/>
  <c r="F107" i="5"/>
  <c r="K106" i="5"/>
  <c r="J106" i="5"/>
  <c r="W106" i="5"/>
  <c r="I106" i="5"/>
  <c r="H106" i="5"/>
  <c r="G106" i="5"/>
  <c r="F106" i="5"/>
  <c r="K105" i="5"/>
  <c r="J105" i="5"/>
  <c r="I105" i="5"/>
  <c r="H105" i="5"/>
  <c r="G105" i="5"/>
  <c r="F105" i="5"/>
  <c r="K104" i="5"/>
  <c r="J104" i="5"/>
  <c r="W104" i="5"/>
  <c r="I104" i="5"/>
  <c r="H104" i="5"/>
  <c r="G104" i="5"/>
  <c r="F104" i="5"/>
  <c r="V103" i="5"/>
  <c r="T103" i="5"/>
  <c r="R103" i="5"/>
  <c r="U103" i="5"/>
  <c r="S103" i="5"/>
  <c r="Q103" i="5"/>
  <c r="E103" i="5"/>
  <c r="D103" i="5"/>
  <c r="C103" i="5"/>
  <c r="B103" i="5"/>
  <c r="A103" i="5"/>
  <c r="AA102" i="5"/>
  <c r="Z102" i="5"/>
  <c r="Y102" i="5"/>
  <c r="X102" i="5"/>
  <c r="O102" i="5"/>
  <c r="H102" i="5"/>
  <c r="P102" i="5"/>
  <c r="J102" i="5"/>
  <c r="I101" i="5"/>
  <c r="H101" i="5"/>
  <c r="G101" i="5"/>
  <c r="E101" i="5"/>
  <c r="K100" i="5"/>
  <c r="J100" i="5"/>
  <c r="I100" i="5"/>
  <c r="E100" i="5"/>
  <c r="K99" i="5"/>
  <c r="J99" i="5"/>
  <c r="I99" i="5"/>
  <c r="E99" i="5"/>
  <c r="K98" i="5"/>
  <c r="J98" i="5"/>
  <c r="H98" i="5"/>
  <c r="AA98" i="5"/>
  <c r="Z98" i="5"/>
  <c r="Y98" i="5"/>
  <c r="X98" i="5"/>
  <c r="I98" i="5"/>
  <c r="F98" i="5"/>
  <c r="V98" i="5"/>
  <c r="T98" i="5"/>
  <c r="R98" i="5"/>
  <c r="U98" i="5"/>
  <c r="S98" i="5"/>
  <c r="Q98" i="5"/>
  <c r="E98" i="5"/>
  <c r="D98" i="5"/>
  <c r="C98" i="5"/>
  <c r="B98" i="5"/>
  <c r="A98" i="5"/>
  <c r="K97" i="5"/>
  <c r="J97" i="5"/>
  <c r="I97" i="5"/>
  <c r="H97" i="5"/>
  <c r="G97" i="5"/>
  <c r="F97" i="5"/>
  <c r="K96" i="5"/>
  <c r="J96" i="5"/>
  <c r="W96" i="5"/>
  <c r="I96" i="5"/>
  <c r="H96" i="5"/>
  <c r="G96" i="5"/>
  <c r="F96" i="5"/>
  <c r="C95" i="5"/>
  <c r="V94" i="5"/>
  <c r="T94" i="5"/>
  <c r="R94" i="5"/>
  <c r="U94" i="5"/>
  <c r="S94" i="5"/>
  <c r="Q94" i="5"/>
  <c r="E94" i="5"/>
  <c r="D94" i="5"/>
  <c r="C94" i="5"/>
  <c r="B94" i="5"/>
  <c r="A94" i="5"/>
  <c r="AA93" i="5"/>
  <c r="Z93" i="5"/>
  <c r="Y93" i="5"/>
  <c r="X93" i="5"/>
  <c r="O93" i="5"/>
  <c r="H93" i="5"/>
  <c r="P93" i="5"/>
  <c r="J93" i="5"/>
  <c r="I92" i="5"/>
  <c r="H92" i="5"/>
  <c r="G92" i="5"/>
  <c r="E92" i="5"/>
  <c r="K91" i="5"/>
  <c r="J91" i="5"/>
  <c r="I91" i="5"/>
  <c r="E91" i="5"/>
  <c r="K90" i="5"/>
  <c r="J90" i="5"/>
  <c r="I90" i="5"/>
  <c r="E90" i="5"/>
  <c r="K89" i="5"/>
  <c r="J89" i="5"/>
  <c r="H89" i="5"/>
  <c r="AA89" i="5"/>
  <c r="Z89" i="5"/>
  <c r="Y89" i="5"/>
  <c r="X89" i="5"/>
  <c r="I89" i="5"/>
  <c r="F89" i="5"/>
  <c r="V89" i="5"/>
  <c r="T89" i="5"/>
  <c r="R89" i="5"/>
  <c r="U89" i="5"/>
  <c r="S89" i="5"/>
  <c r="Q89" i="5"/>
  <c r="E89" i="5"/>
  <c r="D89" i="5"/>
  <c r="C89" i="5"/>
  <c r="B89" i="5"/>
  <c r="A89" i="5"/>
  <c r="K88" i="5"/>
  <c r="J88" i="5"/>
  <c r="W88" i="5"/>
  <c r="I88" i="5"/>
  <c r="H88" i="5"/>
  <c r="G88" i="5"/>
  <c r="F88" i="5"/>
  <c r="C87" i="5"/>
  <c r="V86" i="5"/>
  <c r="T86" i="5"/>
  <c r="R86" i="5"/>
  <c r="U86" i="5"/>
  <c r="S86" i="5"/>
  <c r="Q86" i="5"/>
  <c r="E86" i="5"/>
  <c r="D86" i="5"/>
  <c r="C86" i="5"/>
  <c r="B86" i="5"/>
  <c r="A86" i="5"/>
  <c r="AA85" i="5"/>
  <c r="Z85" i="5"/>
  <c r="Y85" i="5"/>
  <c r="X85" i="5"/>
  <c r="O85" i="5"/>
  <c r="H85" i="5"/>
  <c r="P85" i="5"/>
  <c r="J85" i="5"/>
  <c r="I84" i="5"/>
  <c r="H84" i="5"/>
  <c r="G84" i="5"/>
  <c r="E84" i="5"/>
  <c r="K83" i="5"/>
  <c r="J83" i="5"/>
  <c r="I83" i="5"/>
  <c r="E83" i="5"/>
  <c r="K82" i="5"/>
  <c r="J82" i="5"/>
  <c r="I82" i="5"/>
  <c r="E82" i="5"/>
  <c r="K81" i="5"/>
  <c r="J81" i="5"/>
  <c r="I81" i="5"/>
  <c r="E81" i="5"/>
  <c r="K80" i="5"/>
  <c r="J80" i="5"/>
  <c r="H80" i="5"/>
  <c r="AA80" i="5"/>
  <c r="Z80" i="5"/>
  <c r="Y80" i="5"/>
  <c r="X80" i="5"/>
  <c r="I80" i="5"/>
  <c r="F80" i="5"/>
  <c r="V80" i="5"/>
  <c r="T80" i="5"/>
  <c r="R80" i="5"/>
  <c r="U80" i="5"/>
  <c r="S80" i="5"/>
  <c r="Q80" i="5"/>
  <c r="E80" i="5"/>
  <c r="D80" i="5"/>
  <c r="C80" i="5"/>
  <c r="B80" i="5"/>
  <c r="A80" i="5"/>
  <c r="K79" i="5"/>
  <c r="J79" i="5"/>
  <c r="W79" i="5"/>
  <c r="I79" i="5"/>
  <c r="H79" i="5"/>
  <c r="G79" i="5"/>
  <c r="F79" i="5"/>
  <c r="K78" i="5"/>
  <c r="J78" i="5"/>
  <c r="I78" i="5"/>
  <c r="H78" i="5"/>
  <c r="G78" i="5"/>
  <c r="F78" i="5"/>
  <c r="K77" i="5"/>
  <c r="J77" i="5"/>
  <c r="W77" i="5"/>
  <c r="I77" i="5"/>
  <c r="H77" i="5"/>
  <c r="G77" i="5"/>
  <c r="F77" i="5"/>
  <c r="C76" i="5"/>
  <c r="V75" i="5"/>
  <c r="T75" i="5"/>
  <c r="R75" i="5"/>
  <c r="U75" i="5"/>
  <c r="S75" i="5"/>
  <c r="Q75" i="5"/>
  <c r="E75" i="5"/>
  <c r="D75" i="5"/>
  <c r="C75" i="5"/>
  <c r="B75" i="5"/>
  <c r="A75" i="5"/>
  <c r="AA74" i="5"/>
  <c r="Z74" i="5"/>
  <c r="Y74" i="5"/>
  <c r="X74" i="5"/>
  <c r="O74" i="5"/>
  <c r="H74" i="5"/>
  <c r="P74" i="5"/>
  <c r="J74" i="5"/>
  <c r="I73" i="5"/>
  <c r="H73" i="5"/>
  <c r="G73" i="5"/>
  <c r="E73" i="5"/>
  <c r="K72" i="5"/>
  <c r="J72" i="5"/>
  <c r="I72" i="5"/>
  <c r="E72" i="5"/>
  <c r="K71" i="5"/>
  <c r="J71" i="5"/>
  <c r="I71" i="5"/>
  <c r="E71" i="5"/>
  <c r="K70" i="5"/>
  <c r="J70" i="5"/>
  <c r="I70" i="5"/>
  <c r="E70" i="5"/>
  <c r="K69" i="5"/>
  <c r="J69" i="5"/>
  <c r="H69" i="5"/>
  <c r="AA69" i="5"/>
  <c r="Z69" i="5"/>
  <c r="Y69" i="5"/>
  <c r="X69" i="5"/>
  <c r="I69" i="5"/>
  <c r="F69" i="5"/>
  <c r="V69" i="5"/>
  <c r="T69" i="5"/>
  <c r="R69" i="5"/>
  <c r="U69" i="5"/>
  <c r="S69" i="5"/>
  <c r="Q69" i="5"/>
  <c r="E69" i="5"/>
  <c r="D69" i="5"/>
  <c r="C69" i="5"/>
  <c r="B69" i="5"/>
  <c r="A69" i="5"/>
  <c r="K68" i="5"/>
  <c r="J68" i="5"/>
  <c r="I68" i="5"/>
  <c r="H68" i="5"/>
  <c r="G68" i="5"/>
  <c r="F68" i="5"/>
  <c r="K67" i="5"/>
  <c r="J67" i="5"/>
  <c r="W67" i="5"/>
  <c r="I67" i="5"/>
  <c r="H67" i="5"/>
  <c r="G67" i="5"/>
  <c r="F67" i="5"/>
  <c r="K66" i="5"/>
  <c r="J66" i="5"/>
  <c r="I66" i="5"/>
  <c r="H66" i="5"/>
  <c r="G66" i="5"/>
  <c r="F66" i="5"/>
  <c r="K65" i="5"/>
  <c r="J65" i="5"/>
  <c r="W65" i="5"/>
  <c r="I65" i="5"/>
  <c r="H65" i="5"/>
  <c r="G65" i="5"/>
  <c r="F65" i="5"/>
  <c r="C64" i="5"/>
  <c r="V63" i="5"/>
  <c r="T63" i="5"/>
  <c r="R63" i="5"/>
  <c r="U63" i="5"/>
  <c r="S63" i="5"/>
  <c r="Q63" i="5"/>
  <c r="E63" i="5"/>
  <c r="D63" i="5"/>
  <c r="C63" i="5"/>
  <c r="B63" i="5"/>
  <c r="A63" i="5"/>
  <c r="AA62" i="5"/>
  <c r="Z62" i="5"/>
  <c r="Y62" i="5"/>
  <c r="X62" i="5"/>
  <c r="O62" i="5"/>
  <c r="H62" i="5"/>
  <c r="P62" i="5"/>
  <c r="J62" i="5"/>
  <c r="I61" i="5"/>
  <c r="H61" i="5"/>
  <c r="G61" i="5"/>
  <c r="E61" i="5"/>
  <c r="K60" i="5"/>
  <c r="J60" i="5"/>
  <c r="I60" i="5"/>
  <c r="E60" i="5"/>
  <c r="K59" i="5"/>
  <c r="J59" i="5"/>
  <c r="I59" i="5"/>
  <c r="E59" i="5"/>
  <c r="K58" i="5"/>
  <c r="J58" i="5"/>
  <c r="I58" i="5"/>
  <c r="E58" i="5"/>
  <c r="K57" i="5"/>
  <c r="J57" i="5"/>
  <c r="H57" i="5"/>
  <c r="AA57" i="5"/>
  <c r="Z57" i="5"/>
  <c r="Y57" i="5"/>
  <c r="X57" i="5"/>
  <c r="I57" i="5"/>
  <c r="F57" i="5"/>
  <c r="V57" i="5"/>
  <c r="T57" i="5"/>
  <c r="R57" i="5"/>
  <c r="U57" i="5"/>
  <c r="S57" i="5"/>
  <c r="Q57" i="5"/>
  <c r="E57" i="5"/>
  <c r="D57" i="5"/>
  <c r="C57" i="5"/>
  <c r="B57" i="5"/>
  <c r="A57" i="5"/>
  <c r="K56" i="5"/>
  <c r="J56" i="5"/>
  <c r="W56" i="5"/>
  <c r="I56" i="5"/>
  <c r="H56" i="5"/>
  <c r="G56" i="5"/>
  <c r="F56" i="5"/>
  <c r="K55" i="5"/>
  <c r="J55" i="5"/>
  <c r="I55" i="5"/>
  <c r="H55" i="5"/>
  <c r="G55" i="5"/>
  <c r="F55" i="5"/>
  <c r="K54" i="5"/>
  <c r="J54" i="5"/>
  <c r="W54" i="5"/>
  <c r="I54" i="5"/>
  <c r="H54" i="5"/>
  <c r="G54" i="5"/>
  <c r="F54" i="5"/>
  <c r="C53" i="5"/>
  <c r="V52" i="5"/>
  <c r="T52" i="5"/>
  <c r="R52" i="5"/>
  <c r="U52" i="5"/>
  <c r="S52" i="5"/>
  <c r="Q52" i="5"/>
  <c r="E52" i="5"/>
  <c r="D52" i="5"/>
  <c r="C52" i="5"/>
  <c r="B52" i="5"/>
  <c r="A52" i="5"/>
  <c r="AA51" i="5"/>
  <c r="Z51" i="5"/>
  <c r="Y51" i="5"/>
  <c r="X51" i="5"/>
  <c r="O51" i="5"/>
  <c r="H51" i="5"/>
  <c r="P51" i="5"/>
  <c r="J51" i="5"/>
  <c r="I50" i="5"/>
  <c r="H50" i="5"/>
  <c r="G50" i="5"/>
  <c r="E50" i="5"/>
  <c r="K49" i="5"/>
  <c r="J49" i="5"/>
  <c r="I49" i="5"/>
  <c r="E49" i="5"/>
  <c r="K48" i="5"/>
  <c r="J48" i="5"/>
  <c r="I48" i="5"/>
  <c r="E48" i="5"/>
  <c r="K47" i="5"/>
  <c r="J47" i="5"/>
  <c r="W47" i="5"/>
  <c r="I47" i="5"/>
  <c r="H47" i="5"/>
  <c r="G47" i="5"/>
  <c r="F47" i="5"/>
  <c r="C46" i="5"/>
  <c r="V45" i="5"/>
  <c r="T45" i="5"/>
  <c r="R45" i="5"/>
  <c r="U45" i="5"/>
  <c r="S45" i="5"/>
  <c r="Q45" i="5"/>
  <c r="E45" i="5"/>
  <c r="D45" i="5"/>
  <c r="C45" i="5"/>
  <c r="B45" i="5"/>
  <c r="A45" i="5"/>
  <c r="AA44" i="5"/>
  <c r="Z44" i="5"/>
  <c r="Y44" i="5"/>
  <c r="X44" i="5"/>
  <c r="O44" i="5"/>
  <c r="H44" i="5"/>
  <c r="P44" i="5"/>
  <c r="J44" i="5"/>
  <c r="I43" i="5"/>
  <c r="H43" i="5"/>
  <c r="G43" i="5"/>
  <c r="E43" i="5"/>
  <c r="K42" i="5"/>
  <c r="J42" i="5"/>
  <c r="I42" i="5"/>
  <c r="E42" i="5"/>
  <c r="K41" i="5"/>
  <c r="J41" i="5"/>
  <c r="I41" i="5"/>
  <c r="E41" i="5"/>
  <c r="K40" i="5"/>
  <c r="J40" i="5"/>
  <c r="I40" i="5"/>
  <c r="E40" i="5"/>
  <c r="K39" i="5"/>
  <c r="J39" i="5"/>
  <c r="H39" i="5"/>
  <c r="AA39" i="5"/>
  <c r="Z39" i="5"/>
  <c r="Y39" i="5"/>
  <c r="X39" i="5"/>
  <c r="I39" i="5"/>
  <c r="F39" i="5"/>
  <c r="V39" i="5"/>
  <c r="T39" i="5"/>
  <c r="R39" i="5"/>
  <c r="U39" i="5"/>
  <c r="S39" i="5"/>
  <c r="Q39" i="5"/>
  <c r="E39" i="5"/>
  <c r="D39" i="5"/>
  <c r="C39" i="5"/>
  <c r="B39" i="5"/>
  <c r="A39" i="5"/>
  <c r="K38" i="5"/>
  <c r="J38" i="5"/>
  <c r="W38" i="5"/>
  <c r="I38" i="5"/>
  <c r="H38" i="5"/>
  <c r="G38" i="5"/>
  <c r="F38" i="5"/>
  <c r="K37" i="5"/>
  <c r="J37" i="5"/>
  <c r="I37" i="5"/>
  <c r="H37" i="5"/>
  <c r="G37" i="5"/>
  <c r="F37" i="5"/>
  <c r="K36" i="5"/>
  <c r="J36" i="5"/>
  <c r="W36" i="5"/>
  <c r="I36" i="5"/>
  <c r="H36" i="5"/>
  <c r="G36" i="5"/>
  <c r="F36" i="5"/>
  <c r="C35" i="5"/>
  <c r="V34" i="5"/>
  <c r="T34" i="5"/>
  <c r="R34" i="5"/>
  <c r="U34" i="5"/>
  <c r="S34" i="5"/>
  <c r="Q34" i="5"/>
  <c r="E34" i="5"/>
  <c r="D34" i="5"/>
  <c r="C34" i="5"/>
  <c r="B34" i="5"/>
  <c r="A34" i="5"/>
  <c r="A33" i="5"/>
  <c r="A21" i="5"/>
  <c r="A18" i="5"/>
  <c r="A16" i="5"/>
  <c r="A13" i="5"/>
  <c r="G6" i="5"/>
  <c r="B6" i="5"/>
  <c r="A1" i="5"/>
  <c r="E66" i="7" l="1"/>
  <c r="E158" i="7"/>
  <c r="E160" i="7"/>
  <c r="E140" i="7"/>
  <c r="E165" i="7"/>
  <c r="E167" i="7"/>
  <c r="A1" i="4"/>
  <c r="A2" i="4"/>
  <c r="A3" i="4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  <c r="A51" i="4"/>
  <c r="A52" i="4"/>
  <c r="A53" i="4"/>
  <c r="A54" i="4"/>
  <c r="A55" i="4"/>
  <c r="A56" i="4"/>
  <c r="A57" i="4"/>
  <c r="A58" i="4"/>
  <c r="A59" i="4"/>
  <c r="A60" i="4"/>
  <c r="A61" i="4"/>
  <c r="A62" i="4"/>
  <c r="A63" i="4"/>
  <c r="A64" i="4"/>
  <c r="A65" i="4"/>
  <c r="A66" i="4"/>
  <c r="A67" i="4"/>
  <c r="A68" i="4"/>
  <c r="A69" i="4"/>
  <c r="A70" i="4"/>
  <c r="A71" i="4"/>
  <c r="A72" i="4"/>
  <c r="A73" i="4"/>
  <c r="A74" i="4"/>
  <c r="A75" i="4"/>
  <c r="A76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A136" i="4"/>
  <c r="A137" i="4"/>
  <c r="A138" i="4"/>
  <c r="A139" i="4"/>
  <c r="A140" i="4"/>
  <c r="A141" i="4"/>
  <c r="A142" i="4"/>
  <c r="A143" i="4"/>
  <c r="A144" i="4"/>
  <c r="A145" i="4"/>
  <c r="A146" i="4"/>
  <c r="A147" i="4"/>
  <c r="A148" i="4"/>
  <c r="A149" i="4"/>
  <c r="A150" i="4"/>
  <c r="A151" i="4"/>
  <c r="A152" i="4"/>
  <c r="A153" i="4"/>
  <c r="A154" i="4"/>
  <c r="A155" i="4"/>
  <c r="A156" i="4"/>
  <c r="A157" i="4"/>
  <c r="A158" i="4"/>
  <c r="A159" i="4"/>
  <c r="A160" i="4"/>
  <c r="A161" i="4"/>
  <c r="A162" i="4"/>
  <c r="A163" i="4"/>
  <c r="A164" i="4"/>
  <c r="A165" i="4"/>
  <c r="A166" i="4"/>
  <c r="A167" i="4"/>
  <c r="A168" i="4"/>
  <c r="A169" i="4"/>
  <c r="A170" i="4"/>
  <c r="A171" i="4"/>
  <c r="A172" i="4"/>
  <c r="A173" i="4"/>
  <c r="A174" i="4"/>
  <c r="A175" i="4"/>
  <c r="A176" i="4"/>
  <c r="A177" i="4"/>
  <c r="A178" i="4"/>
  <c r="A179" i="4"/>
  <c r="A180" i="4"/>
  <c r="A181" i="4"/>
  <c r="A182" i="4"/>
  <c r="A183" i="4"/>
  <c r="A184" i="4"/>
  <c r="A185" i="4"/>
  <c r="A186" i="4"/>
  <c r="A187" i="4"/>
  <c r="A188" i="4"/>
  <c r="A189" i="4"/>
  <c r="A190" i="4"/>
  <c r="A191" i="4"/>
  <c r="A192" i="4"/>
  <c r="A193" i="4"/>
  <c r="A194" i="4"/>
  <c r="A195" i="4"/>
  <c r="A196" i="4"/>
  <c r="A197" i="4"/>
  <c r="A198" i="4"/>
  <c r="A199" i="4"/>
  <c r="A200" i="4"/>
  <c r="A201" i="4"/>
  <c r="A202" i="4"/>
  <c r="A203" i="4"/>
  <c r="A204" i="4"/>
  <c r="A205" i="4"/>
  <c r="A206" i="4"/>
  <c r="A207" i="4"/>
  <c r="A208" i="4"/>
  <c r="A209" i="4"/>
  <c r="A210" i="4"/>
  <c r="A211" i="4"/>
  <c r="A212" i="4"/>
  <c r="A213" i="4"/>
  <c r="A214" i="4"/>
  <c r="A215" i="4"/>
  <c r="A216" i="4"/>
  <c r="A217" i="4"/>
  <c r="A218" i="4"/>
  <c r="A219" i="4"/>
  <c r="A220" i="4"/>
  <c r="A221" i="4"/>
  <c r="A222" i="4"/>
  <c r="A223" i="4"/>
  <c r="A224" i="4"/>
  <c r="A225" i="4"/>
  <c r="A226" i="4"/>
  <c r="A227" i="4"/>
  <c r="A228" i="4"/>
  <c r="A229" i="4"/>
  <c r="A230" i="4"/>
  <c r="A231" i="4"/>
  <c r="A232" i="4"/>
  <c r="A233" i="4"/>
  <c r="A234" i="4"/>
  <c r="A235" i="4"/>
  <c r="A236" i="4"/>
  <c r="A237" i="4"/>
  <c r="A238" i="4"/>
  <c r="A239" i="4"/>
  <c r="A240" i="4"/>
  <c r="A241" i="4"/>
  <c r="A242" i="4"/>
  <c r="A243" i="4"/>
  <c r="A244" i="4"/>
  <c r="A245" i="4"/>
  <c r="A246" i="4"/>
  <c r="A247" i="4"/>
  <c r="A248" i="4"/>
  <c r="A249" i="4"/>
  <c r="A250" i="4"/>
  <c r="A251" i="4"/>
  <c r="A252" i="4"/>
  <c r="A253" i="4"/>
  <c r="A254" i="4"/>
  <c r="A255" i="4"/>
  <c r="A256" i="4"/>
  <c r="A257" i="4"/>
  <c r="A258" i="4"/>
  <c r="A259" i="4"/>
  <c r="A260" i="4"/>
  <c r="A261" i="4"/>
  <c r="A262" i="4"/>
  <c r="A263" i="4"/>
  <c r="A264" i="4"/>
  <c r="A265" i="4"/>
  <c r="A266" i="4"/>
  <c r="A267" i="4"/>
  <c r="A268" i="4"/>
  <c r="A269" i="4"/>
  <c r="A270" i="4"/>
  <c r="A271" i="4"/>
  <c r="A272" i="4"/>
  <c r="A273" i="4"/>
  <c r="A274" i="4"/>
  <c r="A275" i="4"/>
  <c r="A276" i="4"/>
  <c r="A277" i="4"/>
  <c r="A278" i="4"/>
  <c r="A279" i="4"/>
  <c r="A280" i="4"/>
  <c r="A281" i="4"/>
  <c r="A282" i="4"/>
  <c r="A283" i="4"/>
  <c r="A284" i="4"/>
  <c r="A285" i="4"/>
  <c r="A286" i="4"/>
  <c r="A287" i="4"/>
  <c r="A288" i="4"/>
  <c r="A289" i="4"/>
  <c r="A290" i="4"/>
  <c r="A291" i="4"/>
  <c r="A292" i="4"/>
  <c r="A293" i="4"/>
  <c r="A294" i="4"/>
  <c r="A295" i="4"/>
  <c r="A296" i="4"/>
  <c r="A297" i="4"/>
  <c r="A298" i="4"/>
  <c r="A299" i="4"/>
  <c r="A300" i="4"/>
  <c r="A301" i="4"/>
  <c r="A302" i="4"/>
  <c r="A303" i="4"/>
  <c r="A304" i="4"/>
  <c r="A305" i="4"/>
  <c r="A306" i="4"/>
  <c r="A307" i="4"/>
  <c r="A308" i="4"/>
  <c r="A309" i="4"/>
  <c r="A310" i="4"/>
  <c r="A311" i="4"/>
  <c r="A312" i="4"/>
  <c r="A313" i="4"/>
  <c r="A314" i="4"/>
  <c r="A315" i="4"/>
  <c r="A316" i="4"/>
  <c r="A317" i="4"/>
  <c r="A318" i="4"/>
  <c r="A319" i="4"/>
  <c r="A320" i="4"/>
  <c r="A321" i="4"/>
  <c r="A322" i="4"/>
  <c r="A323" i="4"/>
  <c r="A324" i="4"/>
  <c r="A325" i="4"/>
  <c r="A326" i="4"/>
  <c r="A327" i="4"/>
  <c r="A328" i="4"/>
  <c r="A329" i="4"/>
  <c r="A330" i="4"/>
  <c r="A331" i="4"/>
  <c r="A332" i="4"/>
  <c r="A333" i="4"/>
  <c r="A334" i="4"/>
  <c r="A335" i="4"/>
  <c r="A336" i="4"/>
  <c r="A337" i="4"/>
  <c r="A338" i="4"/>
  <c r="A339" i="4"/>
  <c r="A340" i="4"/>
  <c r="A341" i="4"/>
  <c r="A342" i="4"/>
  <c r="A343" i="4"/>
  <c r="A344" i="4"/>
  <c r="A345" i="4"/>
  <c r="A346" i="4"/>
  <c r="A347" i="4"/>
  <c r="A348" i="4"/>
  <c r="A349" i="4"/>
  <c r="A350" i="4"/>
  <c r="A351" i="4"/>
  <c r="A352" i="4"/>
  <c r="A353" i="4"/>
  <c r="A354" i="4"/>
  <c r="A355" i="4"/>
  <c r="A356" i="4"/>
  <c r="A357" i="4"/>
  <c r="A358" i="4"/>
  <c r="A359" i="4"/>
  <c r="A360" i="4"/>
  <c r="A361" i="4"/>
  <c r="A362" i="4"/>
  <c r="A363" i="4"/>
  <c r="A364" i="4"/>
  <c r="A365" i="4"/>
  <c r="A366" i="4"/>
  <c r="A367" i="4"/>
  <c r="A368" i="4"/>
  <c r="A369" i="4"/>
  <c r="A370" i="4"/>
  <c r="A371" i="4"/>
  <c r="A372" i="4"/>
  <c r="A373" i="4"/>
  <c r="A374" i="4"/>
  <c r="A375" i="4"/>
  <c r="A376" i="4"/>
  <c r="A377" i="4"/>
  <c r="A378" i="4"/>
  <c r="A379" i="4"/>
  <c r="A380" i="4"/>
  <c r="A381" i="4"/>
  <c r="A382" i="4"/>
  <c r="A383" i="4"/>
  <c r="A384" i="4"/>
  <c r="A385" i="4"/>
  <c r="A386" i="4"/>
  <c r="A387" i="4"/>
  <c r="A388" i="4"/>
  <c r="A389" i="4"/>
  <c r="A390" i="4"/>
  <c r="A391" i="4"/>
  <c r="A392" i="4"/>
  <c r="A393" i="4"/>
  <c r="A394" i="4"/>
  <c r="A395" i="4"/>
  <c r="A396" i="4"/>
  <c r="A397" i="4"/>
  <c r="A398" i="4"/>
  <c r="A399" i="4"/>
  <c r="A400" i="4"/>
  <c r="A401" i="4"/>
  <c r="A402" i="4"/>
  <c r="A403" i="4"/>
  <c r="A404" i="4"/>
  <c r="A1" i="3"/>
  <c r="CY1" i="3"/>
  <c r="CZ1" i="3"/>
  <c r="DA1" i="3"/>
  <c r="A2" i="3"/>
  <c r="CY2" i="3"/>
  <c r="CZ2" i="3"/>
  <c r="DA2" i="3"/>
  <c r="A3" i="3"/>
  <c r="CY3" i="3"/>
  <c r="CZ3" i="3"/>
  <c r="DA3" i="3"/>
  <c r="A4" i="3"/>
  <c r="CY4" i="3"/>
  <c r="CZ4" i="3"/>
  <c r="DA4" i="3"/>
  <c r="A5" i="3"/>
  <c r="CY5" i="3"/>
  <c r="CZ5" i="3"/>
  <c r="DA5" i="3"/>
  <c r="A6" i="3"/>
  <c r="CY6" i="3"/>
  <c r="CZ6" i="3"/>
  <c r="DA6" i="3"/>
  <c r="A7" i="3"/>
  <c r="CY7" i="3"/>
  <c r="CZ7" i="3"/>
  <c r="DA7" i="3"/>
  <c r="A8" i="3"/>
  <c r="CY8" i="3"/>
  <c r="CZ8" i="3"/>
  <c r="DA8" i="3"/>
  <c r="A9" i="3"/>
  <c r="CY9" i="3"/>
  <c r="CZ9" i="3"/>
  <c r="DA9" i="3"/>
  <c r="A10" i="3"/>
  <c r="CY10" i="3"/>
  <c r="CZ10" i="3"/>
  <c r="DA10" i="3"/>
  <c r="A11" i="3"/>
  <c r="CY11" i="3"/>
  <c r="CZ11" i="3"/>
  <c r="DA11" i="3"/>
  <c r="A12" i="3"/>
  <c r="CY12" i="3"/>
  <c r="CZ12" i="3"/>
  <c r="DA12" i="3"/>
  <c r="A13" i="3"/>
  <c r="CY13" i="3"/>
  <c r="CZ13" i="3"/>
  <c r="DA13" i="3"/>
  <c r="A14" i="3"/>
  <c r="CY14" i="3"/>
  <c r="CZ14" i="3"/>
  <c r="DA14" i="3"/>
  <c r="A15" i="3"/>
  <c r="CY15" i="3"/>
  <c r="CZ15" i="3"/>
  <c r="DA15" i="3"/>
  <c r="A16" i="3"/>
  <c r="CY16" i="3"/>
  <c r="CZ16" i="3"/>
  <c r="DA16" i="3"/>
  <c r="A17" i="3"/>
  <c r="CY17" i="3"/>
  <c r="CZ17" i="3"/>
  <c r="DA17" i="3"/>
  <c r="A18" i="3"/>
  <c r="CY18" i="3"/>
  <c r="CZ18" i="3"/>
  <c r="DA18" i="3"/>
  <c r="A19" i="3"/>
  <c r="CY19" i="3"/>
  <c r="CZ19" i="3"/>
  <c r="DA19" i="3"/>
  <c r="A20" i="3"/>
  <c r="CY20" i="3"/>
  <c r="CZ20" i="3"/>
  <c r="DA20" i="3"/>
  <c r="A21" i="3"/>
  <c r="CY21" i="3"/>
  <c r="CZ21" i="3"/>
  <c r="DA21" i="3"/>
  <c r="A22" i="3"/>
  <c r="CY22" i="3"/>
  <c r="CZ22" i="3"/>
  <c r="DA22" i="3"/>
  <c r="A23" i="3"/>
  <c r="CY23" i="3"/>
  <c r="CZ23" i="3"/>
  <c r="DA23" i="3"/>
  <c r="A24" i="3"/>
  <c r="CY24" i="3"/>
  <c r="CZ24" i="3"/>
  <c r="DA24" i="3"/>
  <c r="A25" i="3"/>
  <c r="CY25" i="3"/>
  <c r="CZ25" i="3"/>
  <c r="DA25" i="3"/>
  <c r="A26" i="3"/>
  <c r="CY26" i="3"/>
  <c r="CZ26" i="3"/>
  <c r="DA26" i="3"/>
  <c r="A27" i="3"/>
  <c r="CY27" i="3"/>
  <c r="CZ27" i="3"/>
  <c r="DA27" i="3"/>
  <c r="A28" i="3"/>
  <c r="CY28" i="3"/>
  <c r="CZ28" i="3"/>
  <c r="DA28" i="3"/>
  <c r="A29" i="3"/>
  <c r="CY29" i="3"/>
  <c r="CZ29" i="3"/>
  <c r="DA29" i="3"/>
  <c r="A30" i="3"/>
  <c r="CY30" i="3"/>
  <c r="CZ30" i="3"/>
  <c r="DA30" i="3"/>
  <c r="A31" i="3"/>
  <c r="CY31" i="3"/>
  <c r="CZ31" i="3"/>
  <c r="DA31" i="3"/>
  <c r="A32" i="3"/>
  <c r="CY32" i="3"/>
  <c r="CZ32" i="3"/>
  <c r="DA32" i="3"/>
  <c r="A33" i="3"/>
  <c r="CY33" i="3"/>
  <c r="CZ33" i="3"/>
  <c r="DA33" i="3"/>
  <c r="A34" i="3"/>
  <c r="CY34" i="3"/>
  <c r="CZ34" i="3"/>
  <c r="DA34" i="3"/>
  <c r="A35" i="3"/>
  <c r="CY35" i="3"/>
  <c r="CZ35" i="3"/>
  <c r="DA35" i="3"/>
  <c r="A36" i="3"/>
  <c r="CY36" i="3"/>
  <c r="CZ36" i="3"/>
  <c r="DA36" i="3"/>
  <c r="A37" i="3"/>
  <c r="CY37" i="3"/>
  <c r="CZ37" i="3"/>
  <c r="DA37" i="3"/>
  <c r="A38" i="3"/>
  <c r="CY38" i="3"/>
  <c r="CZ38" i="3"/>
  <c r="DA38" i="3"/>
  <c r="A39" i="3"/>
  <c r="CY39" i="3"/>
  <c r="CZ39" i="3"/>
  <c r="DA39" i="3"/>
  <c r="A40" i="3"/>
  <c r="CY40" i="3"/>
  <c r="CZ40" i="3"/>
  <c r="DA40" i="3"/>
  <c r="A41" i="3"/>
  <c r="CY41" i="3"/>
  <c r="CZ41" i="3"/>
  <c r="DA41" i="3"/>
  <c r="A42" i="3"/>
  <c r="CY42" i="3"/>
  <c r="CZ42" i="3"/>
  <c r="DA42" i="3"/>
  <c r="A43" i="3"/>
  <c r="CY43" i="3"/>
  <c r="CZ43" i="3"/>
  <c r="DA43" i="3"/>
  <c r="A44" i="3"/>
  <c r="CY44" i="3"/>
  <c r="CZ44" i="3"/>
  <c r="DA44" i="3"/>
  <c r="A45" i="3"/>
  <c r="CY45" i="3"/>
  <c r="CZ45" i="3"/>
  <c r="DA45" i="3"/>
  <c r="A46" i="3"/>
  <c r="CY46" i="3"/>
  <c r="CZ46" i="3"/>
  <c r="DA46" i="3"/>
  <c r="A47" i="3"/>
  <c r="CY47" i="3"/>
  <c r="CZ47" i="3"/>
  <c r="DA47" i="3"/>
  <c r="A48" i="3"/>
  <c r="CY48" i="3"/>
  <c r="CZ48" i="3"/>
  <c r="DA48" i="3"/>
  <c r="A49" i="3"/>
  <c r="CY49" i="3"/>
  <c r="CZ49" i="3"/>
  <c r="DA49" i="3"/>
  <c r="A50" i="3"/>
  <c r="CY50" i="3"/>
  <c r="CZ50" i="3"/>
  <c r="DA50" i="3"/>
  <c r="A51" i="3"/>
  <c r="CY51" i="3"/>
  <c r="CZ51" i="3"/>
  <c r="DA51" i="3"/>
  <c r="A52" i="3"/>
  <c r="CY52" i="3"/>
  <c r="CZ52" i="3"/>
  <c r="DA52" i="3"/>
  <c r="A53" i="3"/>
  <c r="CY53" i="3"/>
  <c r="CZ53" i="3"/>
  <c r="DA53" i="3"/>
  <c r="A54" i="3"/>
  <c r="CY54" i="3"/>
  <c r="CZ54" i="3"/>
  <c r="DA54" i="3"/>
  <c r="A55" i="3"/>
  <c r="CY55" i="3"/>
  <c r="CZ55" i="3"/>
  <c r="DA55" i="3"/>
  <c r="A56" i="3"/>
  <c r="CY56" i="3"/>
  <c r="CZ56" i="3"/>
  <c r="DA56" i="3"/>
  <c r="A57" i="3"/>
  <c r="CY57" i="3"/>
  <c r="CZ57" i="3"/>
  <c r="DA57" i="3"/>
  <c r="A58" i="3"/>
  <c r="CY58" i="3"/>
  <c r="CZ58" i="3"/>
  <c r="DA58" i="3"/>
  <c r="A59" i="3"/>
  <c r="CY59" i="3"/>
  <c r="CZ59" i="3"/>
  <c r="DA59" i="3"/>
  <c r="A60" i="3"/>
  <c r="CY60" i="3"/>
  <c r="CZ60" i="3"/>
  <c r="DA60" i="3"/>
  <c r="A61" i="3"/>
  <c r="CX61" i="3"/>
  <c r="CY61" i="3"/>
  <c r="CZ61" i="3"/>
  <c r="DA61" i="3"/>
  <c r="A62" i="3"/>
  <c r="CX62" i="3"/>
  <c r="CY62" i="3"/>
  <c r="CZ62" i="3"/>
  <c r="DA62" i="3"/>
  <c r="A63" i="3"/>
  <c r="CX63" i="3"/>
  <c r="CY63" i="3"/>
  <c r="CZ63" i="3"/>
  <c r="DA63" i="3"/>
  <c r="A64" i="3"/>
  <c r="CX64" i="3"/>
  <c r="CY64" i="3"/>
  <c r="CZ64" i="3"/>
  <c r="DA64" i="3"/>
  <c r="A65" i="3"/>
  <c r="CX65" i="3"/>
  <c r="CY65" i="3"/>
  <c r="CZ65" i="3"/>
  <c r="DA65" i="3"/>
  <c r="A66" i="3"/>
  <c r="CX66" i="3"/>
  <c r="CY66" i="3"/>
  <c r="CZ66" i="3"/>
  <c r="DA66" i="3"/>
  <c r="A67" i="3"/>
  <c r="CX67" i="3"/>
  <c r="CY67" i="3"/>
  <c r="CZ67" i="3"/>
  <c r="DA67" i="3"/>
  <c r="A68" i="3"/>
  <c r="CX68" i="3"/>
  <c r="CY68" i="3"/>
  <c r="CZ68" i="3"/>
  <c r="DA68" i="3"/>
  <c r="A69" i="3"/>
  <c r="CX69" i="3"/>
  <c r="CY69" i="3"/>
  <c r="CZ69" i="3"/>
  <c r="DA69" i="3"/>
  <c r="A70" i="3"/>
  <c r="CX70" i="3"/>
  <c r="CY70" i="3"/>
  <c r="CZ70" i="3"/>
  <c r="DA70" i="3"/>
  <c r="A71" i="3"/>
  <c r="CX71" i="3"/>
  <c r="CY71" i="3"/>
  <c r="CZ71" i="3"/>
  <c r="DA71" i="3"/>
  <c r="A72" i="3"/>
  <c r="CX72" i="3"/>
  <c r="CY72" i="3"/>
  <c r="CZ72" i="3"/>
  <c r="DA72" i="3"/>
  <c r="A73" i="3"/>
  <c r="CY73" i="3"/>
  <c r="CZ73" i="3"/>
  <c r="DA73" i="3"/>
  <c r="A74" i="3"/>
  <c r="CY74" i="3"/>
  <c r="CZ74" i="3"/>
  <c r="DA74" i="3"/>
  <c r="A75" i="3"/>
  <c r="CX75" i="3"/>
  <c r="CY75" i="3"/>
  <c r="CZ75" i="3"/>
  <c r="DA75" i="3"/>
  <c r="A76" i="3"/>
  <c r="CX76" i="3"/>
  <c r="CY76" i="3"/>
  <c r="CZ76" i="3"/>
  <c r="DA76" i="3"/>
  <c r="A77" i="3"/>
  <c r="CX77" i="3"/>
  <c r="CY77" i="3"/>
  <c r="CZ77" i="3"/>
  <c r="DA77" i="3"/>
  <c r="A78" i="3"/>
  <c r="CX78" i="3"/>
  <c r="CY78" i="3"/>
  <c r="CZ78" i="3"/>
  <c r="DA78" i="3"/>
  <c r="A79" i="3"/>
  <c r="CX79" i="3"/>
  <c r="CY79" i="3"/>
  <c r="CZ79" i="3"/>
  <c r="DA79" i="3"/>
  <c r="A80" i="3"/>
  <c r="CX80" i="3"/>
  <c r="CY80" i="3"/>
  <c r="CZ80" i="3"/>
  <c r="DA80" i="3"/>
  <c r="A81" i="3"/>
  <c r="CX81" i="3"/>
  <c r="CY81" i="3"/>
  <c r="CZ81" i="3"/>
  <c r="DA81" i="3"/>
  <c r="A82" i="3"/>
  <c r="CX82" i="3"/>
  <c r="CY82" i="3"/>
  <c r="CZ82" i="3"/>
  <c r="DA82" i="3"/>
  <c r="A83" i="3"/>
  <c r="CX83" i="3"/>
  <c r="CY83" i="3"/>
  <c r="CZ83" i="3"/>
  <c r="DA83" i="3"/>
  <c r="A84" i="3"/>
  <c r="CX84" i="3"/>
  <c r="CY84" i="3"/>
  <c r="CZ84" i="3"/>
  <c r="DA84" i="3"/>
  <c r="A85" i="3"/>
  <c r="CX85" i="3"/>
  <c r="CY85" i="3"/>
  <c r="CZ85" i="3"/>
  <c r="DA85" i="3"/>
  <c r="A86" i="3"/>
  <c r="CX86" i="3"/>
  <c r="CY86" i="3"/>
  <c r="CZ86" i="3"/>
  <c r="DA86" i="3"/>
  <c r="A87" i="3"/>
  <c r="CX87" i="3"/>
  <c r="CY87" i="3"/>
  <c r="CZ87" i="3"/>
  <c r="DA87" i="3"/>
  <c r="A88" i="3"/>
  <c r="CX88" i="3"/>
  <c r="CY88" i="3"/>
  <c r="CZ88" i="3"/>
  <c r="DA88" i="3"/>
  <c r="A89" i="3"/>
  <c r="CX89" i="3"/>
  <c r="CY89" i="3"/>
  <c r="CZ89" i="3"/>
  <c r="DA89" i="3"/>
  <c r="A90" i="3"/>
  <c r="CX90" i="3"/>
  <c r="CY90" i="3"/>
  <c r="CZ90" i="3"/>
  <c r="DA90" i="3"/>
  <c r="A91" i="3"/>
  <c r="CY91" i="3"/>
  <c r="CZ91" i="3"/>
  <c r="DA91" i="3"/>
  <c r="A92" i="3"/>
  <c r="CY92" i="3"/>
  <c r="CZ92" i="3"/>
  <c r="DA92" i="3"/>
  <c r="A93" i="3"/>
  <c r="CY93" i="3"/>
  <c r="CZ93" i="3"/>
  <c r="DA93" i="3"/>
  <c r="A94" i="3"/>
  <c r="CY94" i="3"/>
  <c r="CZ94" i="3"/>
  <c r="DA94" i="3"/>
  <c r="A95" i="3"/>
  <c r="CX95" i="3"/>
  <c r="CY95" i="3"/>
  <c r="CZ95" i="3"/>
  <c r="DA95" i="3"/>
  <c r="A96" i="3"/>
  <c r="CX96" i="3"/>
  <c r="CY96" i="3"/>
  <c r="CZ96" i="3"/>
  <c r="DA96" i="3"/>
  <c r="A97" i="3"/>
  <c r="CX97" i="3"/>
  <c r="CY97" i="3"/>
  <c r="CZ97" i="3"/>
  <c r="DA97" i="3"/>
  <c r="A98" i="3"/>
  <c r="CX98" i="3"/>
  <c r="CY98" i="3"/>
  <c r="CZ98" i="3"/>
  <c r="DA98" i="3"/>
  <c r="A99" i="3"/>
  <c r="CX99" i="3"/>
  <c r="CY99" i="3"/>
  <c r="CZ99" i="3"/>
  <c r="DA99" i="3"/>
  <c r="A100" i="3"/>
  <c r="CX100" i="3"/>
  <c r="CY100" i="3"/>
  <c r="CZ100" i="3"/>
  <c r="DA100" i="3"/>
  <c r="A101" i="3"/>
  <c r="CX101" i="3"/>
  <c r="CY101" i="3"/>
  <c r="CZ101" i="3"/>
  <c r="DA101" i="3"/>
  <c r="A102" i="3"/>
  <c r="CX102" i="3"/>
  <c r="CY102" i="3"/>
  <c r="CZ102" i="3"/>
  <c r="DA102" i="3"/>
  <c r="A103" i="3"/>
  <c r="CX103" i="3"/>
  <c r="CY103" i="3"/>
  <c r="CZ103" i="3"/>
  <c r="DA103" i="3"/>
  <c r="A104" i="3"/>
  <c r="CX104" i="3"/>
  <c r="CY104" i="3"/>
  <c r="CZ104" i="3"/>
  <c r="DA104" i="3"/>
  <c r="A105" i="3"/>
  <c r="CX105" i="3"/>
  <c r="CY105" i="3"/>
  <c r="CZ105" i="3"/>
  <c r="DA105" i="3"/>
  <c r="A106" i="3"/>
  <c r="CX106" i="3"/>
  <c r="CY106" i="3"/>
  <c r="CZ106" i="3"/>
  <c r="DA106" i="3"/>
  <c r="A107" i="3"/>
  <c r="CX107" i="3"/>
  <c r="CY107" i="3"/>
  <c r="CZ107" i="3"/>
  <c r="DA107" i="3"/>
  <c r="A108" i="3"/>
  <c r="CX108" i="3"/>
  <c r="CY108" i="3"/>
  <c r="CZ108" i="3"/>
  <c r="DA108" i="3"/>
  <c r="A109" i="3"/>
  <c r="CX109" i="3"/>
  <c r="CY109" i="3"/>
  <c r="CZ109" i="3"/>
  <c r="DA109" i="3"/>
  <c r="A110" i="3"/>
  <c r="CX110" i="3"/>
  <c r="CY110" i="3"/>
  <c r="CZ110" i="3"/>
  <c r="DA110" i="3"/>
  <c r="A111" i="3"/>
  <c r="CY111" i="3"/>
  <c r="CZ111" i="3"/>
  <c r="DA111" i="3"/>
  <c r="A112" i="3"/>
  <c r="CY112" i="3"/>
  <c r="CZ112" i="3"/>
  <c r="DA112" i="3"/>
  <c r="A113" i="3"/>
  <c r="CY113" i="3"/>
  <c r="CZ113" i="3"/>
  <c r="DA113" i="3"/>
  <c r="A114" i="3"/>
  <c r="CY114" i="3"/>
  <c r="CZ114" i="3"/>
  <c r="DA114" i="3"/>
  <c r="A115" i="3"/>
  <c r="CY115" i="3"/>
  <c r="CZ115" i="3"/>
  <c r="DA115" i="3"/>
  <c r="A116" i="3"/>
  <c r="CY116" i="3"/>
  <c r="CZ116" i="3"/>
  <c r="DA116" i="3"/>
  <c r="A117" i="3"/>
  <c r="CY117" i="3"/>
  <c r="CZ117" i="3"/>
  <c r="DA117" i="3"/>
  <c r="A118" i="3"/>
  <c r="CY118" i="3"/>
  <c r="CZ118" i="3"/>
  <c r="DA118" i="3"/>
  <c r="A119" i="3"/>
  <c r="CY119" i="3"/>
  <c r="CZ119" i="3"/>
  <c r="DA119" i="3"/>
  <c r="A120" i="3"/>
  <c r="CY120" i="3"/>
  <c r="CZ120" i="3"/>
  <c r="DA120" i="3"/>
  <c r="A121" i="3"/>
  <c r="CY121" i="3"/>
  <c r="CZ121" i="3"/>
  <c r="DA121" i="3"/>
  <c r="A122" i="3"/>
  <c r="CY122" i="3"/>
  <c r="CZ122" i="3"/>
  <c r="DA122" i="3"/>
  <c r="A123" i="3"/>
  <c r="CY123" i="3"/>
  <c r="CZ123" i="3"/>
  <c r="DA123" i="3"/>
  <c r="A124" i="3"/>
  <c r="CY124" i="3"/>
  <c r="CZ124" i="3"/>
  <c r="DA124" i="3"/>
  <c r="A125" i="3"/>
  <c r="CY125" i="3"/>
  <c r="CZ125" i="3"/>
  <c r="DA125" i="3"/>
  <c r="A126" i="3"/>
  <c r="CY126" i="3"/>
  <c r="CZ126" i="3"/>
  <c r="DA126" i="3"/>
  <c r="A127" i="3"/>
  <c r="CY127" i="3"/>
  <c r="CZ127" i="3"/>
  <c r="DA127" i="3"/>
  <c r="A128" i="3"/>
  <c r="CY128" i="3"/>
  <c r="CZ128" i="3"/>
  <c r="DA128" i="3"/>
  <c r="A129" i="3"/>
  <c r="CY129" i="3"/>
  <c r="CZ129" i="3"/>
  <c r="DA129" i="3"/>
  <c r="A130" i="3"/>
  <c r="CY130" i="3"/>
  <c r="CZ130" i="3"/>
  <c r="DA130" i="3"/>
  <c r="A131" i="3"/>
  <c r="CY131" i="3"/>
  <c r="CZ131" i="3"/>
  <c r="DA131" i="3"/>
  <c r="A132" i="3"/>
  <c r="CY132" i="3"/>
  <c r="CZ132" i="3"/>
  <c r="DA132" i="3"/>
  <c r="A133" i="3"/>
  <c r="CY133" i="3"/>
  <c r="CZ133" i="3"/>
  <c r="DA133" i="3"/>
  <c r="A134" i="3"/>
  <c r="CY134" i="3"/>
  <c r="CZ134" i="3"/>
  <c r="DA134" i="3"/>
  <c r="A135" i="3"/>
  <c r="CY135" i="3"/>
  <c r="CZ135" i="3"/>
  <c r="DA135" i="3"/>
  <c r="A136" i="3"/>
  <c r="CY136" i="3"/>
  <c r="CZ136" i="3"/>
  <c r="DA136" i="3"/>
  <c r="A137" i="3"/>
  <c r="CY137" i="3"/>
  <c r="CZ137" i="3"/>
  <c r="DA137" i="3"/>
  <c r="A138" i="3"/>
  <c r="CY138" i="3"/>
  <c r="CZ138" i="3"/>
  <c r="DA138" i="3"/>
  <c r="A139" i="3"/>
  <c r="CY139" i="3"/>
  <c r="CZ139" i="3"/>
  <c r="DA139" i="3"/>
  <c r="A140" i="3"/>
  <c r="CY140" i="3"/>
  <c r="CZ140" i="3"/>
  <c r="DA140" i="3"/>
  <c r="A141" i="3"/>
  <c r="CY141" i="3"/>
  <c r="CZ141" i="3"/>
  <c r="DA141" i="3"/>
  <c r="A142" i="3"/>
  <c r="CY142" i="3"/>
  <c r="CZ142" i="3"/>
  <c r="DA142" i="3"/>
  <c r="A143" i="3"/>
  <c r="CY143" i="3"/>
  <c r="CZ143" i="3"/>
  <c r="DA143" i="3"/>
  <c r="A144" i="3"/>
  <c r="CY144" i="3"/>
  <c r="CZ144" i="3"/>
  <c r="DA144" i="3"/>
  <c r="A145" i="3"/>
  <c r="CY145" i="3"/>
  <c r="CZ145" i="3"/>
  <c r="DA145" i="3"/>
  <c r="A146" i="3"/>
  <c r="CY146" i="3"/>
  <c r="CZ146" i="3"/>
  <c r="DA146" i="3"/>
  <c r="A147" i="3"/>
  <c r="CY147" i="3"/>
  <c r="CZ147" i="3"/>
  <c r="DA147" i="3"/>
  <c r="A148" i="3"/>
  <c r="CY148" i="3"/>
  <c r="CZ148" i="3"/>
  <c r="DA148" i="3"/>
  <c r="A149" i="3"/>
  <c r="CY149" i="3"/>
  <c r="CZ149" i="3"/>
  <c r="DA149" i="3"/>
  <c r="A150" i="3"/>
  <c r="CY150" i="3"/>
  <c r="CZ150" i="3"/>
  <c r="DA150" i="3"/>
  <c r="A151" i="3"/>
  <c r="CY151" i="3"/>
  <c r="CZ151" i="3"/>
  <c r="DA151" i="3"/>
  <c r="A152" i="3"/>
  <c r="CY152" i="3"/>
  <c r="CZ152" i="3"/>
  <c r="DA152" i="3"/>
  <c r="A153" i="3"/>
  <c r="CY153" i="3"/>
  <c r="CZ153" i="3"/>
  <c r="DA153" i="3"/>
  <c r="A154" i="3"/>
  <c r="CY154" i="3"/>
  <c r="CZ154" i="3"/>
  <c r="DA154" i="3"/>
  <c r="A155" i="3"/>
  <c r="CY155" i="3"/>
  <c r="CZ155" i="3"/>
  <c r="DA155" i="3"/>
  <c r="A156" i="3"/>
  <c r="CY156" i="3"/>
  <c r="CZ156" i="3"/>
  <c r="DA156" i="3"/>
  <c r="A157" i="3"/>
  <c r="CY157" i="3"/>
  <c r="CZ157" i="3"/>
  <c r="DA157" i="3"/>
  <c r="A158" i="3"/>
  <c r="CY158" i="3"/>
  <c r="CZ158" i="3"/>
  <c r="DA158" i="3"/>
  <c r="A159" i="3"/>
  <c r="CY159" i="3"/>
  <c r="CZ159" i="3"/>
  <c r="DA159" i="3"/>
  <c r="A160" i="3"/>
  <c r="CY160" i="3"/>
  <c r="CZ160" i="3"/>
  <c r="DA160" i="3"/>
  <c r="A161" i="3"/>
  <c r="CY161" i="3"/>
  <c r="CZ161" i="3"/>
  <c r="DA161" i="3"/>
  <c r="A162" i="3"/>
  <c r="CY162" i="3"/>
  <c r="CZ162" i="3"/>
  <c r="DA162" i="3"/>
  <c r="A163" i="3"/>
  <c r="CY163" i="3"/>
  <c r="CZ163" i="3"/>
  <c r="DA163" i="3"/>
  <c r="A164" i="3"/>
  <c r="CY164" i="3"/>
  <c r="CZ164" i="3"/>
  <c r="DA164" i="3"/>
  <c r="A165" i="3"/>
  <c r="CY165" i="3"/>
  <c r="CZ165" i="3"/>
  <c r="DA165" i="3"/>
  <c r="A166" i="3"/>
  <c r="CY166" i="3"/>
  <c r="CZ166" i="3"/>
  <c r="DA166" i="3"/>
  <c r="A167" i="3"/>
  <c r="CY167" i="3"/>
  <c r="CZ167" i="3"/>
  <c r="DA167" i="3"/>
  <c r="A168" i="3"/>
  <c r="CY168" i="3"/>
  <c r="CZ168" i="3"/>
  <c r="DA168" i="3"/>
  <c r="A169" i="3"/>
  <c r="CY169" i="3"/>
  <c r="CZ169" i="3"/>
  <c r="DA169" i="3"/>
  <c r="A170" i="3"/>
  <c r="CY170" i="3"/>
  <c r="CZ170" i="3"/>
  <c r="DA170" i="3"/>
  <c r="A171" i="3"/>
  <c r="CY171" i="3"/>
  <c r="CZ171" i="3"/>
  <c r="DA171" i="3"/>
  <c r="A172" i="3"/>
  <c r="CY172" i="3"/>
  <c r="CZ172" i="3"/>
  <c r="DA172" i="3"/>
  <c r="A173" i="3"/>
  <c r="CY173" i="3"/>
  <c r="CZ173" i="3"/>
  <c r="DA173" i="3"/>
  <c r="A174" i="3"/>
  <c r="CY174" i="3"/>
  <c r="CZ174" i="3"/>
  <c r="DA174" i="3"/>
  <c r="A175" i="3"/>
  <c r="CY175" i="3"/>
  <c r="CZ175" i="3"/>
  <c r="DA175" i="3"/>
  <c r="A176" i="3"/>
  <c r="CY176" i="3"/>
  <c r="CZ176" i="3"/>
  <c r="DA176" i="3"/>
  <c r="A177" i="3"/>
  <c r="CY177" i="3"/>
  <c r="CZ177" i="3"/>
  <c r="DA177" i="3"/>
  <c r="A178" i="3"/>
  <c r="CY178" i="3"/>
  <c r="CZ178" i="3"/>
  <c r="DA178" i="3"/>
  <c r="A179" i="3"/>
  <c r="CX179" i="3"/>
  <c r="CY179" i="3"/>
  <c r="CZ179" i="3"/>
  <c r="DA179" i="3"/>
  <c r="A180" i="3"/>
  <c r="CX180" i="3"/>
  <c r="CY180" i="3"/>
  <c r="CZ180" i="3"/>
  <c r="DA180" i="3"/>
  <c r="A181" i="3"/>
  <c r="CX181" i="3"/>
  <c r="CY181" i="3"/>
  <c r="CZ181" i="3"/>
  <c r="DA181" i="3"/>
  <c r="A182" i="3"/>
  <c r="CX182" i="3"/>
  <c r="CY182" i="3"/>
  <c r="CZ182" i="3"/>
  <c r="DA182" i="3"/>
  <c r="A183" i="3"/>
  <c r="CX183" i="3"/>
  <c r="CY183" i="3"/>
  <c r="CZ183" i="3"/>
  <c r="DA183" i="3"/>
  <c r="A184" i="3"/>
  <c r="CX184" i="3"/>
  <c r="CY184" i="3"/>
  <c r="CZ184" i="3"/>
  <c r="DA184" i="3"/>
  <c r="A185" i="3"/>
  <c r="CX185" i="3"/>
  <c r="CY185" i="3"/>
  <c r="CZ185" i="3"/>
  <c r="DA185" i="3"/>
  <c r="A186" i="3"/>
  <c r="CX186" i="3"/>
  <c r="CY186" i="3"/>
  <c r="CZ186" i="3"/>
  <c r="DA186" i="3"/>
  <c r="A187" i="3"/>
  <c r="CX187" i="3"/>
  <c r="CY187" i="3"/>
  <c r="CZ187" i="3"/>
  <c r="DA187" i="3"/>
  <c r="A188" i="3"/>
  <c r="CX188" i="3"/>
  <c r="CY188" i="3"/>
  <c r="CZ188" i="3"/>
  <c r="DA188" i="3"/>
  <c r="A189" i="3"/>
  <c r="CX189" i="3"/>
  <c r="CY189" i="3"/>
  <c r="CZ189" i="3"/>
  <c r="DA189" i="3"/>
  <c r="A190" i="3"/>
  <c r="CX190" i="3"/>
  <c r="CY190" i="3"/>
  <c r="CZ190" i="3"/>
  <c r="DA190" i="3"/>
  <c r="A191" i="3"/>
  <c r="CX191" i="3"/>
  <c r="CY191" i="3"/>
  <c r="CZ191" i="3"/>
  <c r="DA191" i="3"/>
  <c r="A192" i="3"/>
  <c r="CX192" i="3"/>
  <c r="CY192" i="3"/>
  <c r="CZ192" i="3"/>
  <c r="DA192" i="3"/>
  <c r="A193" i="3"/>
  <c r="CX193" i="3"/>
  <c r="CY193" i="3"/>
  <c r="CZ193" i="3"/>
  <c r="DA193" i="3"/>
  <c r="A194" i="3"/>
  <c r="CX194" i="3"/>
  <c r="CY194" i="3"/>
  <c r="CZ194" i="3"/>
  <c r="DA194" i="3"/>
  <c r="A195" i="3"/>
  <c r="CY195" i="3"/>
  <c r="CZ195" i="3"/>
  <c r="DA195" i="3"/>
  <c r="A196" i="3"/>
  <c r="CY196" i="3"/>
  <c r="CZ196" i="3"/>
  <c r="DA196" i="3"/>
  <c r="A197" i="3"/>
  <c r="CY197" i="3"/>
  <c r="CZ197" i="3"/>
  <c r="DA197" i="3"/>
  <c r="A198" i="3"/>
  <c r="CY198" i="3"/>
  <c r="CZ198" i="3"/>
  <c r="DA198" i="3"/>
  <c r="A199" i="3"/>
  <c r="CY199" i="3"/>
  <c r="CZ199" i="3"/>
  <c r="DA199" i="3"/>
  <c r="A200" i="3"/>
  <c r="CY200" i="3"/>
  <c r="CZ200" i="3"/>
  <c r="DA200" i="3"/>
  <c r="A201" i="3"/>
  <c r="CY201" i="3"/>
  <c r="CZ201" i="3"/>
  <c r="DA201" i="3"/>
  <c r="A202" i="3"/>
  <c r="CY202" i="3"/>
  <c r="CZ202" i="3"/>
  <c r="DA202" i="3"/>
  <c r="A203" i="3"/>
  <c r="CY203" i="3"/>
  <c r="CZ203" i="3"/>
  <c r="DA203" i="3"/>
  <c r="A204" i="3"/>
  <c r="CY204" i="3"/>
  <c r="CZ204" i="3"/>
  <c r="DA204" i="3"/>
  <c r="A205" i="3"/>
  <c r="CY205" i="3"/>
  <c r="CZ205" i="3"/>
  <c r="DA205" i="3"/>
  <c r="A206" i="3"/>
  <c r="CY206" i="3"/>
  <c r="CZ206" i="3"/>
  <c r="DA206" i="3"/>
  <c r="A207" i="3"/>
  <c r="CY207" i="3"/>
  <c r="CZ207" i="3"/>
  <c r="DA207" i="3"/>
  <c r="A208" i="3"/>
  <c r="CY208" i="3"/>
  <c r="CZ208" i="3"/>
  <c r="DA208" i="3"/>
  <c r="A209" i="3"/>
  <c r="CY209" i="3"/>
  <c r="CZ209" i="3"/>
  <c r="DA209" i="3"/>
  <c r="A210" i="3"/>
  <c r="CY210" i="3"/>
  <c r="CZ210" i="3"/>
  <c r="DA210" i="3"/>
  <c r="A211" i="3"/>
  <c r="CY211" i="3"/>
  <c r="CZ211" i="3"/>
  <c r="DA211" i="3"/>
  <c r="A212" i="3"/>
  <c r="CY212" i="3"/>
  <c r="CZ212" i="3"/>
  <c r="DA212" i="3"/>
  <c r="A213" i="3"/>
  <c r="CY213" i="3"/>
  <c r="CZ213" i="3"/>
  <c r="DA213" i="3"/>
  <c r="A214" i="3"/>
  <c r="CY214" i="3"/>
  <c r="CZ214" i="3"/>
  <c r="DA214" i="3"/>
  <c r="A215" i="3"/>
  <c r="CY215" i="3"/>
  <c r="CZ215" i="3"/>
  <c r="DA215" i="3"/>
  <c r="A216" i="3"/>
  <c r="CY216" i="3"/>
  <c r="CZ216" i="3"/>
  <c r="DA216" i="3"/>
  <c r="A217" i="3"/>
  <c r="CY217" i="3"/>
  <c r="CZ217" i="3"/>
  <c r="DA217" i="3"/>
  <c r="A218" i="3"/>
  <c r="CY218" i="3"/>
  <c r="CZ218" i="3"/>
  <c r="DA218" i="3"/>
  <c r="A219" i="3"/>
  <c r="CX219" i="3"/>
  <c r="CY219" i="3"/>
  <c r="CZ219" i="3"/>
  <c r="DA219" i="3"/>
  <c r="A220" i="3"/>
  <c r="CX220" i="3"/>
  <c r="CY220" i="3"/>
  <c r="CZ220" i="3"/>
  <c r="DA220" i="3"/>
  <c r="A221" i="3"/>
  <c r="CX221" i="3"/>
  <c r="CY221" i="3"/>
  <c r="CZ221" i="3"/>
  <c r="DA221" i="3"/>
  <c r="A222" i="3"/>
  <c r="CX222" i="3"/>
  <c r="CY222" i="3"/>
  <c r="CZ222" i="3"/>
  <c r="DA222" i="3"/>
  <c r="A223" i="3"/>
  <c r="CX223" i="3"/>
  <c r="CY223" i="3"/>
  <c r="CZ223" i="3"/>
  <c r="DA223" i="3"/>
  <c r="A224" i="3"/>
  <c r="CX224" i="3"/>
  <c r="CY224" i="3"/>
  <c r="CZ224" i="3"/>
  <c r="DA224" i="3"/>
  <c r="A225" i="3"/>
  <c r="CX225" i="3"/>
  <c r="CY225" i="3"/>
  <c r="CZ225" i="3"/>
  <c r="DA225" i="3"/>
  <c r="A226" i="3"/>
  <c r="CX226" i="3"/>
  <c r="CY226" i="3"/>
  <c r="CZ226" i="3"/>
  <c r="DA226" i="3"/>
  <c r="A227" i="3"/>
  <c r="CX227" i="3"/>
  <c r="CY227" i="3"/>
  <c r="CZ227" i="3"/>
  <c r="DA227" i="3"/>
  <c r="A228" i="3"/>
  <c r="CX228" i="3"/>
  <c r="CY228" i="3"/>
  <c r="CZ228" i="3"/>
  <c r="DA228" i="3"/>
  <c r="A229" i="3"/>
  <c r="CX229" i="3"/>
  <c r="CY229" i="3"/>
  <c r="CZ229" i="3"/>
  <c r="DA229" i="3"/>
  <c r="A230" i="3"/>
  <c r="CX230" i="3"/>
  <c r="CY230" i="3"/>
  <c r="CZ230" i="3"/>
  <c r="DA230" i="3"/>
  <c r="A231" i="3"/>
  <c r="CX231" i="3"/>
  <c r="CY231" i="3"/>
  <c r="CZ231" i="3"/>
  <c r="DA231" i="3"/>
  <c r="A232" i="3"/>
  <c r="CX232" i="3"/>
  <c r="CY232" i="3"/>
  <c r="CZ232" i="3"/>
  <c r="DA232" i="3"/>
  <c r="A233" i="3"/>
  <c r="CY233" i="3"/>
  <c r="CZ233" i="3"/>
  <c r="DA233" i="3"/>
  <c r="A234" i="3"/>
  <c r="CY234" i="3"/>
  <c r="CZ234" i="3"/>
  <c r="DA234" i="3"/>
  <c r="A235" i="3"/>
  <c r="CY235" i="3"/>
  <c r="CZ235" i="3"/>
  <c r="DA235" i="3"/>
  <c r="A236" i="3"/>
  <c r="CY236" i="3"/>
  <c r="CZ236" i="3"/>
  <c r="DA236" i="3"/>
  <c r="A237" i="3"/>
  <c r="CY237" i="3"/>
  <c r="CZ237" i="3"/>
  <c r="DA237" i="3"/>
  <c r="A238" i="3"/>
  <c r="CY238" i="3"/>
  <c r="CZ238" i="3"/>
  <c r="DA238" i="3"/>
  <c r="A239" i="3"/>
  <c r="CY239" i="3"/>
  <c r="CZ239" i="3"/>
  <c r="DA239" i="3"/>
  <c r="A240" i="3"/>
  <c r="CY240" i="3"/>
  <c r="CZ240" i="3"/>
  <c r="DA240" i="3"/>
  <c r="A241" i="3"/>
  <c r="CY241" i="3"/>
  <c r="CZ241" i="3"/>
  <c r="DA241" i="3"/>
  <c r="A242" i="3"/>
  <c r="CY242" i="3"/>
  <c r="CZ242" i="3"/>
  <c r="DA242" i="3"/>
  <c r="A243" i="3"/>
  <c r="CY243" i="3"/>
  <c r="CZ243" i="3"/>
  <c r="DA243" i="3"/>
  <c r="A244" i="3"/>
  <c r="CY244" i="3"/>
  <c r="CZ244" i="3"/>
  <c r="DA244" i="3"/>
  <c r="A245" i="3"/>
  <c r="CY245" i="3"/>
  <c r="CZ245" i="3"/>
  <c r="DA245" i="3"/>
  <c r="A246" i="3"/>
  <c r="CY246" i="3"/>
  <c r="CZ246" i="3"/>
  <c r="DA246" i="3"/>
  <c r="A247" i="3"/>
  <c r="CY247" i="3"/>
  <c r="CZ247" i="3"/>
  <c r="DA247" i="3"/>
  <c r="A248" i="3"/>
  <c r="CY248" i="3"/>
  <c r="CZ248" i="3"/>
  <c r="DA248" i="3"/>
  <c r="A249" i="3"/>
  <c r="CY249" i="3"/>
  <c r="CZ249" i="3"/>
  <c r="DA249" i="3"/>
  <c r="A250" i="3"/>
  <c r="CY250" i="3"/>
  <c r="CZ250" i="3"/>
  <c r="DA250" i="3"/>
  <c r="A251" i="3"/>
  <c r="CY251" i="3"/>
  <c r="CZ251" i="3"/>
  <c r="DA251" i="3"/>
  <c r="A252" i="3"/>
  <c r="CY252" i="3"/>
  <c r="CZ252" i="3"/>
  <c r="DA252" i="3"/>
  <c r="A253" i="3"/>
  <c r="CY253" i="3"/>
  <c r="CZ253" i="3"/>
  <c r="DA253" i="3"/>
  <c r="A254" i="3"/>
  <c r="CY254" i="3"/>
  <c r="CZ254" i="3"/>
  <c r="DA254" i="3"/>
  <c r="A255" i="3"/>
  <c r="CY255" i="3"/>
  <c r="CZ255" i="3"/>
  <c r="DA255" i="3"/>
  <c r="A256" i="3"/>
  <c r="CY256" i="3"/>
  <c r="CZ256" i="3"/>
  <c r="DA256" i="3"/>
  <c r="A257" i="3"/>
  <c r="CY257" i="3"/>
  <c r="CZ257" i="3"/>
  <c r="DA257" i="3"/>
  <c r="A258" i="3"/>
  <c r="CY258" i="3"/>
  <c r="CZ258" i="3"/>
  <c r="DA258" i="3"/>
  <c r="A259" i="3"/>
  <c r="CY259" i="3"/>
  <c r="CZ259" i="3"/>
  <c r="DA259" i="3"/>
  <c r="A260" i="3"/>
  <c r="CY260" i="3"/>
  <c r="CZ260" i="3"/>
  <c r="DA260" i="3"/>
  <c r="A261" i="3"/>
  <c r="CY261" i="3"/>
  <c r="CZ261" i="3"/>
  <c r="DA261" i="3"/>
  <c r="A262" i="3"/>
  <c r="CY262" i="3"/>
  <c r="CZ262" i="3"/>
  <c r="DA262" i="3"/>
  <c r="A263" i="3"/>
  <c r="CY263" i="3"/>
  <c r="CZ263" i="3"/>
  <c r="DA263" i="3"/>
  <c r="A264" i="3"/>
  <c r="CY264" i="3"/>
  <c r="CZ264" i="3"/>
  <c r="DA264" i="3"/>
  <c r="A265" i="3"/>
  <c r="CX265" i="3"/>
  <c r="CY265" i="3"/>
  <c r="CZ265" i="3"/>
  <c r="DA265" i="3"/>
  <c r="A266" i="3"/>
  <c r="CX266" i="3"/>
  <c r="CY266" i="3"/>
  <c r="CZ266" i="3"/>
  <c r="DA266" i="3"/>
  <c r="A267" i="3"/>
  <c r="CX267" i="3"/>
  <c r="CY267" i="3"/>
  <c r="CZ267" i="3"/>
  <c r="DA267" i="3"/>
  <c r="A268" i="3"/>
  <c r="CX268" i="3"/>
  <c r="CY268" i="3"/>
  <c r="CZ268" i="3"/>
  <c r="DA268" i="3"/>
  <c r="A269" i="3"/>
  <c r="CX269" i="3"/>
  <c r="CY269" i="3"/>
  <c r="CZ269" i="3"/>
  <c r="DA269" i="3"/>
  <c r="A270" i="3"/>
  <c r="CX270" i="3"/>
  <c r="CY270" i="3"/>
  <c r="CZ270" i="3"/>
  <c r="DA270" i="3"/>
  <c r="A271" i="3"/>
  <c r="CX271" i="3"/>
  <c r="CY271" i="3"/>
  <c r="CZ271" i="3"/>
  <c r="DA271" i="3"/>
  <c r="A272" i="3"/>
  <c r="CX272" i="3"/>
  <c r="CY272" i="3"/>
  <c r="CZ272" i="3"/>
  <c r="DA272" i="3"/>
  <c r="A273" i="3"/>
  <c r="CX273" i="3"/>
  <c r="CY273" i="3"/>
  <c r="CZ273" i="3"/>
  <c r="DA273" i="3"/>
  <c r="A274" i="3"/>
  <c r="CX274" i="3"/>
  <c r="CY274" i="3"/>
  <c r="CZ274" i="3"/>
  <c r="DA274" i="3"/>
  <c r="A275" i="3"/>
  <c r="CY275" i="3"/>
  <c r="CZ275" i="3"/>
  <c r="DA275" i="3"/>
  <c r="A276" i="3"/>
  <c r="CY276" i="3"/>
  <c r="CZ276" i="3"/>
  <c r="DA276" i="3"/>
  <c r="A277" i="3"/>
  <c r="CY277" i="3"/>
  <c r="CZ277" i="3"/>
  <c r="DA277" i="3"/>
  <c r="A278" i="3"/>
  <c r="CY278" i="3"/>
  <c r="CZ278" i="3"/>
  <c r="DA278" i="3"/>
  <c r="A279" i="3"/>
  <c r="CY279" i="3"/>
  <c r="CZ279" i="3"/>
  <c r="DA279" i="3"/>
  <c r="A280" i="3"/>
  <c r="CY280" i="3"/>
  <c r="CZ280" i="3"/>
  <c r="DA280" i="3"/>
  <c r="A281" i="3"/>
  <c r="CY281" i="3"/>
  <c r="CZ281" i="3"/>
  <c r="DA281" i="3"/>
  <c r="A282" i="3"/>
  <c r="CY282" i="3"/>
  <c r="CZ282" i="3"/>
  <c r="DA282" i="3"/>
  <c r="A283" i="3"/>
  <c r="CY283" i="3"/>
  <c r="CZ283" i="3"/>
  <c r="DA283" i="3"/>
  <c r="A284" i="3"/>
  <c r="CY284" i="3"/>
  <c r="CZ284" i="3"/>
  <c r="DA284" i="3"/>
  <c r="A285" i="3"/>
  <c r="CY285" i="3"/>
  <c r="CZ285" i="3"/>
  <c r="DA285" i="3"/>
  <c r="A286" i="3"/>
  <c r="CY286" i="3"/>
  <c r="CZ286" i="3"/>
  <c r="DA286" i="3"/>
  <c r="A287" i="3"/>
  <c r="CY287" i="3"/>
  <c r="CZ287" i="3"/>
  <c r="DA287" i="3"/>
  <c r="A288" i="3"/>
  <c r="CY288" i="3"/>
  <c r="CZ288" i="3"/>
  <c r="DA288" i="3"/>
  <c r="A289" i="3"/>
  <c r="CY289" i="3"/>
  <c r="CZ289" i="3"/>
  <c r="DA289" i="3"/>
  <c r="A290" i="3"/>
  <c r="CY290" i="3"/>
  <c r="CZ290" i="3"/>
  <c r="DA290" i="3"/>
  <c r="A291" i="3"/>
  <c r="CY291" i="3"/>
  <c r="CZ291" i="3"/>
  <c r="DA291" i="3"/>
  <c r="A292" i="3"/>
  <c r="CY292" i="3"/>
  <c r="CZ292" i="3"/>
  <c r="DA292" i="3"/>
  <c r="A293" i="3"/>
  <c r="CY293" i="3"/>
  <c r="CZ293" i="3"/>
  <c r="DA293" i="3"/>
  <c r="A294" i="3"/>
  <c r="CY294" i="3"/>
  <c r="CZ294" i="3"/>
  <c r="DA294" i="3"/>
  <c r="A295" i="3"/>
  <c r="CY295" i="3"/>
  <c r="CZ295" i="3"/>
  <c r="DA295" i="3"/>
  <c r="A296" i="3"/>
  <c r="CY296" i="3"/>
  <c r="CZ296" i="3"/>
  <c r="DA296" i="3"/>
  <c r="A297" i="3"/>
  <c r="CY297" i="3"/>
  <c r="CZ297" i="3"/>
  <c r="DA297" i="3"/>
  <c r="A298" i="3"/>
  <c r="CY298" i="3"/>
  <c r="CZ298" i="3"/>
  <c r="DA298" i="3"/>
  <c r="A299" i="3"/>
  <c r="CY299" i="3"/>
  <c r="CZ299" i="3"/>
  <c r="DA299" i="3"/>
  <c r="A300" i="3"/>
  <c r="CY300" i="3"/>
  <c r="CZ300" i="3"/>
  <c r="DA300" i="3"/>
  <c r="A301" i="3"/>
  <c r="CY301" i="3"/>
  <c r="CZ301" i="3"/>
  <c r="DA301" i="3"/>
  <c r="A302" i="3"/>
  <c r="CY302" i="3"/>
  <c r="CZ302" i="3"/>
  <c r="DA302" i="3"/>
  <c r="A303" i="3"/>
  <c r="CY303" i="3"/>
  <c r="CZ303" i="3"/>
  <c r="DA303" i="3"/>
  <c r="A304" i="3"/>
  <c r="CY304" i="3"/>
  <c r="CZ304" i="3"/>
  <c r="DA304" i="3"/>
  <c r="A305" i="3"/>
  <c r="CY305" i="3"/>
  <c r="CZ305" i="3"/>
  <c r="DA305" i="3"/>
  <c r="A306" i="3"/>
  <c r="CY306" i="3"/>
  <c r="CZ306" i="3"/>
  <c r="DA306" i="3"/>
  <c r="A307" i="3"/>
  <c r="CY307" i="3"/>
  <c r="CZ307" i="3"/>
  <c r="DA307" i="3"/>
  <c r="A308" i="3"/>
  <c r="CY308" i="3"/>
  <c r="CZ308" i="3"/>
  <c r="DA308" i="3"/>
  <c r="A309" i="3"/>
  <c r="CY309" i="3"/>
  <c r="CZ309" i="3"/>
  <c r="DA309" i="3"/>
  <c r="A310" i="3"/>
  <c r="CY310" i="3"/>
  <c r="CZ310" i="3"/>
  <c r="DA310" i="3"/>
  <c r="A311" i="3"/>
  <c r="CY311" i="3"/>
  <c r="CZ311" i="3"/>
  <c r="DA311" i="3"/>
  <c r="A312" i="3"/>
  <c r="CY312" i="3"/>
  <c r="CZ312" i="3"/>
  <c r="DA312" i="3"/>
  <c r="A313" i="3"/>
  <c r="CY313" i="3"/>
  <c r="CZ313" i="3"/>
  <c r="DA313" i="3"/>
  <c r="A314" i="3"/>
  <c r="CY314" i="3"/>
  <c r="CZ314" i="3"/>
  <c r="DA314" i="3"/>
  <c r="A315" i="3"/>
  <c r="CY315" i="3"/>
  <c r="CZ315" i="3"/>
  <c r="DA315" i="3"/>
  <c r="A316" i="3"/>
  <c r="CY316" i="3"/>
  <c r="CZ316" i="3"/>
  <c r="DA316" i="3"/>
  <c r="A317" i="3"/>
  <c r="CY317" i="3"/>
  <c r="CZ317" i="3"/>
  <c r="DA317" i="3"/>
  <c r="A318" i="3"/>
  <c r="CY318" i="3"/>
  <c r="CZ318" i="3"/>
  <c r="DA318" i="3"/>
  <c r="A319" i="3"/>
  <c r="CY319" i="3"/>
  <c r="CZ319" i="3"/>
  <c r="DA319" i="3"/>
  <c r="A320" i="3"/>
  <c r="CY320" i="3"/>
  <c r="CZ320" i="3"/>
  <c r="DA320" i="3"/>
  <c r="A321" i="3"/>
  <c r="CY321" i="3"/>
  <c r="CZ321" i="3"/>
  <c r="DA321" i="3"/>
  <c r="A322" i="3"/>
  <c r="CY322" i="3"/>
  <c r="CZ322" i="3"/>
  <c r="DA322" i="3"/>
  <c r="A323" i="3"/>
  <c r="CY323" i="3"/>
  <c r="CZ323" i="3"/>
  <c r="DA323" i="3"/>
  <c r="A324" i="3"/>
  <c r="CY324" i="3"/>
  <c r="CZ324" i="3"/>
  <c r="DA324" i="3"/>
  <c r="A325" i="3"/>
  <c r="CY325" i="3"/>
  <c r="CZ325" i="3"/>
  <c r="DA325" i="3"/>
  <c r="A326" i="3"/>
  <c r="CY326" i="3"/>
  <c r="CZ326" i="3"/>
  <c r="DA326" i="3"/>
  <c r="A327" i="3"/>
  <c r="CY327" i="3"/>
  <c r="CZ327" i="3"/>
  <c r="DA327" i="3"/>
  <c r="A328" i="3"/>
  <c r="CY328" i="3"/>
  <c r="CZ328" i="3"/>
  <c r="DA328" i="3"/>
  <c r="A329" i="3"/>
  <c r="CY329" i="3"/>
  <c r="CZ329" i="3"/>
  <c r="DA329" i="3"/>
  <c r="A330" i="3"/>
  <c r="CY330" i="3"/>
  <c r="CZ330" i="3"/>
  <c r="DA330" i="3"/>
  <c r="A331" i="3"/>
  <c r="CY331" i="3"/>
  <c r="CZ331" i="3"/>
  <c r="DA331" i="3"/>
  <c r="A332" i="3"/>
  <c r="CY332" i="3"/>
  <c r="CZ332" i="3"/>
  <c r="DA332" i="3"/>
  <c r="A333" i="3"/>
  <c r="CY333" i="3"/>
  <c r="CZ333" i="3"/>
  <c r="DA333" i="3"/>
  <c r="A334" i="3"/>
  <c r="CY334" i="3"/>
  <c r="CZ334" i="3"/>
  <c r="DA334" i="3"/>
  <c r="A335" i="3"/>
  <c r="CY335" i="3"/>
  <c r="CZ335" i="3"/>
  <c r="DA335" i="3"/>
  <c r="A336" i="3"/>
  <c r="CY336" i="3"/>
  <c r="CZ336" i="3"/>
  <c r="DA336" i="3"/>
  <c r="A337" i="3"/>
  <c r="CX337" i="3"/>
  <c r="CY337" i="3"/>
  <c r="CZ337" i="3"/>
  <c r="DA337" i="3"/>
  <c r="A338" i="3"/>
  <c r="CX338" i="3"/>
  <c r="CY338" i="3"/>
  <c r="CZ338" i="3"/>
  <c r="DA338" i="3"/>
  <c r="A339" i="3"/>
  <c r="CX339" i="3"/>
  <c r="CY339" i="3"/>
  <c r="CZ339" i="3"/>
  <c r="DA339" i="3"/>
  <c r="A340" i="3"/>
  <c r="CX340" i="3"/>
  <c r="CY340" i="3"/>
  <c r="CZ340" i="3"/>
  <c r="DA340" i="3"/>
  <c r="A341" i="3"/>
  <c r="CX341" i="3"/>
  <c r="CY341" i="3"/>
  <c r="CZ341" i="3"/>
  <c r="DA341" i="3"/>
  <c r="A342" i="3"/>
  <c r="CX342" i="3"/>
  <c r="CY342" i="3"/>
  <c r="CZ342" i="3"/>
  <c r="DA342" i="3"/>
  <c r="A343" i="3"/>
  <c r="CX343" i="3"/>
  <c r="CY343" i="3"/>
  <c r="CZ343" i="3"/>
  <c r="DA343" i="3"/>
  <c r="A344" i="3"/>
  <c r="CX344" i="3"/>
  <c r="CY344" i="3"/>
  <c r="CZ344" i="3"/>
  <c r="DA344" i="3"/>
  <c r="A345" i="3"/>
  <c r="CX345" i="3"/>
  <c r="CY345" i="3"/>
  <c r="CZ345" i="3"/>
  <c r="DA345" i="3"/>
  <c r="A346" i="3"/>
  <c r="CX346" i="3"/>
  <c r="CY346" i="3"/>
  <c r="CZ346" i="3"/>
  <c r="DA346" i="3"/>
  <c r="A347" i="3"/>
  <c r="CX347" i="3"/>
  <c r="CY347" i="3"/>
  <c r="CZ347" i="3"/>
  <c r="DA347" i="3"/>
  <c r="A348" i="3"/>
  <c r="CX348" i="3"/>
  <c r="CY348" i="3"/>
  <c r="CZ348" i="3"/>
  <c r="DA348" i="3"/>
  <c r="A349" i="3"/>
  <c r="CX349" i="3"/>
  <c r="CY349" i="3"/>
  <c r="CZ349" i="3"/>
  <c r="DA349" i="3"/>
  <c r="A350" i="3"/>
  <c r="CX350" i="3"/>
  <c r="CY350" i="3"/>
  <c r="CZ350" i="3"/>
  <c r="DA350" i="3"/>
  <c r="A351" i="3"/>
  <c r="CX351" i="3"/>
  <c r="CY351" i="3"/>
  <c r="CZ351" i="3"/>
  <c r="DA351" i="3"/>
  <c r="A352" i="3"/>
  <c r="CX352" i="3"/>
  <c r="CY352" i="3"/>
  <c r="CZ352" i="3"/>
  <c r="DA352" i="3"/>
  <c r="A353" i="3"/>
  <c r="CX353" i="3"/>
  <c r="CY353" i="3"/>
  <c r="CZ353" i="3"/>
  <c r="DA353" i="3"/>
  <c r="A354" i="3"/>
  <c r="CX354" i="3"/>
  <c r="CY354" i="3"/>
  <c r="CZ354" i="3"/>
  <c r="DA354" i="3"/>
  <c r="A355" i="3"/>
  <c r="CX355" i="3"/>
  <c r="CY355" i="3"/>
  <c r="CZ355" i="3"/>
  <c r="DA355" i="3"/>
  <c r="A356" i="3"/>
  <c r="CX356" i="3"/>
  <c r="CY356" i="3"/>
  <c r="CZ356" i="3"/>
  <c r="DA356" i="3"/>
  <c r="A357" i="3"/>
  <c r="CX357" i="3"/>
  <c r="CY357" i="3"/>
  <c r="CZ357" i="3"/>
  <c r="DA357" i="3"/>
  <c r="A358" i="3"/>
  <c r="CX358" i="3"/>
  <c r="CY358" i="3"/>
  <c r="CZ358" i="3"/>
  <c r="DA358" i="3"/>
  <c r="A359" i="3"/>
  <c r="CX359" i="3"/>
  <c r="CY359" i="3"/>
  <c r="CZ359" i="3"/>
  <c r="DA359" i="3"/>
  <c r="A360" i="3"/>
  <c r="CX360" i="3"/>
  <c r="CY360" i="3"/>
  <c r="CZ360" i="3"/>
  <c r="DA360" i="3"/>
  <c r="A361" i="3"/>
  <c r="CX361" i="3"/>
  <c r="CY361" i="3"/>
  <c r="CZ361" i="3"/>
  <c r="DA361" i="3"/>
  <c r="A362" i="3"/>
  <c r="CX362" i="3"/>
  <c r="CY362" i="3"/>
  <c r="CZ362" i="3"/>
  <c r="DA362" i="3"/>
  <c r="A363" i="3"/>
  <c r="CX363" i="3"/>
  <c r="CY363" i="3"/>
  <c r="CZ363" i="3"/>
  <c r="DA363" i="3"/>
  <c r="A364" i="3"/>
  <c r="CX364" i="3"/>
  <c r="CY364" i="3"/>
  <c r="CZ364" i="3"/>
  <c r="DA364" i="3"/>
  <c r="A365" i="3"/>
  <c r="CX365" i="3"/>
  <c r="CY365" i="3"/>
  <c r="CZ365" i="3"/>
  <c r="DA365" i="3"/>
  <c r="A366" i="3"/>
  <c r="CX366" i="3"/>
  <c r="CY366" i="3"/>
  <c r="CZ366" i="3"/>
  <c r="DA366" i="3"/>
  <c r="A367" i="3"/>
  <c r="CX367" i="3"/>
  <c r="CY367" i="3"/>
  <c r="CZ367" i="3"/>
  <c r="DA367" i="3"/>
  <c r="A368" i="3"/>
  <c r="CX368" i="3"/>
  <c r="CY368" i="3"/>
  <c r="CZ368" i="3"/>
  <c r="DA368" i="3"/>
  <c r="A369" i="3"/>
  <c r="CX369" i="3"/>
  <c r="CY369" i="3"/>
  <c r="CZ369" i="3"/>
  <c r="DA369" i="3"/>
  <c r="A370" i="3"/>
  <c r="CX370" i="3"/>
  <c r="CY370" i="3"/>
  <c r="CZ370" i="3"/>
  <c r="DA370" i="3"/>
  <c r="A371" i="3"/>
  <c r="CY371" i="3"/>
  <c r="CZ371" i="3"/>
  <c r="DA371" i="3"/>
  <c r="A372" i="3"/>
  <c r="CY372" i="3"/>
  <c r="CZ372" i="3"/>
  <c r="DA372" i="3"/>
  <c r="A373" i="3"/>
  <c r="CX373" i="3"/>
  <c r="CY373" i="3"/>
  <c r="CZ373" i="3"/>
  <c r="DA373" i="3"/>
  <c r="A374" i="3"/>
  <c r="CX374" i="3"/>
  <c r="CY374" i="3"/>
  <c r="CZ374" i="3"/>
  <c r="DA374" i="3"/>
  <c r="A375" i="3"/>
  <c r="CX375" i="3"/>
  <c r="CY375" i="3"/>
  <c r="CZ375" i="3"/>
  <c r="DA375" i="3"/>
  <c r="A376" i="3"/>
  <c r="CX376" i="3"/>
  <c r="CY376" i="3"/>
  <c r="CZ376" i="3"/>
  <c r="DA376" i="3"/>
  <c r="A377" i="3"/>
  <c r="CX377" i="3"/>
  <c r="CY377" i="3"/>
  <c r="CZ377" i="3"/>
  <c r="DA377" i="3"/>
  <c r="A378" i="3"/>
  <c r="CX378" i="3"/>
  <c r="CY378" i="3"/>
  <c r="CZ378" i="3"/>
  <c r="DA378" i="3"/>
  <c r="A379" i="3"/>
  <c r="CY379" i="3"/>
  <c r="CZ379" i="3"/>
  <c r="DA379" i="3"/>
  <c r="A380" i="3"/>
  <c r="CY380" i="3"/>
  <c r="CZ380" i="3"/>
  <c r="DA380" i="3"/>
  <c r="A381" i="3"/>
  <c r="CY381" i="3"/>
  <c r="CZ381" i="3"/>
  <c r="DA381" i="3"/>
  <c r="A382" i="3"/>
  <c r="CY382" i="3"/>
  <c r="CZ382" i="3"/>
  <c r="DA382" i="3"/>
  <c r="A383" i="3"/>
  <c r="CY383" i="3"/>
  <c r="CZ383" i="3"/>
  <c r="DA383" i="3"/>
  <c r="A384" i="3"/>
  <c r="CY384" i="3"/>
  <c r="CZ384" i="3"/>
  <c r="DA384" i="3"/>
  <c r="A385" i="3"/>
  <c r="CY385" i="3"/>
  <c r="CZ385" i="3"/>
  <c r="DA385" i="3"/>
  <c r="A386" i="3"/>
  <c r="CY386" i="3"/>
  <c r="CZ386" i="3"/>
  <c r="DA386" i="3"/>
  <c r="A387" i="3"/>
  <c r="CY387" i="3"/>
  <c r="CZ387" i="3"/>
  <c r="DA387" i="3"/>
  <c r="A388" i="3"/>
  <c r="CY388" i="3"/>
  <c r="CZ388" i="3"/>
  <c r="DA388" i="3"/>
  <c r="A389" i="3"/>
  <c r="CY389" i="3"/>
  <c r="CZ389" i="3"/>
  <c r="DA389" i="3"/>
  <c r="A390" i="3"/>
  <c r="CY390" i="3"/>
  <c r="CZ390" i="3"/>
  <c r="DA390" i="3"/>
  <c r="A391" i="3"/>
  <c r="CY391" i="3"/>
  <c r="CZ391" i="3"/>
  <c r="DA391" i="3"/>
  <c r="A392" i="3"/>
  <c r="CY392" i="3"/>
  <c r="CZ392" i="3"/>
  <c r="DA392" i="3"/>
  <c r="A393" i="3"/>
  <c r="CY393" i="3"/>
  <c r="CZ393" i="3"/>
  <c r="DA393" i="3"/>
  <c r="A394" i="3"/>
  <c r="CY394" i="3"/>
  <c r="CZ394" i="3"/>
  <c r="DA394" i="3"/>
  <c r="A395" i="3"/>
  <c r="CY395" i="3"/>
  <c r="CZ395" i="3"/>
  <c r="DA395" i="3"/>
  <c r="A396" i="3"/>
  <c r="CY396" i="3"/>
  <c r="CZ396" i="3"/>
  <c r="DA396" i="3"/>
  <c r="A397" i="3"/>
  <c r="CY397" i="3"/>
  <c r="CZ397" i="3"/>
  <c r="DA397" i="3"/>
  <c r="A398" i="3"/>
  <c r="CY398" i="3"/>
  <c r="CZ398" i="3"/>
  <c r="DA398" i="3"/>
  <c r="A399" i="3"/>
  <c r="CY399" i="3"/>
  <c r="CZ399" i="3"/>
  <c r="DA399" i="3"/>
  <c r="A400" i="3"/>
  <c r="CY400" i="3"/>
  <c r="CZ400" i="3"/>
  <c r="DA400" i="3"/>
  <c r="A401" i="3"/>
  <c r="CY401" i="3"/>
  <c r="CZ401" i="3"/>
  <c r="DA401" i="3"/>
  <c r="A402" i="3"/>
  <c r="CY402" i="3"/>
  <c r="CZ402" i="3"/>
  <c r="DA402" i="3"/>
  <c r="A403" i="3"/>
  <c r="CY403" i="3"/>
  <c r="CZ403" i="3"/>
  <c r="DA403" i="3"/>
  <c r="A404" i="3"/>
  <c r="CY404" i="3"/>
  <c r="CZ404" i="3"/>
  <c r="DA404" i="3"/>
  <c r="A405" i="3"/>
  <c r="CY405" i="3"/>
  <c r="CZ405" i="3"/>
  <c r="DA405" i="3"/>
  <c r="A406" i="3"/>
  <c r="CY406" i="3"/>
  <c r="CZ406" i="3"/>
  <c r="DA406" i="3"/>
  <c r="A407" i="3"/>
  <c r="CY407" i="3"/>
  <c r="CZ407" i="3"/>
  <c r="DA407" i="3"/>
  <c r="A408" i="3"/>
  <c r="CY408" i="3"/>
  <c r="CZ408" i="3"/>
  <c r="DA408" i="3"/>
  <c r="A409" i="3"/>
  <c r="CY409" i="3"/>
  <c r="CZ409" i="3"/>
  <c r="DA409" i="3"/>
  <c r="A410" i="3"/>
  <c r="CY410" i="3"/>
  <c r="CZ410" i="3"/>
  <c r="DA410" i="3"/>
  <c r="A411" i="3"/>
  <c r="CY411" i="3"/>
  <c r="CZ411" i="3"/>
  <c r="DA411" i="3"/>
  <c r="A412" i="3"/>
  <c r="CY412" i="3"/>
  <c r="CZ412" i="3"/>
  <c r="DA412" i="3"/>
  <c r="A413" i="3"/>
  <c r="CY413" i="3"/>
  <c r="CZ413" i="3"/>
  <c r="DA413" i="3"/>
  <c r="A414" i="3"/>
  <c r="CY414" i="3"/>
  <c r="CZ414" i="3"/>
  <c r="DA414" i="3"/>
  <c r="A415" i="3"/>
  <c r="CY415" i="3"/>
  <c r="CZ415" i="3"/>
  <c r="DA415" i="3"/>
  <c r="A416" i="3"/>
  <c r="CY416" i="3"/>
  <c r="CZ416" i="3"/>
  <c r="DA416" i="3"/>
  <c r="A417" i="3"/>
  <c r="CY417" i="3"/>
  <c r="CZ417" i="3"/>
  <c r="DA417" i="3"/>
  <c r="A418" i="3"/>
  <c r="CY418" i="3"/>
  <c r="CZ418" i="3"/>
  <c r="DA418" i="3"/>
  <c r="A419" i="3"/>
  <c r="CY419" i="3"/>
  <c r="CZ419" i="3"/>
  <c r="DA419" i="3"/>
  <c r="A420" i="3"/>
  <c r="CY420" i="3"/>
  <c r="CZ420" i="3"/>
  <c r="DA420" i="3"/>
  <c r="A421" i="3"/>
  <c r="CY421" i="3"/>
  <c r="CZ421" i="3"/>
  <c r="DA421" i="3"/>
  <c r="A422" i="3"/>
  <c r="CY422" i="3"/>
  <c r="CZ422" i="3"/>
  <c r="DA422" i="3"/>
  <c r="A423" i="3"/>
  <c r="CX423" i="3"/>
  <c r="CY423" i="3"/>
  <c r="CZ423" i="3"/>
  <c r="DA423" i="3"/>
  <c r="A424" i="3"/>
  <c r="CX424" i="3"/>
  <c r="CY424" i="3"/>
  <c r="CZ424" i="3"/>
  <c r="DA424" i="3"/>
  <c r="A425" i="3"/>
  <c r="CX425" i="3"/>
  <c r="CY425" i="3"/>
  <c r="CZ425" i="3"/>
  <c r="DA425" i="3"/>
  <c r="A426" i="3"/>
  <c r="CX426" i="3"/>
  <c r="CY426" i="3"/>
  <c r="CZ426" i="3"/>
  <c r="DA426" i="3"/>
  <c r="A427" i="3"/>
  <c r="CX427" i="3"/>
  <c r="CY427" i="3"/>
  <c r="CZ427" i="3"/>
  <c r="DA427" i="3"/>
  <c r="A428" i="3"/>
  <c r="CX428" i="3"/>
  <c r="CY428" i="3"/>
  <c r="CZ428" i="3"/>
  <c r="DA428" i="3"/>
  <c r="D12" i="1"/>
  <c r="E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BD18" i="1"/>
  <c r="BE18" i="1"/>
  <c r="BF18" i="1"/>
  <c r="BG18" i="1"/>
  <c r="BH18" i="1"/>
  <c r="BI18" i="1"/>
  <c r="BJ18" i="1"/>
  <c r="BK18" i="1"/>
  <c r="BL18" i="1"/>
  <c r="BM18" i="1"/>
  <c r="BN18" i="1"/>
  <c r="BO18" i="1"/>
  <c r="BP18" i="1"/>
  <c r="BQ18" i="1"/>
  <c r="BR18" i="1"/>
  <c r="BS18" i="1"/>
  <c r="BT18" i="1"/>
  <c r="BU18" i="1"/>
  <c r="BV18" i="1"/>
  <c r="BW18" i="1"/>
  <c r="BX18" i="1"/>
  <c r="BY18" i="1"/>
  <c r="BZ18" i="1"/>
  <c r="CA18" i="1"/>
  <c r="CB18" i="1"/>
  <c r="CC18" i="1"/>
  <c r="CD18" i="1"/>
  <c r="CE18" i="1"/>
  <c r="CF18" i="1"/>
  <c r="CG18" i="1"/>
  <c r="CH18" i="1"/>
  <c r="CI18" i="1"/>
  <c r="CJ18" i="1"/>
  <c r="CK18" i="1"/>
  <c r="CL18" i="1"/>
  <c r="CM18" i="1"/>
  <c r="CN18" i="1"/>
  <c r="CO18" i="1"/>
  <c r="CP18" i="1"/>
  <c r="CQ18" i="1"/>
  <c r="CR18" i="1"/>
  <c r="CS18" i="1"/>
  <c r="CT18" i="1"/>
  <c r="CU18" i="1"/>
  <c r="CV18" i="1"/>
  <c r="CW18" i="1"/>
  <c r="CX18" i="1"/>
  <c r="CY18" i="1"/>
  <c r="CZ18" i="1"/>
  <c r="DA18" i="1"/>
  <c r="DB18" i="1"/>
  <c r="DC18" i="1"/>
  <c r="DD18" i="1"/>
  <c r="DE18" i="1"/>
  <c r="DF18" i="1"/>
  <c r="DR18" i="1"/>
  <c r="DS18" i="1"/>
  <c r="DT18" i="1"/>
  <c r="DU18" i="1"/>
  <c r="DV18" i="1"/>
  <c r="DW18" i="1"/>
  <c r="DX18" i="1"/>
  <c r="DY18" i="1"/>
  <c r="DZ18" i="1"/>
  <c r="EA18" i="1"/>
  <c r="EB18" i="1"/>
  <c r="EC18" i="1"/>
  <c r="ED18" i="1"/>
  <c r="EE18" i="1"/>
  <c r="EF18" i="1"/>
  <c r="EV18" i="1"/>
  <c r="EW18" i="1"/>
  <c r="EX18" i="1"/>
  <c r="EY18" i="1"/>
  <c r="EZ18" i="1"/>
  <c r="FA18" i="1"/>
  <c r="FB18" i="1"/>
  <c r="FC18" i="1"/>
  <c r="FD18" i="1"/>
  <c r="FE18" i="1"/>
  <c r="FF18" i="1"/>
  <c r="FG18" i="1"/>
  <c r="FH18" i="1"/>
  <c r="FI18" i="1"/>
  <c r="FJ18" i="1"/>
  <c r="FK18" i="1"/>
  <c r="FL18" i="1"/>
  <c r="FM18" i="1"/>
  <c r="FN18" i="1"/>
  <c r="FO18" i="1"/>
  <c r="FP18" i="1"/>
  <c r="FQ18" i="1"/>
  <c r="FR18" i="1"/>
  <c r="FS18" i="1"/>
  <c r="FT18" i="1"/>
  <c r="FU18" i="1"/>
  <c r="FV18" i="1"/>
  <c r="FW18" i="1"/>
  <c r="FX18" i="1"/>
  <c r="FY18" i="1"/>
  <c r="FZ18" i="1"/>
  <c r="GA18" i="1"/>
  <c r="GB18" i="1"/>
  <c r="GC18" i="1"/>
  <c r="GD18" i="1"/>
  <c r="GE18" i="1"/>
  <c r="GF18" i="1"/>
  <c r="GG18" i="1"/>
  <c r="GH18" i="1"/>
  <c r="GI18" i="1"/>
  <c r="GJ18" i="1"/>
  <c r="GK18" i="1"/>
  <c r="GL18" i="1"/>
  <c r="GM18" i="1"/>
  <c r="GN18" i="1"/>
  <c r="GO18" i="1"/>
  <c r="GP18" i="1"/>
  <c r="GQ18" i="1"/>
  <c r="GR18" i="1"/>
  <c r="GS18" i="1"/>
  <c r="GT18" i="1"/>
  <c r="GU18" i="1"/>
  <c r="GV18" i="1"/>
  <c r="GW18" i="1"/>
  <c r="GX18" i="1"/>
  <c r="D20" i="1"/>
  <c r="E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BD22" i="1"/>
  <c r="BE22" i="1"/>
  <c r="BF22" i="1"/>
  <c r="BG22" i="1"/>
  <c r="BH22" i="1"/>
  <c r="BI22" i="1"/>
  <c r="BJ22" i="1"/>
  <c r="BK22" i="1"/>
  <c r="BL22" i="1"/>
  <c r="BM22" i="1"/>
  <c r="BN22" i="1"/>
  <c r="BO22" i="1"/>
  <c r="BP22" i="1"/>
  <c r="BQ22" i="1"/>
  <c r="BR22" i="1"/>
  <c r="BS22" i="1"/>
  <c r="BT22" i="1"/>
  <c r="BU22" i="1"/>
  <c r="BV22" i="1"/>
  <c r="BW22" i="1"/>
  <c r="BX22" i="1"/>
  <c r="BY22" i="1"/>
  <c r="BZ22" i="1"/>
  <c r="CA22" i="1"/>
  <c r="CB22" i="1"/>
  <c r="CC22" i="1"/>
  <c r="CD22" i="1"/>
  <c r="CE22" i="1"/>
  <c r="CF22" i="1"/>
  <c r="CG22" i="1"/>
  <c r="CH22" i="1"/>
  <c r="CI22" i="1"/>
  <c r="CJ22" i="1"/>
  <c r="CK22" i="1"/>
  <c r="CL22" i="1"/>
  <c r="CM22" i="1"/>
  <c r="CN22" i="1"/>
  <c r="CO22" i="1"/>
  <c r="CP22" i="1"/>
  <c r="CQ22" i="1"/>
  <c r="CR22" i="1"/>
  <c r="CS22" i="1"/>
  <c r="CT22" i="1"/>
  <c r="CU22" i="1"/>
  <c r="CV22" i="1"/>
  <c r="CW22" i="1"/>
  <c r="CX22" i="1"/>
  <c r="CY22" i="1"/>
  <c r="CZ22" i="1"/>
  <c r="DA22" i="1"/>
  <c r="DB22" i="1"/>
  <c r="DC22" i="1"/>
  <c r="DD22" i="1"/>
  <c r="DE22" i="1"/>
  <c r="DF22" i="1"/>
  <c r="DR22" i="1"/>
  <c r="DS22" i="1"/>
  <c r="DT22" i="1"/>
  <c r="DU22" i="1"/>
  <c r="DV22" i="1"/>
  <c r="DW22" i="1"/>
  <c r="DX22" i="1"/>
  <c r="DY22" i="1"/>
  <c r="DZ22" i="1"/>
  <c r="EA22" i="1"/>
  <c r="EB22" i="1"/>
  <c r="EC22" i="1"/>
  <c r="ED22" i="1"/>
  <c r="EE22" i="1"/>
  <c r="EF22" i="1"/>
  <c r="EV22" i="1"/>
  <c r="EW22" i="1"/>
  <c r="EX22" i="1"/>
  <c r="EY22" i="1"/>
  <c r="EZ22" i="1"/>
  <c r="FA22" i="1"/>
  <c r="FB22" i="1"/>
  <c r="FC22" i="1"/>
  <c r="FD22" i="1"/>
  <c r="FE22" i="1"/>
  <c r="FF22" i="1"/>
  <c r="FG22" i="1"/>
  <c r="FH22" i="1"/>
  <c r="FI22" i="1"/>
  <c r="FJ22" i="1"/>
  <c r="FK22" i="1"/>
  <c r="FL22" i="1"/>
  <c r="FM22" i="1"/>
  <c r="FN22" i="1"/>
  <c r="FO22" i="1"/>
  <c r="FP22" i="1"/>
  <c r="FQ22" i="1"/>
  <c r="FR22" i="1"/>
  <c r="FS22" i="1"/>
  <c r="FT22" i="1"/>
  <c r="FU22" i="1"/>
  <c r="FV22" i="1"/>
  <c r="FW22" i="1"/>
  <c r="FX22" i="1"/>
  <c r="FY22" i="1"/>
  <c r="FZ22" i="1"/>
  <c r="GA22" i="1"/>
  <c r="GB22" i="1"/>
  <c r="GC22" i="1"/>
  <c r="GD22" i="1"/>
  <c r="GE22" i="1"/>
  <c r="GF22" i="1"/>
  <c r="GG22" i="1"/>
  <c r="GH22" i="1"/>
  <c r="GI22" i="1"/>
  <c r="GJ22" i="1"/>
  <c r="GK22" i="1"/>
  <c r="GL22" i="1"/>
  <c r="GM22" i="1"/>
  <c r="GN22" i="1"/>
  <c r="GO22" i="1"/>
  <c r="GP22" i="1"/>
  <c r="GQ22" i="1"/>
  <c r="GR22" i="1"/>
  <c r="GS22" i="1"/>
  <c r="GT22" i="1"/>
  <c r="GU22" i="1"/>
  <c r="GV22" i="1"/>
  <c r="GW22" i="1"/>
  <c r="GX22" i="1"/>
  <c r="D24" i="1"/>
  <c r="E26" i="1"/>
  <c r="Z26" i="1"/>
  <c r="AA26" i="1"/>
  <c r="AM26" i="1"/>
  <c r="AN26" i="1"/>
  <c r="BD26" i="1"/>
  <c r="BE26" i="1"/>
  <c r="BF26" i="1"/>
  <c r="BG26" i="1"/>
  <c r="BH26" i="1"/>
  <c r="BI26" i="1"/>
  <c r="BJ26" i="1"/>
  <c r="BK26" i="1"/>
  <c r="BL26" i="1"/>
  <c r="BM26" i="1"/>
  <c r="BN26" i="1"/>
  <c r="BO26" i="1"/>
  <c r="BP26" i="1"/>
  <c r="BQ26" i="1"/>
  <c r="BR26" i="1"/>
  <c r="BS26" i="1"/>
  <c r="BT26" i="1"/>
  <c r="BU26" i="1"/>
  <c r="BV26" i="1"/>
  <c r="BW26" i="1"/>
  <c r="CM26" i="1"/>
  <c r="CN26" i="1"/>
  <c r="CO26" i="1"/>
  <c r="CP26" i="1"/>
  <c r="CQ26" i="1"/>
  <c r="CR26" i="1"/>
  <c r="CS26" i="1"/>
  <c r="CT26" i="1"/>
  <c r="CU26" i="1"/>
  <c r="CV26" i="1"/>
  <c r="CW26" i="1"/>
  <c r="CX26" i="1"/>
  <c r="CY26" i="1"/>
  <c r="CZ26" i="1"/>
  <c r="DA26" i="1"/>
  <c r="DB26" i="1"/>
  <c r="DC26" i="1"/>
  <c r="DD26" i="1"/>
  <c r="DE26" i="1"/>
  <c r="DF26" i="1"/>
  <c r="DR26" i="1"/>
  <c r="DS26" i="1"/>
  <c r="EE26" i="1"/>
  <c r="EF26" i="1"/>
  <c r="EV26" i="1"/>
  <c r="EW26" i="1"/>
  <c r="EX26" i="1"/>
  <c r="EY26" i="1"/>
  <c r="EZ26" i="1"/>
  <c r="FA26" i="1"/>
  <c r="FB26" i="1"/>
  <c r="FC26" i="1"/>
  <c r="FD26" i="1"/>
  <c r="FE26" i="1"/>
  <c r="FF26" i="1"/>
  <c r="FG26" i="1"/>
  <c r="FH26" i="1"/>
  <c r="FI26" i="1"/>
  <c r="FJ26" i="1"/>
  <c r="FK26" i="1"/>
  <c r="FL26" i="1"/>
  <c r="FM26" i="1"/>
  <c r="FN26" i="1"/>
  <c r="FO26" i="1"/>
  <c r="GE26" i="1"/>
  <c r="GF26" i="1"/>
  <c r="GG26" i="1"/>
  <c r="GH26" i="1"/>
  <c r="GI26" i="1"/>
  <c r="GJ26" i="1"/>
  <c r="GK26" i="1"/>
  <c r="GL26" i="1"/>
  <c r="GM26" i="1"/>
  <c r="GN26" i="1"/>
  <c r="GO26" i="1"/>
  <c r="GP26" i="1"/>
  <c r="GQ26" i="1"/>
  <c r="GR26" i="1"/>
  <c r="GS26" i="1"/>
  <c r="GT26" i="1"/>
  <c r="GU26" i="1"/>
  <c r="GV26" i="1"/>
  <c r="GW26" i="1"/>
  <c r="GX26" i="1"/>
  <c r="C28" i="1"/>
  <c r="D28" i="1"/>
  <c r="I28" i="1"/>
  <c r="CX5" i="3" s="1"/>
  <c r="V28" i="1"/>
  <c r="W28" i="1"/>
  <c r="AC28" i="1"/>
  <c r="AB28" i="1" s="1"/>
  <c r="AD28" i="1"/>
  <c r="CR28" i="1" s="1"/>
  <c r="Q28" i="1" s="1"/>
  <c r="AE28" i="1"/>
  <c r="AF28" i="1"/>
  <c r="AG28" i="1"/>
  <c r="CU28" i="1" s="1"/>
  <c r="T28" i="1" s="1"/>
  <c r="AH28" i="1"/>
  <c r="CV28" i="1" s="1"/>
  <c r="U28" i="1" s="1"/>
  <c r="AI28" i="1"/>
  <c r="AJ28" i="1"/>
  <c r="CS28" i="1"/>
  <c r="R28" i="1" s="1"/>
  <c r="GK28" i="1" s="1"/>
  <c r="CT28" i="1"/>
  <c r="S28" i="1" s="1"/>
  <c r="CW28" i="1"/>
  <c r="CX28" i="1"/>
  <c r="FR28" i="1"/>
  <c r="GL28" i="1"/>
  <c r="GO28" i="1"/>
  <c r="GP28" i="1"/>
  <c r="GV28" i="1"/>
  <c r="GX28" i="1"/>
  <c r="C29" i="1"/>
  <c r="D29" i="1"/>
  <c r="I29" i="1"/>
  <c r="CX8" i="3" s="1"/>
  <c r="S29" i="1"/>
  <c r="CY29" i="1" s="1"/>
  <c r="X29" i="1" s="1"/>
  <c r="AC29" i="1"/>
  <c r="CQ29" i="1" s="1"/>
  <c r="P29" i="1" s="1"/>
  <c r="AD29" i="1"/>
  <c r="AE29" i="1"/>
  <c r="CS29" i="1" s="1"/>
  <c r="R29" i="1" s="1"/>
  <c r="GK29" i="1" s="1"/>
  <c r="AF29" i="1"/>
  <c r="AG29" i="1"/>
  <c r="AH29" i="1"/>
  <c r="CV29" i="1" s="1"/>
  <c r="U29" i="1" s="1"/>
  <c r="AI29" i="1"/>
  <c r="CW29" i="1" s="1"/>
  <c r="V29" i="1" s="1"/>
  <c r="AJ29" i="1"/>
  <c r="CR29" i="1"/>
  <c r="Q29" i="1" s="1"/>
  <c r="CT29" i="1"/>
  <c r="CU29" i="1"/>
  <c r="T29" i="1" s="1"/>
  <c r="CX29" i="1"/>
  <c r="W29" i="1" s="1"/>
  <c r="CZ29" i="1"/>
  <c r="Y29" i="1" s="1"/>
  <c r="FR29" i="1"/>
  <c r="GL29" i="1"/>
  <c r="GO29" i="1"/>
  <c r="GP29" i="1"/>
  <c r="GV29" i="1"/>
  <c r="GX29" i="1" s="1"/>
  <c r="I30" i="1"/>
  <c r="AB30" i="1"/>
  <c r="AC30" i="1"/>
  <c r="AD30" i="1"/>
  <c r="CR30" i="1" s="1"/>
  <c r="Q30" i="1" s="1"/>
  <c r="AE30" i="1"/>
  <c r="CS30" i="1" s="1"/>
  <c r="R30" i="1" s="1"/>
  <c r="GK30" i="1" s="1"/>
  <c r="AF30" i="1"/>
  <c r="AG30" i="1"/>
  <c r="CU30" i="1" s="1"/>
  <c r="T30" i="1" s="1"/>
  <c r="AH30" i="1"/>
  <c r="CV30" i="1" s="1"/>
  <c r="U30" i="1" s="1"/>
  <c r="AI30" i="1"/>
  <c r="AJ30" i="1"/>
  <c r="CX30" i="1" s="1"/>
  <c r="W30" i="1" s="1"/>
  <c r="CQ30" i="1"/>
  <c r="P30" i="1" s="1"/>
  <c r="CP30" i="1" s="1"/>
  <c r="O30" i="1" s="1"/>
  <c r="CT30" i="1"/>
  <c r="S30" i="1" s="1"/>
  <c r="CW30" i="1"/>
  <c r="V30" i="1" s="1"/>
  <c r="FR30" i="1"/>
  <c r="GL30" i="1"/>
  <c r="GO30" i="1"/>
  <c r="GP30" i="1"/>
  <c r="GV30" i="1"/>
  <c r="GX30" i="1" s="1"/>
  <c r="I31" i="1"/>
  <c r="AC31" i="1"/>
  <c r="AD31" i="1"/>
  <c r="CR31" i="1" s="1"/>
  <c r="Q31" i="1" s="1"/>
  <c r="AE31" i="1"/>
  <c r="AF31" i="1"/>
  <c r="CT31" i="1" s="1"/>
  <c r="S31" i="1" s="1"/>
  <c r="AG31" i="1"/>
  <c r="CU31" i="1" s="1"/>
  <c r="T31" i="1" s="1"/>
  <c r="AH31" i="1"/>
  <c r="AI31" i="1"/>
  <c r="CW31" i="1" s="1"/>
  <c r="V31" i="1" s="1"/>
  <c r="AJ31" i="1"/>
  <c r="CS31" i="1"/>
  <c r="R31" i="1" s="1"/>
  <c r="GK31" i="1" s="1"/>
  <c r="CV31" i="1"/>
  <c r="U31" i="1" s="1"/>
  <c r="CX31" i="1"/>
  <c r="W31" i="1" s="1"/>
  <c r="FR31" i="1"/>
  <c r="GL31" i="1"/>
  <c r="GO31" i="1"/>
  <c r="GP31" i="1"/>
  <c r="GV31" i="1"/>
  <c r="GX31" i="1"/>
  <c r="C32" i="1"/>
  <c r="D32" i="1"/>
  <c r="I32" i="1"/>
  <c r="CX13" i="3" s="1"/>
  <c r="S32" i="1"/>
  <c r="CZ32" i="1" s="1"/>
  <c r="Y32" i="1" s="1"/>
  <c r="V32" i="1"/>
  <c r="AC32" i="1"/>
  <c r="AD32" i="1"/>
  <c r="CR32" i="1" s="1"/>
  <c r="AE32" i="1"/>
  <c r="AF32" i="1"/>
  <c r="AG32" i="1"/>
  <c r="AH32" i="1"/>
  <c r="CV32" i="1" s="1"/>
  <c r="U32" i="1" s="1"/>
  <c r="AI32" i="1"/>
  <c r="CW32" i="1" s="1"/>
  <c r="AJ32" i="1"/>
  <c r="CQ32" i="1"/>
  <c r="P32" i="1" s="1"/>
  <c r="CS32" i="1"/>
  <c r="CT32" i="1"/>
  <c r="CU32" i="1"/>
  <c r="CX32" i="1"/>
  <c r="W32" i="1" s="1"/>
  <c r="FR32" i="1"/>
  <c r="GL32" i="1"/>
  <c r="GO32" i="1"/>
  <c r="GP32" i="1"/>
  <c r="GV32" i="1"/>
  <c r="GX32" i="1"/>
  <c r="C33" i="1"/>
  <c r="D33" i="1"/>
  <c r="I33" i="1"/>
  <c r="CX14" i="3" s="1"/>
  <c r="U33" i="1"/>
  <c r="V33" i="1"/>
  <c r="AC33" i="1"/>
  <c r="AB33" i="1" s="1"/>
  <c r="AD33" i="1"/>
  <c r="AE33" i="1"/>
  <c r="CS33" i="1" s="1"/>
  <c r="R33" i="1" s="1"/>
  <c r="GK33" i="1" s="1"/>
  <c r="AF33" i="1"/>
  <c r="AG33" i="1"/>
  <c r="AH33" i="1"/>
  <c r="CV33" i="1" s="1"/>
  <c r="AI33" i="1"/>
  <c r="CW33" i="1" s="1"/>
  <c r="AJ33" i="1"/>
  <c r="CR33" i="1"/>
  <c r="Q33" i="1" s="1"/>
  <c r="CT33" i="1"/>
  <c r="S33" i="1" s="1"/>
  <c r="CU33" i="1"/>
  <c r="T33" i="1" s="1"/>
  <c r="CX33" i="1"/>
  <c r="W33" i="1" s="1"/>
  <c r="FR33" i="1"/>
  <c r="GL33" i="1"/>
  <c r="GO33" i="1"/>
  <c r="GP33" i="1"/>
  <c r="GV33" i="1"/>
  <c r="GX33" i="1" s="1"/>
  <c r="C34" i="1"/>
  <c r="D34" i="1"/>
  <c r="I34" i="1"/>
  <c r="V34" i="1"/>
  <c r="W34" i="1"/>
  <c r="AC34" i="1"/>
  <c r="AD34" i="1"/>
  <c r="AB34" i="1" s="1"/>
  <c r="AE34" i="1"/>
  <c r="AF34" i="1"/>
  <c r="AG34" i="1"/>
  <c r="CU34" i="1" s="1"/>
  <c r="T34" i="1" s="1"/>
  <c r="AH34" i="1"/>
  <c r="CV34" i="1" s="1"/>
  <c r="U34" i="1" s="1"/>
  <c r="AI34" i="1"/>
  <c r="AJ34" i="1"/>
  <c r="CQ34" i="1"/>
  <c r="P34" i="1" s="1"/>
  <c r="CS34" i="1"/>
  <c r="R34" i="1" s="1"/>
  <c r="CT34" i="1"/>
  <c r="S34" i="1" s="1"/>
  <c r="CW34" i="1"/>
  <c r="CX34" i="1"/>
  <c r="FR34" i="1"/>
  <c r="GK34" i="1"/>
  <c r="GL34" i="1"/>
  <c r="GO34" i="1"/>
  <c r="GP34" i="1"/>
  <c r="GV34" i="1"/>
  <c r="GX34" i="1"/>
  <c r="C35" i="1"/>
  <c r="D35" i="1"/>
  <c r="I35" i="1"/>
  <c r="P35" i="1"/>
  <c r="S35" i="1"/>
  <c r="CZ35" i="1" s="1"/>
  <c r="Y35" i="1" s="1"/>
  <c r="AC35" i="1"/>
  <c r="AD35" i="1"/>
  <c r="CR35" i="1" s="1"/>
  <c r="Q35" i="1" s="1"/>
  <c r="AE35" i="1"/>
  <c r="CS35" i="1" s="1"/>
  <c r="R35" i="1" s="1"/>
  <c r="GK35" i="1" s="1"/>
  <c r="AF35" i="1"/>
  <c r="AG35" i="1"/>
  <c r="AH35" i="1"/>
  <c r="CV35" i="1" s="1"/>
  <c r="U35" i="1" s="1"/>
  <c r="AI35" i="1"/>
  <c r="CW35" i="1" s="1"/>
  <c r="V35" i="1" s="1"/>
  <c r="AJ35" i="1"/>
  <c r="CQ35" i="1"/>
  <c r="CT35" i="1"/>
  <c r="CU35" i="1"/>
  <c r="T35" i="1" s="1"/>
  <c r="CX35" i="1"/>
  <c r="W35" i="1" s="1"/>
  <c r="CY35" i="1"/>
  <c r="X35" i="1" s="1"/>
  <c r="FR35" i="1"/>
  <c r="GL35" i="1"/>
  <c r="GO35" i="1"/>
  <c r="GP35" i="1"/>
  <c r="GV35" i="1"/>
  <c r="GX35" i="1" s="1"/>
  <c r="AB36" i="1"/>
  <c r="AC36" i="1"/>
  <c r="CQ36" i="1" s="1"/>
  <c r="AD36" i="1"/>
  <c r="CR36" i="1" s="1"/>
  <c r="AE36" i="1"/>
  <c r="AF36" i="1"/>
  <c r="AG36" i="1"/>
  <c r="CU36" i="1" s="1"/>
  <c r="AH36" i="1"/>
  <c r="CV36" i="1" s="1"/>
  <c r="AI36" i="1"/>
  <c r="AJ36" i="1"/>
  <c r="CS36" i="1"/>
  <c r="CT36" i="1"/>
  <c r="CW36" i="1"/>
  <c r="CX36" i="1"/>
  <c r="FR36" i="1"/>
  <c r="GL36" i="1"/>
  <c r="GO36" i="1"/>
  <c r="GP36" i="1"/>
  <c r="GV36" i="1"/>
  <c r="I37" i="1"/>
  <c r="Q37" i="1" s="1"/>
  <c r="AC37" i="1"/>
  <c r="CQ37" i="1" s="1"/>
  <c r="AD37" i="1"/>
  <c r="AE37" i="1"/>
  <c r="AF37" i="1"/>
  <c r="AG37" i="1"/>
  <c r="CU37" i="1" s="1"/>
  <c r="AH37" i="1"/>
  <c r="AI37" i="1"/>
  <c r="AJ37" i="1"/>
  <c r="CX37" i="1" s="1"/>
  <c r="CR37" i="1"/>
  <c r="CS37" i="1"/>
  <c r="CV37" i="1"/>
  <c r="U37" i="1" s="1"/>
  <c r="CW37" i="1"/>
  <c r="V37" i="1" s="1"/>
  <c r="FR37" i="1"/>
  <c r="GL37" i="1"/>
  <c r="GO37" i="1"/>
  <c r="GP37" i="1"/>
  <c r="GV37" i="1"/>
  <c r="C38" i="1"/>
  <c r="D38" i="1"/>
  <c r="I38" i="1"/>
  <c r="S38" i="1"/>
  <c r="V38" i="1"/>
  <c r="W38" i="1"/>
  <c r="AC38" i="1"/>
  <c r="AD38" i="1"/>
  <c r="CR38" i="1" s="1"/>
  <c r="Q38" i="1" s="1"/>
  <c r="AE38" i="1"/>
  <c r="AF38" i="1"/>
  <c r="AG38" i="1"/>
  <c r="CU38" i="1" s="1"/>
  <c r="T38" i="1" s="1"/>
  <c r="AH38" i="1"/>
  <c r="CV38" i="1" s="1"/>
  <c r="U38" i="1" s="1"/>
  <c r="AI38" i="1"/>
  <c r="AJ38" i="1"/>
  <c r="CS38" i="1"/>
  <c r="R38" i="1" s="1"/>
  <c r="CT38" i="1"/>
  <c r="CW38" i="1"/>
  <c r="CX38" i="1"/>
  <c r="FR38" i="1"/>
  <c r="GK38" i="1"/>
  <c r="GL38" i="1"/>
  <c r="GO38" i="1"/>
  <c r="GP38" i="1"/>
  <c r="GV38" i="1"/>
  <c r="GX38" i="1"/>
  <c r="C39" i="1"/>
  <c r="D39" i="1"/>
  <c r="I39" i="1"/>
  <c r="P39" i="1"/>
  <c r="S39" i="1"/>
  <c r="AC39" i="1"/>
  <c r="AD39" i="1"/>
  <c r="CR39" i="1" s="1"/>
  <c r="Q39" i="1" s="1"/>
  <c r="AE39" i="1"/>
  <c r="CS39" i="1" s="1"/>
  <c r="R39" i="1" s="1"/>
  <c r="GK39" i="1" s="1"/>
  <c r="AF39" i="1"/>
  <c r="AG39" i="1"/>
  <c r="AH39" i="1"/>
  <c r="CV39" i="1" s="1"/>
  <c r="U39" i="1" s="1"/>
  <c r="AI39" i="1"/>
  <c r="CW39" i="1" s="1"/>
  <c r="V39" i="1" s="1"/>
  <c r="AJ39" i="1"/>
  <c r="CQ39" i="1"/>
  <c r="CT39" i="1"/>
  <c r="CU39" i="1"/>
  <c r="T39" i="1" s="1"/>
  <c r="CX39" i="1"/>
  <c r="W39" i="1" s="1"/>
  <c r="FR39" i="1"/>
  <c r="GL39" i="1"/>
  <c r="GO39" i="1"/>
  <c r="GP39" i="1"/>
  <c r="GV39" i="1"/>
  <c r="GX39" i="1" s="1"/>
  <c r="AB40" i="1"/>
  <c r="AC40" i="1"/>
  <c r="CQ40" i="1" s="1"/>
  <c r="AD40" i="1"/>
  <c r="CR40" i="1" s="1"/>
  <c r="AE40" i="1"/>
  <c r="AF40" i="1"/>
  <c r="AG40" i="1"/>
  <c r="CU40" i="1" s="1"/>
  <c r="AH40" i="1"/>
  <c r="CV40" i="1" s="1"/>
  <c r="AI40" i="1"/>
  <c r="AJ40" i="1"/>
  <c r="CS40" i="1"/>
  <c r="CT40" i="1"/>
  <c r="CW40" i="1"/>
  <c r="CX40" i="1"/>
  <c r="FR40" i="1"/>
  <c r="GL40" i="1"/>
  <c r="GO40" i="1"/>
  <c r="GP40" i="1"/>
  <c r="GV40" i="1"/>
  <c r="I41" i="1"/>
  <c r="AC41" i="1"/>
  <c r="CQ41" i="1" s="1"/>
  <c r="AD41" i="1"/>
  <c r="AE41" i="1"/>
  <c r="AF41" i="1"/>
  <c r="AG41" i="1"/>
  <c r="CU41" i="1" s="1"/>
  <c r="AH41" i="1"/>
  <c r="AI41" i="1"/>
  <c r="AJ41" i="1"/>
  <c r="CX41" i="1" s="1"/>
  <c r="CR41" i="1"/>
  <c r="CS41" i="1"/>
  <c r="CV41" i="1"/>
  <c r="CW41" i="1"/>
  <c r="FR41" i="1"/>
  <c r="GL41" i="1"/>
  <c r="GO41" i="1"/>
  <c r="GP41" i="1"/>
  <c r="GV41" i="1"/>
  <c r="C42" i="1"/>
  <c r="D42" i="1"/>
  <c r="I42" i="1"/>
  <c r="S42" i="1"/>
  <c r="V42" i="1"/>
  <c r="W42" i="1"/>
  <c r="AC42" i="1"/>
  <c r="AD42" i="1"/>
  <c r="CR42" i="1" s="1"/>
  <c r="Q42" i="1" s="1"/>
  <c r="AE42" i="1"/>
  <c r="AF42" i="1"/>
  <c r="AG42" i="1"/>
  <c r="CU42" i="1" s="1"/>
  <c r="T42" i="1" s="1"/>
  <c r="AH42" i="1"/>
  <c r="CV42" i="1" s="1"/>
  <c r="U42" i="1" s="1"/>
  <c r="AI42" i="1"/>
  <c r="AJ42" i="1"/>
  <c r="CS42" i="1"/>
  <c r="R42" i="1" s="1"/>
  <c r="CT42" i="1"/>
  <c r="CW42" i="1"/>
  <c r="CX42" i="1"/>
  <c r="FR42" i="1"/>
  <c r="GK42" i="1"/>
  <c r="GL42" i="1"/>
  <c r="GO42" i="1"/>
  <c r="GP42" i="1"/>
  <c r="GV42" i="1"/>
  <c r="GX42" i="1"/>
  <c r="C43" i="1"/>
  <c r="D43" i="1"/>
  <c r="I43" i="1"/>
  <c r="P43" i="1"/>
  <c r="S43" i="1"/>
  <c r="AC43" i="1"/>
  <c r="AD43" i="1"/>
  <c r="CR43" i="1" s="1"/>
  <c r="Q43" i="1" s="1"/>
  <c r="AE43" i="1"/>
  <c r="CS43" i="1" s="1"/>
  <c r="R43" i="1" s="1"/>
  <c r="GK43" i="1" s="1"/>
  <c r="AF43" i="1"/>
  <c r="AG43" i="1"/>
  <c r="AH43" i="1"/>
  <c r="CV43" i="1" s="1"/>
  <c r="U43" i="1" s="1"/>
  <c r="AI43" i="1"/>
  <c r="CW43" i="1" s="1"/>
  <c r="V43" i="1" s="1"/>
  <c r="AJ43" i="1"/>
  <c r="CQ43" i="1"/>
  <c r="CT43" i="1"/>
  <c r="CU43" i="1"/>
  <c r="T43" i="1" s="1"/>
  <c r="CX43" i="1"/>
  <c r="W43" i="1" s="1"/>
  <c r="FR43" i="1"/>
  <c r="GL43" i="1"/>
  <c r="GO43" i="1"/>
  <c r="GP43" i="1"/>
  <c r="GV43" i="1"/>
  <c r="GX43" i="1" s="1"/>
  <c r="AB44" i="1"/>
  <c r="AC44" i="1"/>
  <c r="CQ44" i="1" s="1"/>
  <c r="AD44" i="1"/>
  <c r="CR44" i="1" s="1"/>
  <c r="AE44" i="1"/>
  <c r="AF44" i="1"/>
  <c r="AG44" i="1"/>
  <c r="CU44" i="1" s="1"/>
  <c r="AH44" i="1"/>
  <c r="AI44" i="1"/>
  <c r="AJ44" i="1"/>
  <c r="CS44" i="1"/>
  <c r="CT44" i="1"/>
  <c r="CV44" i="1"/>
  <c r="CW44" i="1"/>
  <c r="CX44" i="1"/>
  <c r="FR44" i="1"/>
  <c r="GL44" i="1"/>
  <c r="GO44" i="1"/>
  <c r="GP44" i="1"/>
  <c r="GV44" i="1"/>
  <c r="I45" i="1"/>
  <c r="AB45" i="1"/>
  <c r="AC45" i="1"/>
  <c r="CQ45" i="1" s="1"/>
  <c r="AD45" i="1"/>
  <c r="AE45" i="1"/>
  <c r="AF45" i="1"/>
  <c r="CT45" i="1" s="1"/>
  <c r="AG45" i="1"/>
  <c r="CU45" i="1" s="1"/>
  <c r="AH45" i="1"/>
  <c r="AI45" i="1"/>
  <c r="CW45" i="1" s="1"/>
  <c r="V45" i="1" s="1"/>
  <c r="AJ45" i="1"/>
  <c r="CX45" i="1" s="1"/>
  <c r="CR45" i="1"/>
  <c r="CS45" i="1"/>
  <c r="CV45" i="1"/>
  <c r="FR45" i="1"/>
  <c r="GL45" i="1"/>
  <c r="GO45" i="1"/>
  <c r="GP45" i="1"/>
  <c r="GV45" i="1"/>
  <c r="C46" i="1"/>
  <c r="D46" i="1"/>
  <c r="I46" i="1"/>
  <c r="S46" i="1"/>
  <c r="V46" i="1"/>
  <c r="W46" i="1"/>
  <c r="AC46" i="1"/>
  <c r="AD46" i="1"/>
  <c r="AE46" i="1"/>
  <c r="AF46" i="1"/>
  <c r="AG46" i="1"/>
  <c r="CU46" i="1" s="1"/>
  <c r="T46" i="1" s="1"/>
  <c r="AH46" i="1"/>
  <c r="AI46" i="1"/>
  <c r="AJ46" i="1"/>
  <c r="CR46" i="1"/>
  <c r="CS46" i="1"/>
  <c r="CT46" i="1"/>
  <c r="CV46" i="1"/>
  <c r="U46" i="1" s="1"/>
  <c r="CW46" i="1"/>
  <c r="CX46" i="1"/>
  <c r="FR46" i="1"/>
  <c r="GL46" i="1"/>
  <c r="GO46" i="1"/>
  <c r="GP46" i="1"/>
  <c r="GV46" i="1"/>
  <c r="GX46" i="1"/>
  <c r="C47" i="1"/>
  <c r="D47" i="1"/>
  <c r="I47" i="1"/>
  <c r="S47" i="1"/>
  <c r="CZ47" i="1" s="1"/>
  <c r="Y47" i="1" s="1"/>
  <c r="T47" i="1"/>
  <c r="AC47" i="1"/>
  <c r="AD47" i="1"/>
  <c r="CR47" i="1" s="1"/>
  <c r="Q47" i="1" s="1"/>
  <c r="AE47" i="1"/>
  <c r="AF47" i="1"/>
  <c r="AG47" i="1"/>
  <c r="AH47" i="1"/>
  <c r="CV47" i="1" s="1"/>
  <c r="U47" i="1" s="1"/>
  <c r="AI47" i="1"/>
  <c r="AJ47" i="1"/>
  <c r="CQ47" i="1"/>
  <c r="P47" i="1" s="1"/>
  <c r="CP47" i="1" s="1"/>
  <c r="O47" i="1" s="1"/>
  <c r="CS47" i="1"/>
  <c r="R47" i="1" s="1"/>
  <c r="GK47" i="1" s="1"/>
  <c r="CT47" i="1"/>
  <c r="CU47" i="1"/>
  <c r="CW47" i="1"/>
  <c r="V47" i="1" s="1"/>
  <c r="CX47" i="1"/>
  <c r="W47" i="1" s="1"/>
  <c r="CY47" i="1"/>
  <c r="X47" i="1" s="1"/>
  <c r="FR47" i="1"/>
  <c r="GL47" i="1"/>
  <c r="GO47" i="1"/>
  <c r="GP47" i="1"/>
  <c r="GV47" i="1"/>
  <c r="GX47" i="1"/>
  <c r="AB48" i="1"/>
  <c r="AC48" i="1"/>
  <c r="CQ48" i="1" s="1"/>
  <c r="AD48" i="1"/>
  <c r="AE48" i="1"/>
  <c r="CS48" i="1" s="1"/>
  <c r="AF48" i="1"/>
  <c r="AG48" i="1"/>
  <c r="CU48" i="1" s="1"/>
  <c r="AH48" i="1"/>
  <c r="AI48" i="1"/>
  <c r="AJ48" i="1"/>
  <c r="CR48" i="1"/>
  <c r="CT48" i="1"/>
  <c r="CV48" i="1"/>
  <c r="CW48" i="1"/>
  <c r="CX48" i="1"/>
  <c r="FR48" i="1"/>
  <c r="GL48" i="1"/>
  <c r="GO48" i="1"/>
  <c r="GP48" i="1"/>
  <c r="GV48" i="1"/>
  <c r="I49" i="1"/>
  <c r="R49" i="1" s="1"/>
  <c r="GK49" i="1" s="1"/>
  <c r="AC49" i="1"/>
  <c r="AD49" i="1"/>
  <c r="AE49" i="1"/>
  <c r="AF49" i="1"/>
  <c r="AG49" i="1"/>
  <c r="AH49" i="1"/>
  <c r="AI49" i="1"/>
  <c r="AJ49" i="1"/>
  <c r="CX49" i="1" s="1"/>
  <c r="CQ49" i="1"/>
  <c r="CR49" i="1"/>
  <c r="CS49" i="1"/>
  <c r="CU49" i="1"/>
  <c r="CV49" i="1"/>
  <c r="CW49" i="1"/>
  <c r="FR49" i="1"/>
  <c r="GL49" i="1"/>
  <c r="GO49" i="1"/>
  <c r="GP49" i="1"/>
  <c r="GV49" i="1"/>
  <c r="C50" i="1"/>
  <c r="D50" i="1"/>
  <c r="I50" i="1"/>
  <c r="S50" i="1"/>
  <c r="V50" i="1"/>
  <c r="W50" i="1"/>
  <c r="AC50" i="1"/>
  <c r="AD50" i="1"/>
  <c r="AE50" i="1"/>
  <c r="AF50" i="1"/>
  <c r="AG50" i="1"/>
  <c r="CU50" i="1" s="1"/>
  <c r="T50" i="1" s="1"/>
  <c r="AH50" i="1"/>
  <c r="AI50" i="1"/>
  <c r="AJ50" i="1"/>
  <c r="CR50" i="1"/>
  <c r="CS50" i="1"/>
  <c r="CT50" i="1"/>
  <c r="CV50" i="1"/>
  <c r="U50" i="1" s="1"/>
  <c r="CW50" i="1"/>
  <c r="CX50" i="1"/>
  <c r="FR50" i="1"/>
  <c r="BY63" i="1" s="1"/>
  <c r="GL50" i="1"/>
  <c r="GO50" i="1"/>
  <c r="GP50" i="1"/>
  <c r="GV50" i="1"/>
  <c r="GX50" i="1"/>
  <c r="C51" i="1"/>
  <c r="D51" i="1"/>
  <c r="I51" i="1"/>
  <c r="T51" i="1"/>
  <c r="AC51" i="1"/>
  <c r="AD51" i="1"/>
  <c r="CR51" i="1" s="1"/>
  <c r="Q51" i="1" s="1"/>
  <c r="AE51" i="1"/>
  <c r="AF51" i="1"/>
  <c r="CT51" i="1" s="1"/>
  <c r="S51" i="1" s="1"/>
  <c r="AG51" i="1"/>
  <c r="AH51" i="1"/>
  <c r="CV51" i="1" s="1"/>
  <c r="U51" i="1" s="1"/>
  <c r="AI51" i="1"/>
  <c r="AJ51" i="1"/>
  <c r="CQ51" i="1"/>
  <c r="P51" i="1" s="1"/>
  <c r="CP51" i="1" s="1"/>
  <c r="O51" i="1" s="1"/>
  <c r="CS51" i="1"/>
  <c r="R51" i="1" s="1"/>
  <c r="GK51" i="1" s="1"/>
  <c r="CU51" i="1"/>
  <c r="CW51" i="1"/>
  <c r="V51" i="1" s="1"/>
  <c r="CX51" i="1"/>
  <c r="W51" i="1" s="1"/>
  <c r="FR51" i="1"/>
  <c r="GL51" i="1"/>
  <c r="FR63" i="1" s="1"/>
  <c r="GO51" i="1"/>
  <c r="GP51" i="1"/>
  <c r="GV51" i="1"/>
  <c r="GX51" i="1"/>
  <c r="AC52" i="1"/>
  <c r="AD52" i="1"/>
  <c r="AE52" i="1"/>
  <c r="CS52" i="1" s="1"/>
  <c r="AF52" i="1"/>
  <c r="AG52" i="1"/>
  <c r="CU52" i="1" s="1"/>
  <c r="AH52" i="1"/>
  <c r="AI52" i="1"/>
  <c r="CW52" i="1" s="1"/>
  <c r="AJ52" i="1"/>
  <c r="CX52" i="1" s="1"/>
  <c r="CR52" i="1"/>
  <c r="CT52" i="1"/>
  <c r="CV52" i="1"/>
  <c r="FR52" i="1"/>
  <c r="GL52" i="1"/>
  <c r="GO52" i="1"/>
  <c r="GP52" i="1"/>
  <c r="GV52" i="1"/>
  <c r="I53" i="1"/>
  <c r="GX53" i="1" s="1"/>
  <c r="P53" i="1"/>
  <c r="Q53" i="1"/>
  <c r="AB53" i="1"/>
  <c r="AC53" i="1"/>
  <c r="AD53" i="1"/>
  <c r="AE53" i="1"/>
  <c r="AF53" i="1"/>
  <c r="CT53" i="1" s="1"/>
  <c r="AG53" i="1"/>
  <c r="AH53" i="1"/>
  <c r="AI53" i="1"/>
  <c r="CW53" i="1" s="1"/>
  <c r="V53" i="1" s="1"/>
  <c r="AJ53" i="1"/>
  <c r="CX53" i="1" s="1"/>
  <c r="CQ53" i="1"/>
  <c r="CR53" i="1"/>
  <c r="CS53" i="1"/>
  <c r="R53" i="1" s="1"/>
  <c r="GK53" i="1" s="1"/>
  <c r="CU53" i="1"/>
  <c r="CV53" i="1"/>
  <c r="FR53" i="1"/>
  <c r="GL53" i="1"/>
  <c r="GO53" i="1"/>
  <c r="GP53" i="1"/>
  <c r="GV53" i="1"/>
  <c r="C54" i="1"/>
  <c r="D54" i="1"/>
  <c r="P54" i="1"/>
  <c r="T54" i="1"/>
  <c r="V54" i="1"/>
  <c r="W54" i="1"/>
  <c r="AC54" i="1"/>
  <c r="AD54" i="1"/>
  <c r="CR54" i="1" s="1"/>
  <c r="Q54" i="1" s="1"/>
  <c r="AE54" i="1"/>
  <c r="AF54" i="1"/>
  <c r="CT54" i="1" s="1"/>
  <c r="S54" i="1" s="1"/>
  <c r="AG54" i="1"/>
  <c r="AH54" i="1"/>
  <c r="CV54" i="1" s="1"/>
  <c r="U54" i="1" s="1"/>
  <c r="AI54" i="1"/>
  <c r="AJ54" i="1"/>
  <c r="CQ54" i="1"/>
  <c r="CS54" i="1"/>
  <c r="R54" i="1" s="1"/>
  <c r="GK54" i="1" s="1"/>
  <c r="CU54" i="1"/>
  <c r="CW54" i="1"/>
  <c r="CX54" i="1"/>
  <c r="FR54" i="1"/>
  <c r="GL54" i="1"/>
  <c r="BZ63" i="1" s="1"/>
  <c r="GO54" i="1"/>
  <c r="GP54" i="1"/>
  <c r="GV54" i="1"/>
  <c r="GX54" i="1"/>
  <c r="C55" i="1"/>
  <c r="D55" i="1"/>
  <c r="R55" i="1"/>
  <c r="GK55" i="1" s="1"/>
  <c r="T55" i="1"/>
  <c r="U55" i="1"/>
  <c r="AB55" i="1"/>
  <c r="AC55" i="1"/>
  <c r="AD55" i="1"/>
  <c r="AE55" i="1"/>
  <c r="AF55" i="1"/>
  <c r="CT55" i="1" s="1"/>
  <c r="S55" i="1" s="1"/>
  <c r="AG55" i="1"/>
  <c r="AH55" i="1"/>
  <c r="AI55" i="1"/>
  <c r="AJ55" i="1"/>
  <c r="CX55" i="1" s="1"/>
  <c r="W55" i="1" s="1"/>
  <c r="CQ55" i="1"/>
  <c r="P55" i="1" s="1"/>
  <c r="CR55" i="1"/>
  <c r="Q55" i="1" s="1"/>
  <c r="CS55" i="1"/>
  <c r="CU55" i="1"/>
  <c r="CV55" i="1"/>
  <c r="CW55" i="1"/>
  <c r="V55" i="1" s="1"/>
  <c r="CY55" i="1"/>
  <c r="X55" i="1" s="1"/>
  <c r="CZ55" i="1"/>
  <c r="Y55" i="1" s="1"/>
  <c r="FR55" i="1"/>
  <c r="GL55" i="1"/>
  <c r="GO55" i="1"/>
  <c r="GP55" i="1"/>
  <c r="GV55" i="1"/>
  <c r="GX55" i="1" s="1"/>
  <c r="I56" i="1"/>
  <c r="S56" i="1"/>
  <c r="U56" i="1"/>
  <c r="AC56" i="1"/>
  <c r="AD56" i="1"/>
  <c r="CR56" i="1" s="1"/>
  <c r="Q56" i="1" s="1"/>
  <c r="AE56" i="1"/>
  <c r="CS56" i="1" s="1"/>
  <c r="R56" i="1" s="1"/>
  <c r="GK56" i="1" s="1"/>
  <c r="AF56" i="1"/>
  <c r="AG56" i="1"/>
  <c r="CU56" i="1" s="1"/>
  <c r="T56" i="1" s="1"/>
  <c r="AH56" i="1"/>
  <c r="AI56" i="1"/>
  <c r="CW56" i="1" s="1"/>
  <c r="V56" i="1" s="1"/>
  <c r="AJ56" i="1"/>
  <c r="CQ56" i="1"/>
  <c r="P56" i="1" s="1"/>
  <c r="CT56" i="1"/>
  <c r="CV56" i="1"/>
  <c r="CX56" i="1"/>
  <c r="W56" i="1" s="1"/>
  <c r="CY56" i="1"/>
  <c r="X56" i="1" s="1"/>
  <c r="CZ56" i="1"/>
  <c r="Y56" i="1" s="1"/>
  <c r="FR56" i="1"/>
  <c r="GL56" i="1"/>
  <c r="GO56" i="1"/>
  <c r="GP56" i="1"/>
  <c r="GV56" i="1"/>
  <c r="GX56" i="1" s="1"/>
  <c r="I57" i="1"/>
  <c r="P57" i="1"/>
  <c r="R57" i="1"/>
  <c r="GK57" i="1" s="1"/>
  <c r="S57" i="1"/>
  <c r="AC57" i="1"/>
  <c r="AD57" i="1"/>
  <c r="CR57" i="1" s="1"/>
  <c r="Q57" i="1" s="1"/>
  <c r="AE57" i="1"/>
  <c r="AF57" i="1"/>
  <c r="AG57" i="1"/>
  <c r="AH57" i="1"/>
  <c r="CV57" i="1" s="1"/>
  <c r="U57" i="1" s="1"/>
  <c r="AI57" i="1"/>
  <c r="AJ57" i="1"/>
  <c r="CQ57" i="1"/>
  <c r="CS57" i="1"/>
  <c r="CT57" i="1"/>
  <c r="CU57" i="1"/>
  <c r="T57" i="1" s="1"/>
  <c r="CW57" i="1"/>
  <c r="V57" i="1" s="1"/>
  <c r="CX57" i="1"/>
  <c r="W57" i="1" s="1"/>
  <c r="FR57" i="1"/>
  <c r="GL57" i="1"/>
  <c r="GO57" i="1"/>
  <c r="FU63" i="1" s="1"/>
  <c r="GP57" i="1"/>
  <c r="GV57" i="1"/>
  <c r="GX57" i="1"/>
  <c r="C58" i="1"/>
  <c r="D58" i="1"/>
  <c r="I58" i="1"/>
  <c r="CX73" i="3" s="1"/>
  <c r="Q58" i="1"/>
  <c r="W58" i="1"/>
  <c r="AC58" i="1"/>
  <c r="CQ58" i="1" s="1"/>
  <c r="P58" i="1" s="1"/>
  <c r="AD58" i="1"/>
  <c r="AE58" i="1"/>
  <c r="AF58" i="1"/>
  <c r="AB58" i="1" s="1"/>
  <c r="AG58" i="1"/>
  <c r="AH58" i="1"/>
  <c r="CV58" i="1" s="1"/>
  <c r="U58" i="1" s="1"/>
  <c r="AI58" i="1"/>
  <c r="CW58" i="1" s="1"/>
  <c r="V58" i="1" s="1"/>
  <c r="AJ58" i="1"/>
  <c r="CX58" i="1" s="1"/>
  <c r="CR58" i="1"/>
  <c r="CS58" i="1"/>
  <c r="R58" i="1" s="1"/>
  <c r="CT58" i="1"/>
  <c r="S58" i="1" s="1"/>
  <c r="CU58" i="1"/>
  <c r="T58" i="1" s="1"/>
  <c r="FR58" i="1"/>
  <c r="GK58" i="1"/>
  <c r="GL58" i="1"/>
  <c r="GO58" i="1"/>
  <c r="GP58" i="1"/>
  <c r="GV58" i="1"/>
  <c r="GX58" i="1"/>
  <c r="C59" i="1"/>
  <c r="D59" i="1"/>
  <c r="I59" i="1"/>
  <c r="CX74" i="3" s="1"/>
  <c r="T59" i="1"/>
  <c r="V59" i="1"/>
  <c r="AC59" i="1"/>
  <c r="AD59" i="1"/>
  <c r="AE59" i="1"/>
  <c r="AF59" i="1"/>
  <c r="CT59" i="1" s="1"/>
  <c r="S59" i="1" s="1"/>
  <c r="AG59" i="1"/>
  <c r="CU59" i="1" s="1"/>
  <c r="AH59" i="1"/>
  <c r="CV59" i="1" s="1"/>
  <c r="U59" i="1" s="1"/>
  <c r="AI59" i="1"/>
  <c r="AJ59" i="1"/>
  <c r="CQ59" i="1"/>
  <c r="P59" i="1" s="1"/>
  <c r="CR59" i="1"/>
  <c r="CS59" i="1"/>
  <c r="R59" i="1" s="1"/>
  <c r="GK59" i="1" s="1"/>
  <c r="CW59" i="1"/>
  <c r="CX59" i="1"/>
  <c r="W59" i="1" s="1"/>
  <c r="FR59" i="1"/>
  <c r="FQ63" i="1" s="1"/>
  <c r="FQ26" i="1" s="1"/>
  <c r="GL59" i="1"/>
  <c r="GO59" i="1"/>
  <c r="GP59" i="1"/>
  <c r="GV59" i="1"/>
  <c r="GX59" i="1" s="1"/>
  <c r="C60" i="1"/>
  <c r="D60" i="1"/>
  <c r="S60" i="1"/>
  <c r="CZ60" i="1" s="1"/>
  <c r="Y60" i="1" s="1"/>
  <c r="T60" i="1"/>
  <c r="AC60" i="1"/>
  <c r="AD60" i="1"/>
  <c r="CR60" i="1" s="1"/>
  <c r="Q60" i="1" s="1"/>
  <c r="AE60" i="1"/>
  <c r="CS60" i="1" s="1"/>
  <c r="R60" i="1" s="1"/>
  <c r="GK60" i="1" s="1"/>
  <c r="AF60" i="1"/>
  <c r="CT60" i="1" s="1"/>
  <c r="AG60" i="1"/>
  <c r="AH60" i="1"/>
  <c r="AI60" i="1"/>
  <c r="AJ60" i="1"/>
  <c r="CU60" i="1"/>
  <c r="CV60" i="1"/>
  <c r="U60" i="1" s="1"/>
  <c r="CW60" i="1"/>
  <c r="V60" i="1" s="1"/>
  <c r="CX60" i="1"/>
  <c r="W60" i="1" s="1"/>
  <c r="FR60" i="1"/>
  <c r="GL60" i="1"/>
  <c r="GN60" i="1"/>
  <c r="GO60" i="1"/>
  <c r="GV60" i="1"/>
  <c r="GX60" i="1" s="1"/>
  <c r="C61" i="1"/>
  <c r="D61" i="1"/>
  <c r="Q61" i="1"/>
  <c r="R61" i="1"/>
  <c r="GK61" i="1" s="1"/>
  <c r="AB61" i="1"/>
  <c r="AC61" i="1"/>
  <c r="CQ61" i="1" s="1"/>
  <c r="P61" i="1" s="1"/>
  <c r="AD61" i="1"/>
  <c r="CR61" i="1" s="1"/>
  <c r="AE61" i="1"/>
  <c r="AF61" i="1"/>
  <c r="AG61" i="1"/>
  <c r="AH61" i="1"/>
  <c r="AI61" i="1"/>
  <c r="AJ61" i="1"/>
  <c r="CX61" i="1" s="1"/>
  <c r="W61" i="1" s="1"/>
  <c r="CS61" i="1"/>
  <c r="CT61" i="1"/>
  <c r="S61" i="1" s="1"/>
  <c r="CU61" i="1"/>
  <c r="T61" i="1" s="1"/>
  <c r="CV61" i="1"/>
  <c r="U61" i="1" s="1"/>
  <c r="CW61" i="1"/>
  <c r="V61" i="1" s="1"/>
  <c r="FR61" i="1"/>
  <c r="GL61" i="1"/>
  <c r="GN61" i="1"/>
  <c r="GO61" i="1"/>
  <c r="GV61" i="1"/>
  <c r="GX61" i="1"/>
  <c r="B63" i="1"/>
  <c r="B26" i="1" s="1"/>
  <c r="C63" i="1"/>
  <c r="C26" i="1" s="1"/>
  <c r="D63" i="1"/>
  <c r="D26" i="1" s="1"/>
  <c r="F63" i="1"/>
  <c r="F26" i="1" s="1"/>
  <c r="G63" i="1"/>
  <c r="G26" i="1" s="1"/>
  <c r="AO63" i="1"/>
  <c r="AO26" i="1" s="1"/>
  <c r="BB63" i="1"/>
  <c r="BC63" i="1"/>
  <c r="BX63" i="1"/>
  <c r="BX26" i="1" s="1"/>
  <c r="CK63" i="1"/>
  <c r="CK26" i="1" s="1"/>
  <c r="CL63" i="1"/>
  <c r="CL26" i="1" s="1"/>
  <c r="EG63" i="1"/>
  <c r="EG26" i="1" s="1"/>
  <c r="FP63" i="1"/>
  <c r="FP26" i="1" s="1"/>
  <c r="GA63" i="1"/>
  <c r="GA26" i="1" s="1"/>
  <c r="GC63" i="1"/>
  <c r="GD63" i="1"/>
  <c r="GD26" i="1" s="1"/>
  <c r="F67" i="1"/>
  <c r="P67" i="1"/>
  <c r="D92" i="1"/>
  <c r="E94" i="1"/>
  <c r="Z94" i="1"/>
  <c r="AA94" i="1"/>
  <c r="AB94" i="1"/>
  <c r="AC94" i="1"/>
  <c r="AD94" i="1"/>
  <c r="AE94" i="1"/>
  <c r="AF94" i="1"/>
  <c r="AG94" i="1"/>
  <c r="AH94" i="1"/>
  <c r="AI94" i="1"/>
  <c r="AJ94" i="1"/>
  <c r="AK94" i="1"/>
  <c r="AL94" i="1"/>
  <c r="AM94" i="1"/>
  <c r="AN94" i="1"/>
  <c r="BD94" i="1"/>
  <c r="BE94" i="1"/>
  <c r="BF94" i="1"/>
  <c r="BG94" i="1"/>
  <c r="BH94" i="1"/>
  <c r="BI94" i="1"/>
  <c r="BJ94" i="1"/>
  <c r="BK94" i="1"/>
  <c r="BL94" i="1"/>
  <c r="BM94" i="1"/>
  <c r="BN94" i="1"/>
  <c r="BO94" i="1"/>
  <c r="BP94" i="1"/>
  <c r="BQ94" i="1"/>
  <c r="BR94" i="1"/>
  <c r="BS94" i="1"/>
  <c r="BT94" i="1"/>
  <c r="BU94" i="1"/>
  <c r="BV94" i="1"/>
  <c r="BW94" i="1"/>
  <c r="BX94" i="1"/>
  <c r="BY94" i="1"/>
  <c r="BZ94" i="1"/>
  <c r="CA94" i="1"/>
  <c r="CB94" i="1"/>
  <c r="CC94" i="1"/>
  <c r="CD94" i="1"/>
  <c r="CE94" i="1"/>
  <c r="CF94" i="1"/>
  <c r="CG94" i="1"/>
  <c r="CH94" i="1"/>
  <c r="CI94" i="1"/>
  <c r="CJ94" i="1"/>
  <c r="CK94" i="1"/>
  <c r="CL94" i="1"/>
  <c r="CM94" i="1"/>
  <c r="CN94" i="1"/>
  <c r="CO94" i="1"/>
  <c r="CP94" i="1"/>
  <c r="CQ94" i="1"/>
  <c r="CR94" i="1"/>
  <c r="CS94" i="1"/>
  <c r="CT94" i="1"/>
  <c r="CU94" i="1"/>
  <c r="CV94" i="1"/>
  <c r="CW94" i="1"/>
  <c r="CX94" i="1"/>
  <c r="CY94" i="1"/>
  <c r="CZ94" i="1"/>
  <c r="DA94" i="1"/>
  <c r="DB94" i="1"/>
  <c r="DC94" i="1"/>
  <c r="DD94" i="1"/>
  <c r="DE94" i="1"/>
  <c r="DF94" i="1"/>
  <c r="DR94" i="1"/>
  <c r="DS94" i="1"/>
  <c r="DT94" i="1"/>
  <c r="DU94" i="1"/>
  <c r="DV94" i="1"/>
  <c r="DW94" i="1"/>
  <c r="DX94" i="1"/>
  <c r="DY94" i="1"/>
  <c r="DZ94" i="1"/>
  <c r="EA94" i="1"/>
  <c r="EB94" i="1"/>
  <c r="EC94" i="1"/>
  <c r="ED94" i="1"/>
  <c r="EE94" i="1"/>
  <c r="EF94" i="1"/>
  <c r="EV94" i="1"/>
  <c r="EW94" i="1"/>
  <c r="EX94" i="1"/>
  <c r="EY94" i="1"/>
  <c r="EZ94" i="1"/>
  <c r="FA94" i="1"/>
  <c r="FB94" i="1"/>
  <c r="FC94" i="1"/>
  <c r="FD94" i="1"/>
  <c r="FE94" i="1"/>
  <c r="FF94" i="1"/>
  <c r="FG94" i="1"/>
  <c r="FH94" i="1"/>
  <c r="FI94" i="1"/>
  <c r="FJ94" i="1"/>
  <c r="FK94" i="1"/>
  <c r="FL94" i="1"/>
  <c r="FM94" i="1"/>
  <c r="FN94" i="1"/>
  <c r="FO94" i="1"/>
  <c r="FP94" i="1"/>
  <c r="FQ94" i="1"/>
  <c r="FR94" i="1"/>
  <c r="FS94" i="1"/>
  <c r="FT94" i="1"/>
  <c r="FU94" i="1"/>
  <c r="FV94" i="1"/>
  <c r="FW94" i="1"/>
  <c r="FX94" i="1"/>
  <c r="FY94" i="1"/>
  <c r="FZ94" i="1"/>
  <c r="GA94" i="1"/>
  <c r="GB94" i="1"/>
  <c r="GC94" i="1"/>
  <c r="GD94" i="1"/>
  <c r="GE94" i="1"/>
  <c r="GF94" i="1"/>
  <c r="GG94" i="1"/>
  <c r="GH94" i="1"/>
  <c r="GI94" i="1"/>
  <c r="GJ94" i="1"/>
  <c r="GK94" i="1"/>
  <c r="GL94" i="1"/>
  <c r="GM94" i="1"/>
  <c r="GN94" i="1"/>
  <c r="GO94" i="1"/>
  <c r="GP94" i="1"/>
  <c r="GQ94" i="1"/>
  <c r="GR94" i="1"/>
  <c r="GS94" i="1"/>
  <c r="GT94" i="1"/>
  <c r="GU94" i="1"/>
  <c r="GV94" i="1"/>
  <c r="GW94" i="1"/>
  <c r="GX94" i="1"/>
  <c r="D96" i="1"/>
  <c r="E98" i="1"/>
  <c r="Z98" i="1"/>
  <c r="AA98" i="1"/>
  <c r="AM98" i="1"/>
  <c r="AN98" i="1"/>
  <c r="BD98" i="1"/>
  <c r="BE98" i="1"/>
  <c r="BF98" i="1"/>
  <c r="BG98" i="1"/>
  <c r="BH98" i="1"/>
  <c r="BI98" i="1"/>
  <c r="BJ98" i="1"/>
  <c r="BK98" i="1"/>
  <c r="BL98" i="1"/>
  <c r="BM98" i="1"/>
  <c r="BN98" i="1"/>
  <c r="BO98" i="1"/>
  <c r="BP98" i="1"/>
  <c r="BQ98" i="1"/>
  <c r="BR98" i="1"/>
  <c r="BS98" i="1"/>
  <c r="BT98" i="1"/>
  <c r="BU98" i="1"/>
  <c r="BV98" i="1"/>
  <c r="BW98" i="1"/>
  <c r="CM98" i="1"/>
  <c r="CN98" i="1"/>
  <c r="CO98" i="1"/>
  <c r="CP98" i="1"/>
  <c r="CQ98" i="1"/>
  <c r="CR98" i="1"/>
  <c r="CS98" i="1"/>
  <c r="CT98" i="1"/>
  <c r="CU98" i="1"/>
  <c r="CV98" i="1"/>
  <c r="CW98" i="1"/>
  <c r="CX98" i="1"/>
  <c r="CY98" i="1"/>
  <c r="CZ98" i="1"/>
  <c r="DA98" i="1"/>
  <c r="DB98" i="1"/>
  <c r="DC98" i="1"/>
  <c r="DD98" i="1"/>
  <c r="DE98" i="1"/>
  <c r="DF98" i="1"/>
  <c r="DR98" i="1"/>
  <c r="DS98" i="1"/>
  <c r="EE98" i="1"/>
  <c r="EF98" i="1"/>
  <c r="EV98" i="1"/>
  <c r="EW98" i="1"/>
  <c r="EX98" i="1"/>
  <c r="EY98" i="1"/>
  <c r="EZ98" i="1"/>
  <c r="FA98" i="1"/>
  <c r="FB98" i="1"/>
  <c r="FC98" i="1"/>
  <c r="FD98" i="1"/>
  <c r="FE98" i="1"/>
  <c r="FF98" i="1"/>
  <c r="FG98" i="1"/>
  <c r="FH98" i="1"/>
  <c r="FI98" i="1"/>
  <c r="FJ98" i="1"/>
  <c r="FK98" i="1"/>
  <c r="FL98" i="1"/>
  <c r="FM98" i="1"/>
  <c r="FN98" i="1"/>
  <c r="FO98" i="1"/>
  <c r="GE98" i="1"/>
  <c r="GF98" i="1"/>
  <c r="GG98" i="1"/>
  <c r="GH98" i="1"/>
  <c r="GI98" i="1"/>
  <c r="GJ98" i="1"/>
  <c r="GK98" i="1"/>
  <c r="GL98" i="1"/>
  <c r="GM98" i="1"/>
  <c r="GN98" i="1"/>
  <c r="GO98" i="1"/>
  <c r="GP98" i="1"/>
  <c r="GQ98" i="1"/>
  <c r="GR98" i="1"/>
  <c r="GS98" i="1"/>
  <c r="GT98" i="1"/>
  <c r="GU98" i="1"/>
  <c r="GV98" i="1"/>
  <c r="GW98" i="1"/>
  <c r="GX98" i="1"/>
  <c r="C100" i="1"/>
  <c r="D100" i="1"/>
  <c r="S100" i="1"/>
  <c r="CY100" i="1" s="1"/>
  <c r="X100" i="1" s="1"/>
  <c r="U100" i="1"/>
  <c r="AC100" i="1"/>
  <c r="AD100" i="1"/>
  <c r="AE100" i="1"/>
  <c r="AF100" i="1"/>
  <c r="CT100" i="1" s="1"/>
  <c r="AG100" i="1"/>
  <c r="AH100" i="1"/>
  <c r="AI100" i="1"/>
  <c r="CW100" i="1" s="1"/>
  <c r="V100" i="1" s="1"/>
  <c r="AJ100" i="1"/>
  <c r="CR100" i="1"/>
  <c r="Q100" i="1" s="1"/>
  <c r="CS100" i="1"/>
  <c r="R100" i="1" s="1"/>
  <c r="GK100" i="1" s="1"/>
  <c r="CU100" i="1"/>
  <c r="T100" i="1" s="1"/>
  <c r="CV100" i="1"/>
  <c r="CX100" i="1"/>
  <c r="W100" i="1" s="1"/>
  <c r="CZ100" i="1"/>
  <c r="Y100" i="1" s="1"/>
  <c r="FR100" i="1"/>
  <c r="GL100" i="1"/>
  <c r="GO100" i="1"/>
  <c r="GP100" i="1"/>
  <c r="GV100" i="1"/>
  <c r="GX100" i="1"/>
  <c r="C101" i="1"/>
  <c r="D101" i="1"/>
  <c r="Q101" i="1"/>
  <c r="W101" i="1"/>
  <c r="Y101" i="1"/>
  <c r="AC101" i="1"/>
  <c r="CQ101" i="1" s="1"/>
  <c r="P101" i="1" s="1"/>
  <c r="AD101" i="1"/>
  <c r="CR101" i="1" s="1"/>
  <c r="AE101" i="1"/>
  <c r="AF101" i="1"/>
  <c r="AG101" i="1"/>
  <c r="CU101" i="1" s="1"/>
  <c r="T101" i="1" s="1"/>
  <c r="AH101" i="1"/>
  <c r="AI101" i="1"/>
  <c r="CW101" i="1" s="1"/>
  <c r="V101" i="1" s="1"/>
  <c r="AJ101" i="1"/>
  <c r="CS101" i="1"/>
  <c r="R101" i="1" s="1"/>
  <c r="GK101" i="1" s="1"/>
  <c r="CT101" i="1"/>
  <c r="S101" i="1" s="1"/>
  <c r="CZ101" i="1" s="1"/>
  <c r="CV101" i="1"/>
  <c r="U101" i="1" s="1"/>
  <c r="CX101" i="1"/>
  <c r="CY101" i="1"/>
  <c r="X101" i="1" s="1"/>
  <c r="FR101" i="1"/>
  <c r="GL101" i="1"/>
  <c r="GO101" i="1"/>
  <c r="GP101" i="1"/>
  <c r="GV101" i="1"/>
  <c r="GX101" i="1"/>
  <c r="I102" i="1"/>
  <c r="U102" i="1" s="1"/>
  <c r="AC102" i="1"/>
  <c r="CQ102" i="1" s="1"/>
  <c r="P102" i="1" s="1"/>
  <c r="AD102" i="1"/>
  <c r="AE102" i="1"/>
  <c r="AF102" i="1"/>
  <c r="CT102" i="1" s="1"/>
  <c r="S102" i="1" s="1"/>
  <c r="AG102" i="1"/>
  <c r="AH102" i="1"/>
  <c r="CV102" i="1" s="1"/>
  <c r="AI102" i="1"/>
  <c r="AJ102" i="1"/>
  <c r="CX102" i="1" s="1"/>
  <c r="W102" i="1" s="1"/>
  <c r="CR102" i="1"/>
  <c r="CS102" i="1"/>
  <c r="R102" i="1" s="1"/>
  <c r="CU102" i="1"/>
  <c r="CW102" i="1"/>
  <c r="V102" i="1" s="1"/>
  <c r="FR102" i="1"/>
  <c r="GL102" i="1"/>
  <c r="GO102" i="1"/>
  <c r="GP102" i="1"/>
  <c r="GV102" i="1"/>
  <c r="GX102" i="1" s="1"/>
  <c r="I103" i="1"/>
  <c r="U103" i="1"/>
  <c r="AC103" i="1"/>
  <c r="AD103" i="1"/>
  <c r="AB103" i="1" s="1"/>
  <c r="AE103" i="1"/>
  <c r="CS103" i="1" s="1"/>
  <c r="R103" i="1" s="1"/>
  <c r="GK103" i="1" s="1"/>
  <c r="AF103" i="1"/>
  <c r="AG103" i="1"/>
  <c r="CU103" i="1" s="1"/>
  <c r="T103" i="1" s="1"/>
  <c r="AH103" i="1"/>
  <c r="AI103" i="1"/>
  <c r="AJ103" i="1"/>
  <c r="CX103" i="1" s="1"/>
  <c r="W103" i="1" s="1"/>
  <c r="CQ103" i="1"/>
  <c r="P103" i="1" s="1"/>
  <c r="CR103" i="1"/>
  <c r="Q103" i="1" s="1"/>
  <c r="CT103" i="1"/>
  <c r="S103" i="1" s="1"/>
  <c r="CZ103" i="1" s="1"/>
  <c r="Y103" i="1" s="1"/>
  <c r="CV103" i="1"/>
  <c r="CW103" i="1"/>
  <c r="V103" i="1" s="1"/>
  <c r="CY103" i="1"/>
  <c r="X103" i="1" s="1"/>
  <c r="FR103" i="1"/>
  <c r="GL103" i="1"/>
  <c r="GO103" i="1"/>
  <c r="GP103" i="1"/>
  <c r="GV103" i="1"/>
  <c r="GX103" i="1" s="1"/>
  <c r="C104" i="1"/>
  <c r="D104" i="1"/>
  <c r="I104" i="1"/>
  <c r="AB104" i="1"/>
  <c r="AC104" i="1"/>
  <c r="AD104" i="1"/>
  <c r="CR104" i="1" s="1"/>
  <c r="Q104" i="1" s="1"/>
  <c r="AE104" i="1"/>
  <c r="AF104" i="1"/>
  <c r="CT104" i="1" s="1"/>
  <c r="S104" i="1" s="1"/>
  <c r="AG104" i="1"/>
  <c r="CU104" i="1" s="1"/>
  <c r="AH104" i="1"/>
  <c r="AI104" i="1"/>
  <c r="CW104" i="1" s="1"/>
  <c r="V104" i="1" s="1"/>
  <c r="AJ104" i="1"/>
  <c r="CX104" i="1" s="1"/>
  <c r="W104" i="1" s="1"/>
  <c r="CQ104" i="1"/>
  <c r="CS104" i="1"/>
  <c r="CV104" i="1"/>
  <c r="FR104" i="1"/>
  <c r="GL104" i="1"/>
  <c r="GO104" i="1"/>
  <c r="GP104" i="1"/>
  <c r="GV104" i="1"/>
  <c r="GX104" i="1"/>
  <c r="C105" i="1"/>
  <c r="D105" i="1"/>
  <c r="I105" i="1"/>
  <c r="AC105" i="1"/>
  <c r="AD105" i="1"/>
  <c r="CR105" i="1" s="1"/>
  <c r="Q105" i="1" s="1"/>
  <c r="AE105" i="1"/>
  <c r="AF105" i="1"/>
  <c r="AG105" i="1"/>
  <c r="CU105" i="1" s="1"/>
  <c r="T105" i="1" s="1"/>
  <c r="AH105" i="1"/>
  <c r="AI105" i="1"/>
  <c r="CW105" i="1" s="1"/>
  <c r="V105" i="1" s="1"/>
  <c r="AJ105" i="1"/>
  <c r="CQ105" i="1"/>
  <c r="P105" i="1" s="1"/>
  <c r="CS105" i="1"/>
  <c r="R105" i="1" s="1"/>
  <c r="GK105" i="1" s="1"/>
  <c r="CT105" i="1"/>
  <c r="S105" i="1" s="1"/>
  <c r="CZ105" i="1" s="1"/>
  <c r="Y105" i="1" s="1"/>
  <c r="CV105" i="1"/>
  <c r="U105" i="1" s="1"/>
  <c r="CX105" i="1"/>
  <c r="W105" i="1" s="1"/>
  <c r="FR105" i="1"/>
  <c r="GL105" i="1"/>
  <c r="GO105" i="1"/>
  <c r="GP105" i="1"/>
  <c r="GV105" i="1"/>
  <c r="GX105" i="1"/>
  <c r="AB106" i="1"/>
  <c r="AC106" i="1"/>
  <c r="CQ106" i="1" s="1"/>
  <c r="AD106" i="1"/>
  <c r="AE106" i="1"/>
  <c r="AF106" i="1"/>
  <c r="CT106" i="1" s="1"/>
  <c r="AG106" i="1"/>
  <c r="AH106" i="1"/>
  <c r="CV106" i="1" s="1"/>
  <c r="AI106" i="1"/>
  <c r="AJ106" i="1"/>
  <c r="CX106" i="1" s="1"/>
  <c r="CR106" i="1"/>
  <c r="CS106" i="1"/>
  <c r="CU106" i="1"/>
  <c r="CW106" i="1"/>
  <c r="FR106" i="1"/>
  <c r="GL106" i="1"/>
  <c r="GO106" i="1"/>
  <c r="GP106" i="1"/>
  <c r="GV106" i="1"/>
  <c r="AC107" i="1"/>
  <c r="AD107" i="1"/>
  <c r="AB107" i="1" s="1"/>
  <c r="AE107" i="1"/>
  <c r="CS107" i="1" s="1"/>
  <c r="AF107" i="1"/>
  <c r="AG107" i="1"/>
  <c r="CU107" i="1" s="1"/>
  <c r="AH107" i="1"/>
  <c r="AI107" i="1"/>
  <c r="AJ107" i="1"/>
  <c r="CX107" i="1" s="1"/>
  <c r="CQ107" i="1"/>
  <c r="CR107" i="1"/>
  <c r="CT107" i="1"/>
  <c r="CV107" i="1"/>
  <c r="CW107" i="1"/>
  <c r="FR107" i="1"/>
  <c r="GL107" i="1"/>
  <c r="GO107" i="1"/>
  <c r="GP107" i="1"/>
  <c r="GV107" i="1"/>
  <c r="C108" i="1"/>
  <c r="D108" i="1"/>
  <c r="R108" i="1"/>
  <c r="GK108" i="1" s="1"/>
  <c r="S108" i="1"/>
  <c r="CY108" i="1" s="1"/>
  <c r="W108" i="1"/>
  <c r="X108" i="1"/>
  <c r="AC108" i="1"/>
  <c r="AD108" i="1"/>
  <c r="AE108" i="1"/>
  <c r="CS108" i="1" s="1"/>
  <c r="AF108" i="1"/>
  <c r="AG108" i="1"/>
  <c r="AH108" i="1"/>
  <c r="CV108" i="1" s="1"/>
  <c r="U108" i="1" s="1"/>
  <c r="AI108" i="1"/>
  <c r="AJ108" i="1"/>
  <c r="CQ108" i="1"/>
  <c r="P108" i="1" s="1"/>
  <c r="CT108" i="1"/>
  <c r="CU108" i="1"/>
  <c r="T108" i="1" s="1"/>
  <c r="CW108" i="1"/>
  <c r="V108" i="1" s="1"/>
  <c r="CX108" i="1"/>
  <c r="FR108" i="1"/>
  <c r="GL108" i="1"/>
  <c r="GO108" i="1"/>
  <c r="GP108" i="1"/>
  <c r="GV108" i="1"/>
  <c r="GX108" i="1" s="1"/>
  <c r="C109" i="1"/>
  <c r="D109" i="1"/>
  <c r="P109" i="1"/>
  <c r="U109" i="1"/>
  <c r="AC109" i="1"/>
  <c r="CQ109" i="1" s="1"/>
  <c r="AD109" i="1"/>
  <c r="AE109" i="1"/>
  <c r="AF109" i="1"/>
  <c r="AG109" i="1"/>
  <c r="AH109" i="1"/>
  <c r="AI109" i="1"/>
  <c r="CW109" i="1" s="1"/>
  <c r="V109" i="1" s="1"/>
  <c r="AJ109" i="1"/>
  <c r="CR109" i="1"/>
  <c r="Q109" i="1" s="1"/>
  <c r="CS109" i="1"/>
  <c r="R109" i="1" s="1"/>
  <c r="GK109" i="1" s="1"/>
  <c r="CU109" i="1"/>
  <c r="T109" i="1" s="1"/>
  <c r="CV109" i="1"/>
  <c r="CX109" i="1"/>
  <c r="W109" i="1" s="1"/>
  <c r="FR109" i="1"/>
  <c r="GL109" i="1"/>
  <c r="GO109" i="1"/>
  <c r="GP109" i="1"/>
  <c r="GV109" i="1"/>
  <c r="GX109" i="1" s="1"/>
  <c r="I110" i="1"/>
  <c r="Q110" i="1"/>
  <c r="R110" i="1"/>
  <c r="U110" i="1"/>
  <c r="AB110" i="1"/>
  <c r="AC110" i="1"/>
  <c r="AD110" i="1"/>
  <c r="AE110" i="1"/>
  <c r="CS110" i="1" s="1"/>
  <c r="AF110" i="1"/>
  <c r="AG110" i="1"/>
  <c r="AH110" i="1"/>
  <c r="AI110" i="1"/>
  <c r="CW110" i="1" s="1"/>
  <c r="V110" i="1" s="1"/>
  <c r="AJ110" i="1"/>
  <c r="CX110" i="1" s="1"/>
  <c r="W110" i="1" s="1"/>
  <c r="CQ110" i="1"/>
  <c r="P110" i="1" s="1"/>
  <c r="CP110" i="1" s="1"/>
  <c r="O110" i="1" s="1"/>
  <c r="CR110" i="1"/>
  <c r="CT110" i="1"/>
  <c r="S110" i="1" s="1"/>
  <c r="CU110" i="1"/>
  <c r="T110" i="1" s="1"/>
  <c r="CV110" i="1"/>
  <c r="CY110" i="1"/>
  <c r="X110" i="1" s="1"/>
  <c r="CZ110" i="1"/>
  <c r="Y110" i="1" s="1"/>
  <c r="FR110" i="1"/>
  <c r="GK110" i="1"/>
  <c r="GL110" i="1"/>
  <c r="GO110" i="1"/>
  <c r="GP110" i="1"/>
  <c r="GV110" i="1"/>
  <c r="GX110" i="1" s="1"/>
  <c r="I111" i="1"/>
  <c r="Q111" i="1"/>
  <c r="AC111" i="1"/>
  <c r="AD111" i="1"/>
  <c r="CR111" i="1" s="1"/>
  <c r="AE111" i="1"/>
  <c r="AF111" i="1"/>
  <c r="AG111" i="1"/>
  <c r="AH111" i="1"/>
  <c r="CV111" i="1" s="1"/>
  <c r="U111" i="1" s="1"/>
  <c r="AI111" i="1"/>
  <c r="CW111" i="1" s="1"/>
  <c r="V111" i="1" s="1"/>
  <c r="AJ111" i="1"/>
  <c r="CQ111" i="1"/>
  <c r="CS111" i="1"/>
  <c r="CT111" i="1"/>
  <c r="CU111" i="1"/>
  <c r="T111" i="1" s="1"/>
  <c r="CX111" i="1"/>
  <c r="W111" i="1" s="1"/>
  <c r="FR111" i="1"/>
  <c r="GL111" i="1"/>
  <c r="GO111" i="1"/>
  <c r="GP111" i="1"/>
  <c r="FV117" i="1" s="1"/>
  <c r="GV111" i="1"/>
  <c r="C112" i="1"/>
  <c r="D112" i="1"/>
  <c r="T112" i="1"/>
  <c r="U112" i="1"/>
  <c r="AC112" i="1"/>
  <c r="AD112" i="1"/>
  <c r="AB112" i="1" s="1"/>
  <c r="AE112" i="1"/>
  <c r="AF112" i="1"/>
  <c r="AG112" i="1"/>
  <c r="CU112" i="1" s="1"/>
  <c r="AH112" i="1"/>
  <c r="AI112" i="1"/>
  <c r="CW112" i="1" s="1"/>
  <c r="V112" i="1" s="1"/>
  <c r="AJ112" i="1"/>
  <c r="CX112" i="1" s="1"/>
  <c r="W112" i="1" s="1"/>
  <c r="CQ112" i="1"/>
  <c r="P112" i="1" s="1"/>
  <c r="CR112" i="1"/>
  <c r="Q112" i="1" s="1"/>
  <c r="CS112" i="1"/>
  <c r="R112" i="1" s="1"/>
  <c r="GK112" i="1" s="1"/>
  <c r="CT112" i="1"/>
  <c r="S112" i="1" s="1"/>
  <c r="CZ112" i="1" s="1"/>
  <c r="Y112" i="1" s="1"/>
  <c r="CV112" i="1"/>
  <c r="CY112" i="1"/>
  <c r="X112" i="1" s="1"/>
  <c r="FR112" i="1"/>
  <c r="GL112" i="1"/>
  <c r="GO112" i="1"/>
  <c r="GP112" i="1"/>
  <c r="GV112" i="1"/>
  <c r="GX112" i="1" s="1"/>
  <c r="C113" i="1"/>
  <c r="D113" i="1"/>
  <c r="S113" i="1"/>
  <c r="CZ113" i="1" s="1"/>
  <c r="Y113" i="1" s="1"/>
  <c r="T113" i="1"/>
  <c r="AB113" i="1"/>
  <c r="AC113" i="1"/>
  <c r="CQ113" i="1" s="1"/>
  <c r="P113" i="1" s="1"/>
  <c r="AD113" i="1"/>
  <c r="AE113" i="1"/>
  <c r="CS113" i="1" s="1"/>
  <c r="R113" i="1" s="1"/>
  <c r="AF113" i="1"/>
  <c r="AG113" i="1"/>
  <c r="AH113" i="1"/>
  <c r="CV113" i="1" s="1"/>
  <c r="U113" i="1" s="1"/>
  <c r="AI113" i="1"/>
  <c r="AJ113" i="1"/>
  <c r="CX113" i="1" s="1"/>
  <c r="W113" i="1" s="1"/>
  <c r="CR113" i="1"/>
  <c r="Q113" i="1" s="1"/>
  <c r="CT113" i="1"/>
  <c r="CU113" i="1"/>
  <c r="CW113" i="1"/>
  <c r="V113" i="1" s="1"/>
  <c r="FR113" i="1"/>
  <c r="GK113" i="1"/>
  <c r="GL113" i="1"/>
  <c r="GO113" i="1"/>
  <c r="FU117" i="1" s="1"/>
  <c r="GP113" i="1"/>
  <c r="GV113" i="1"/>
  <c r="GX113" i="1" s="1"/>
  <c r="I114" i="1"/>
  <c r="V114" i="1"/>
  <c r="W114" i="1"/>
  <c r="AC114" i="1"/>
  <c r="AD114" i="1"/>
  <c r="CR114" i="1" s="1"/>
  <c r="Q114" i="1" s="1"/>
  <c r="AE114" i="1"/>
  <c r="AF114" i="1"/>
  <c r="AG114" i="1"/>
  <c r="CU114" i="1" s="1"/>
  <c r="T114" i="1" s="1"/>
  <c r="AH114" i="1"/>
  <c r="AI114" i="1"/>
  <c r="AJ114" i="1"/>
  <c r="CS114" i="1"/>
  <c r="R114" i="1" s="1"/>
  <c r="GK114" i="1" s="1"/>
  <c r="CT114" i="1"/>
  <c r="S114" i="1" s="1"/>
  <c r="CZ114" i="1" s="1"/>
  <c r="Y114" i="1" s="1"/>
  <c r="CV114" i="1"/>
  <c r="U114" i="1" s="1"/>
  <c r="CW114" i="1"/>
  <c r="CX114" i="1"/>
  <c r="CY114" i="1"/>
  <c r="X114" i="1" s="1"/>
  <c r="FR114" i="1"/>
  <c r="GL114" i="1"/>
  <c r="GO114" i="1"/>
  <c r="GP114" i="1"/>
  <c r="GV114" i="1"/>
  <c r="GX114" i="1" s="1"/>
  <c r="I115" i="1"/>
  <c r="S115" i="1"/>
  <c r="W115" i="1"/>
  <c r="AC115" i="1"/>
  <c r="AD115" i="1"/>
  <c r="CR115" i="1" s="1"/>
  <c r="Q115" i="1" s="1"/>
  <c r="AE115" i="1"/>
  <c r="AF115" i="1"/>
  <c r="AG115" i="1"/>
  <c r="CU115" i="1" s="1"/>
  <c r="T115" i="1" s="1"/>
  <c r="AH115" i="1"/>
  <c r="CV115" i="1" s="1"/>
  <c r="U115" i="1" s="1"/>
  <c r="AI115" i="1"/>
  <c r="CW115" i="1" s="1"/>
  <c r="V115" i="1" s="1"/>
  <c r="AJ115" i="1"/>
  <c r="CS115" i="1"/>
  <c r="R115" i="1" s="1"/>
  <c r="CT115" i="1"/>
  <c r="CX115" i="1"/>
  <c r="FR115" i="1"/>
  <c r="GK115" i="1"/>
  <c r="GL115" i="1"/>
  <c r="FR117" i="1" s="1"/>
  <c r="GO115" i="1"/>
  <c r="GP115" i="1"/>
  <c r="GV115" i="1"/>
  <c r="GX115" i="1"/>
  <c r="B117" i="1"/>
  <c r="B98" i="1" s="1"/>
  <c r="C117" i="1"/>
  <c r="C98" i="1" s="1"/>
  <c r="D117" i="1"/>
  <c r="D98" i="1" s="1"/>
  <c r="F117" i="1"/>
  <c r="F98" i="1" s="1"/>
  <c r="G117" i="1"/>
  <c r="G98" i="1" s="1"/>
  <c r="BX117" i="1"/>
  <c r="BX98" i="1" s="1"/>
  <c r="BZ117" i="1"/>
  <c r="CC117" i="1"/>
  <c r="CC98" i="1" s="1"/>
  <c r="CD117" i="1"/>
  <c r="CD98" i="1" s="1"/>
  <c r="CK117" i="1"/>
  <c r="CK98" i="1" s="1"/>
  <c r="CL117" i="1"/>
  <c r="CL98" i="1" s="1"/>
  <c r="EG117" i="1"/>
  <c r="ET117" i="1"/>
  <c r="ET98" i="1" s="1"/>
  <c r="FP117" i="1"/>
  <c r="FP98" i="1" s="1"/>
  <c r="FQ117" i="1"/>
  <c r="FQ98" i="1" s="1"/>
  <c r="GC117" i="1"/>
  <c r="GC98" i="1" s="1"/>
  <c r="GD117" i="1"/>
  <c r="P130" i="1"/>
  <c r="B146" i="1"/>
  <c r="B94" i="1" s="1"/>
  <c r="C146" i="1"/>
  <c r="C94" i="1" s="1"/>
  <c r="D146" i="1"/>
  <c r="D94" i="1" s="1"/>
  <c r="F146" i="1"/>
  <c r="F94" i="1" s="1"/>
  <c r="G146" i="1"/>
  <c r="G94" i="1" s="1"/>
  <c r="D175" i="1"/>
  <c r="E177" i="1"/>
  <c r="Z177" i="1"/>
  <c r="AA177" i="1"/>
  <c r="AB177" i="1"/>
  <c r="AC177" i="1"/>
  <c r="AD177" i="1"/>
  <c r="AE177" i="1"/>
  <c r="AF177" i="1"/>
  <c r="AG177" i="1"/>
  <c r="AH177" i="1"/>
  <c r="AI177" i="1"/>
  <c r="AJ177" i="1"/>
  <c r="AK177" i="1"/>
  <c r="AL177" i="1"/>
  <c r="AM177" i="1"/>
  <c r="AN177" i="1"/>
  <c r="BD177" i="1"/>
  <c r="BE177" i="1"/>
  <c r="BF177" i="1"/>
  <c r="BG177" i="1"/>
  <c r="BH177" i="1"/>
  <c r="BI177" i="1"/>
  <c r="BJ177" i="1"/>
  <c r="BK177" i="1"/>
  <c r="BL177" i="1"/>
  <c r="BM177" i="1"/>
  <c r="BN177" i="1"/>
  <c r="BO177" i="1"/>
  <c r="BP177" i="1"/>
  <c r="BQ177" i="1"/>
  <c r="BR177" i="1"/>
  <c r="BS177" i="1"/>
  <c r="BT177" i="1"/>
  <c r="BU177" i="1"/>
  <c r="BV177" i="1"/>
  <c r="BW177" i="1"/>
  <c r="BX177" i="1"/>
  <c r="BY177" i="1"/>
  <c r="BZ177" i="1"/>
  <c r="CA177" i="1"/>
  <c r="CB177" i="1"/>
  <c r="CC177" i="1"/>
  <c r="CD177" i="1"/>
  <c r="CE177" i="1"/>
  <c r="CF177" i="1"/>
  <c r="CG177" i="1"/>
  <c r="CH177" i="1"/>
  <c r="CI177" i="1"/>
  <c r="CJ177" i="1"/>
  <c r="CK177" i="1"/>
  <c r="CL177" i="1"/>
  <c r="CM177" i="1"/>
  <c r="CN177" i="1"/>
  <c r="CO177" i="1"/>
  <c r="CP177" i="1"/>
  <c r="CQ177" i="1"/>
  <c r="CR177" i="1"/>
  <c r="CS177" i="1"/>
  <c r="CT177" i="1"/>
  <c r="CU177" i="1"/>
  <c r="CV177" i="1"/>
  <c r="CW177" i="1"/>
  <c r="CX177" i="1"/>
  <c r="CY177" i="1"/>
  <c r="CZ177" i="1"/>
  <c r="DA177" i="1"/>
  <c r="DB177" i="1"/>
  <c r="DC177" i="1"/>
  <c r="DD177" i="1"/>
  <c r="DE177" i="1"/>
  <c r="DF177" i="1"/>
  <c r="DR177" i="1"/>
  <c r="DS177" i="1"/>
  <c r="DT177" i="1"/>
  <c r="DU177" i="1"/>
  <c r="DV177" i="1"/>
  <c r="DW177" i="1"/>
  <c r="DX177" i="1"/>
  <c r="DY177" i="1"/>
  <c r="DZ177" i="1"/>
  <c r="EA177" i="1"/>
  <c r="EB177" i="1"/>
  <c r="EC177" i="1"/>
  <c r="ED177" i="1"/>
  <c r="EE177" i="1"/>
  <c r="EF177" i="1"/>
  <c r="EV177" i="1"/>
  <c r="EW177" i="1"/>
  <c r="EX177" i="1"/>
  <c r="EY177" i="1"/>
  <c r="EZ177" i="1"/>
  <c r="FA177" i="1"/>
  <c r="FB177" i="1"/>
  <c r="FC177" i="1"/>
  <c r="FD177" i="1"/>
  <c r="FE177" i="1"/>
  <c r="FF177" i="1"/>
  <c r="FG177" i="1"/>
  <c r="FH177" i="1"/>
  <c r="FI177" i="1"/>
  <c r="FJ177" i="1"/>
  <c r="FK177" i="1"/>
  <c r="FL177" i="1"/>
  <c r="FM177" i="1"/>
  <c r="FN177" i="1"/>
  <c r="FO177" i="1"/>
  <c r="FP177" i="1"/>
  <c r="FQ177" i="1"/>
  <c r="FR177" i="1"/>
  <c r="FS177" i="1"/>
  <c r="FT177" i="1"/>
  <c r="FU177" i="1"/>
  <c r="FV177" i="1"/>
  <c r="FW177" i="1"/>
  <c r="FX177" i="1"/>
  <c r="FY177" i="1"/>
  <c r="FZ177" i="1"/>
  <c r="GA177" i="1"/>
  <c r="GB177" i="1"/>
  <c r="GC177" i="1"/>
  <c r="GD177" i="1"/>
  <c r="GE177" i="1"/>
  <c r="GF177" i="1"/>
  <c r="GG177" i="1"/>
  <c r="GH177" i="1"/>
  <c r="GI177" i="1"/>
  <c r="GJ177" i="1"/>
  <c r="GK177" i="1"/>
  <c r="GL177" i="1"/>
  <c r="GM177" i="1"/>
  <c r="GN177" i="1"/>
  <c r="GO177" i="1"/>
  <c r="GP177" i="1"/>
  <c r="GQ177" i="1"/>
  <c r="GR177" i="1"/>
  <c r="GS177" i="1"/>
  <c r="GT177" i="1"/>
  <c r="GU177" i="1"/>
  <c r="GV177" i="1"/>
  <c r="GW177" i="1"/>
  <c r="GX177" i="1"/>
  <c r="D179" i="1"/>
  <c r="E181" i="1"/>
  <c r="Z181" i="1"/>
  <c r="AA181" i="1"/>
  <c r="AM181" i="1"/>
  <c r="AN181" i="1"/>
  <c r="BD181" i="1"/>
  <c r="BE181" i="1"/>
  <c r="BF181" i="1"/>
  <c r="BG181" i="1"/>
  <c r="BH181" i="1"/>
  <c r="BI181" i="1"/>
  <c r="BJ181" i="1"/>
  <c r="BK181" i="1"/>
  <c r="BL181" i="1"/>
  <c r="BM181" i="1"/>
  <c r="BN181" i="1"/>
  <c r="BO181" i="1"/>
  <c r="BP181" i="1"/>
  <c r="BQ181" i="1"/>
  <c r="BR181" i="1"/>
  <c r="BS181" i="1"/>
  <c r="BT181" i="1"/>
  <c r="BU181" i="1"/>
  <c r="BV181" i="1"/>
  <c r="BW181" i="1"/>
  <c r="CM181" i="1"/>
  <c r="CN181" i="1"/>
  <c r="CO181" i="1"/>
  <c r="CP181" i="1"/>
  <c r="CQ181" i="1"/>
  <c r="CR181" i="1"/>
  <c r="CS181" i="1"/>
  <c r="CT181" i="1"/>
  <c r="CU181" i="1"/>
  <c r="CV181" i="1"/>
  <c r="CW181" i="1"/>
  <c r="CX181" i="1"/>
  <c r="CY181" i="1"/>
  <c r="CZ181" i="1"/>
  <c r="DA181" i="1"/>
  <c r="DB181" i="1"/>
  <c r="DC181" i="1"/>
  <c r="DD181" i="1"/>
  <c r="DE181" i="1"/>
  <c r="DF181" i="1"/>
  <c r="DR181" i="1"/>
  <c r="DS181" i="1"/>
  <c r="EE181" i="1"/>
  <c r="EF181" i="1"/>
  <c r="EV181" i="1"/>
  <c r="EW181" i="1"/>
  <c r="EX181" i="1"/>
  <c r="EY181" i="1"/>
  <c r="EZ181" i="1"/>
  <c r="FA181" i="1"/>
  <c r="FB181" i="1"/>
  <c r="FC181" i="1"/>
  <c r="FD181" i="1"/>
  <c r="FE181" i="1"/>
  <c r="FF181" i="1"/>
  <c r="FG181" i="1"/>
  <c r="FH181" i="1"/>
  <c r="FI181" i="1"/>
  <c r="FJ181" i="1"/>
  <c r="FK181" i="1"/>
  <c r="FL181" i="1"/>
  <c r="FM181" i="1"/>
  <c r="FN181" i="1"/>
  <c r="FO181" i="1"/>
  <c r="GE181" i="1"/>
  <c r="GF181" i="1"/>
  <c r="GG181" i="1"/>
  <c r="GH181" i="1"/>
  <c r="GI181" i="1"/>
  <c r="GJ181" i="1"/>
  <c r="GK181" i="1"/>
  <c r="GL181" i="1"/>
  <c r="GM181" i="1"/>
  <c r="GN181" i="1"/>
  <c r="GO181" i="1"/>
  <c r="GP181" i="1"/>
  <c r="GQ181" i="1"/>
  <c r="GR181" i="1"/>
  <c r="GS181" i="1"/>
  <c r="GT181" i="1"/>
  <c r="GU181" i="1"/>
  <c r="GV181" i="1"/>
  <c r="GW181" i="1"/>
  <c r="GX181" i="1"/>
  <c r="C183" i="1"/>
  <c r="D183" i="1"/>
  <c r="I183" i="1"/>
  <c r="Q183" i="1"/>
  <c r="AB183" i="1"/>
  <c r="AC183" i="1"/>
  <c r="CQ183" i="1" s="1"/>
  <c r="P183" i="1" s="1"/>
  <c r="CP183" i="1" s="1"/>
  <c r="O183" i="1" s="1"/>
  <c r="AD183" i="1"/>
  <c r="AE183" i="1"/>
  <c r="CS183" i="1" s="1"/>
  <c r="R183" i="1" s="1"/>
  <c r="GK183" i="1" s="1"/>
  <c r="AF183" i="1"/>
  <c r="AG183" i="1"/>
  <c r="CU183" i="1" s="1"/>
  <c r="T183" i="1" s="1"/>
  <c r="AH183" i="1"/>
  <c r="AI183" i="1"/>
  <c r="AJ183" i="1"/>
  <c r="CX183" i="1" s="1"/>
  <c r="W183" i="1" s="1"/>
  <c r="CR183" i="1"/>
  <c r="CT183" i="1"/>
  <c r="S183" i="1" s="1"/>
  <c r="CV183" i="1"/>
  <c r="U183" i="1" s="1"/>
  <c r="CW183" i="1"/>
  <c r="V183" i="1" s="1"/>
  <c r="FR183" i="1"/>
  <c r="GL183" i="1"/>
  <c r="GO183" i="1"/>
  <c r="GP183" i="1"/>
  <c r="GV183" i="1"/>
  <c r="GX183" i="1" s="1"/>
  <c r="C184" i="1"/>
  <c r="D184" i="1"/>
  <c r="I184" i="1"/>
  <c r="V184" i="1"/>
  <c r="AC184" i="1"/>
  <c r="AD184" i="1"/>
  <c r="AB184" i="1" s="1"/>
  <c r="AE184" i="1"/>
  <c r="AF184" i="1"/>
  <c r="AG184" i="1"/>
  <c r="CU184" i="1" s="1"/>
  <c r="T184" i="1" s="1"/>
  <c r="AH184" i="1"/>
  <c r="CV184" i="1" s="1"/>
  <c r="U184" i="1" s="1"/>
  <c r="AI184" i="1"/>
  <c r="AJ184" i="1"/>
  <c r="CX184" i="1" s="1"/>
  <c r="W184" i="1" s="1"/>
  <c r="CQ184" i="1"/>
  <c r="P184" i="1" s="1"/>
  <c r="CP184" i="1" s="1"/>
  <c r="O184" i="1" s="1"/>
  <c r="CR184" i="1"/>
  <c r="Q184" i="1" s="1"/>
  <c r="CS184" i="1"/>
  <c r="R184" i="1" s="1"/>
  <c r="CT184" i="1"/>
  <c r="S184" i="1" s="1"/>
  <c r="CW184" i="1"/>
  <c r="CY184" i="1"/>
  <c r="X184" i="1" s="1"/>
  <c r="CZ184" i="1"/>
  <c r="Y184" i="1" s="1"/>
  <c r="FR184" i="1"/>
  <c r="GK184" i="1"/>
  <c r="GL184" i="1"/>
  <c r="GO184" i="1"/>
  <c r="GP184" i="1"/>
  <c r="GV184" i="1"/>
  <c r="GX184" i="1"/>
  <c r="I185" i="1"/>
  <c r="U185" i="1" s="1"/>
  <c r="AC185" i="1"/>
  <c r="CQ185" i="1" s="1"/>
  <c r="P185" i="1" s="1"/>
  <c r="AD185" i="1"/>
  <c r="CR185" i="1" s="1"/>
  <c r="Q185" i="1" s="1"/>
  <c r="AE185" i="1"/>
  <c r="AF185" i="1"/>
  <c r="CT185" i="1" s="1"/>
  <c r="S185" i="1" s="1"/>
  <c r="AG185" i="1"/>
  <c r="CU185" i="1" s="1"/>
  <c r="T185" i="1" s="1"/>
  <c r="AH185" i="1"/>
  <c r="AI185" i="1"/>
  <c r="CW185" i="1" s="1"/>
  <c r="V185" i="1" s="1"/>
  <c r="AJ185" i="1"/>
  <c r="CS185" i="1"/>
  <c r="R185" i="1" s="1"/>
  <c r="GK185" i="1" s="1"/>
  <c r="CV185" i="1"/>
  <c r="CX185" i="1"/>
  <c r="W185" i="1" s="1"/>
  <c r="FR185" i="1"/>
  <c r="GL185" i="1"/>
  <c r="GO185" i="1"/>
  <c r="GP185" i="1"/>
  <c r="GV185" i="1"/>
  <c r="GX185" i="1" s="1"/>
  <c r="I186" i="1"/>
  <c r="T186" i="1"/>
  <c r="AC186" i="1"/>
  <c r="AB186" i="1" s="1"/>
  <c r="AD186" i="1"/>
  <c r="CR186" i="1" s="1"/>
  <c r="Q186" i="1" s="1"/>
  <c r="AE186" i="1"/>
  <c r="CS186" i="1" s="1"/>
  <c r="R186" i="1" s="1"/>
  <c r="GK186" i="1" s="1"/>
  <c r="AF186" i="1"/>
  <c r="CT186" i="1" s="1"/>
  <c r="S186" i="1" s="1"/>
  <c r="AG186" i="1"/>
  <c r="AH186" i="1"/>
  <c r="CV186" i="1" s="1"/>
  <c r="U186" i="1" s="1"/>
  <c r="AI186" i="1"/>
  <c r="AJ186" i="1"/>
  <c r="CQ186" i="1"/>
  <c r="P186" i="1" s="1"/>
  <c r="CU186" i="1"/>
  <c r="CW186" i="1"/>
  <c r="V186" i="1" s="1"/>
  <c r="CX186" i="1"/>
  <c r="FR186" i="1"/>
  <c r="GL186" i="1"/>
  <c r="GO186" i="1"/>
  <c r="GP186" i="1"/>
  <c r="GV186" i="1"/>
  <c r="GX186" i="1" s="1"/>
  <c r="C187" i="1"/>
  <c r="D187" i="1"/>
  <c r="I187" i="1"/>
  <c r="Q187" i="1"/>
  <c r="AC187" i="1"/>
  <c r="CQ187" i="1" s="1"/>
  <c r="P187" i="1" s="1"/>
  <c r="AD187" i="1"/>
  <c r="AE187" i="1"/>
  <c r="CS187" i="1" s="1"/>
  <c r="R187" i="1" s="1"/>
  <c r="GK187" i="1" s="1"/>
  <c r="AF187" i="1"/>
  <c r="AG187" i="1"/>
  <c r="CU187" i="1" s="1"/>
  <c r="T187" i="1" s="1"/>
  <c r="AH187" i="1"/>
  <c r="CV187" i="1" s="1"/>
  <c r="U187" i="1" s="1"/>
  <c r="AI187" i="1"/>
  <c r="AJ187" i="1"/>
  <c r="CR187" i="1"/>
  <c r="CT187" i="1"/>
  <c r="S187" i="1" s="1"/>
  <c r="CW187" i="1"/>
  <c r="V187" i="1" s="1"/>
  <c r="CX187" i="1"/>
  <c r="W187" i="1" s="1"/>
  <c r="FR187" i="1"/>
  <c r="GL187" i="1"/>
  <c r="GO187" i="1"/>
  <c r="GP187" i="1"/>
  <c r="GV187" i="1"/>
  <c r="GX187" i="1" s="1"/>
  <c r="C188" i="1"/>
  <c r="D188" i="1"/>
  <c r="I188" i="1"/>
  <c r="V188" i="1" s="1"/>
  <c r="U188" i="1"/>
  <c r="AC188" i="1"/>
  <c r="AD188" i="1"/>
  <c r="AB188" i="1" s="1"/>
  <c r="AE188" i="1"/>
  <c r="AF188" i="1"/>
  <c r="AG188" i="1"/>
  <c r="AH188" i="1"/>
  <c r="CV188" i="1" s="1"/>
  <c r="AI188" i="1"/>
  <c r="AJ188" i="1"/>
  <c r="CX188" i="1" s="1"/>
  <c r="W188" i="1" s="1"/>
  <c r="CQ188" i="1"/>
  <c r="P188" i="1" s="1"/>
  <c r="CR188" i="1"/>
  <c r="CS188" i="1"/>
  <c r="CT188" i="1"/>
  <c r="CU188" i="1"/>
  <c r="T188" i="1" s="1"/>
  <c r="CW188" i="1"/>
  <c r="FR188" i="1"/>
  <c r="GL188" i="1"/>
  <c r="GO188" i="1"/>
  <c r="GP188" i="1"/>
  <c r="GV188" i="1"/>
  <c r="GX188" i="1" s="1"/>
  <c r="I189" i="1"/>
  <c r="U189" i="1" s="1"/>
  <c r="AC189" i="1"/>
  <c r="AD189" i="1"/>
  <c r="CR189" i="1" s="1"/>
  <c r="Q189" i="1" s="1"/>
  <c r="AE189" i="1"/>
  <c r="CS189" i="1" s="1"/>
  <c r="R189" i="1" s="1"/>
  <c r="GK189" i="1" s="1"/>
  <c r="AF189" i="1"/>
  <c r="CT189" i="1" s="1"/>
  <c r="S189" i="1" s="1"/>
  <c r="AG189" i="1"/>
  <c r="CU189" i="1" s="1"/>
  <c r="T189" i="1" s="1"/>
  <c r="AH189" i="1"/>
  <c r="AI189" i="1"/>
  <c r="CW189" i="1" s="1"/>
  <c r="V189" i="1" s="1"/>
  <c r="AJ189" i="1"/>
  <c r="CQ189" i="1"/>
  <c r="P189" i="1" s="1"/>
  <c r="CV189" i="1"/>
  <c r="CX189" i="1"/>
  <c r="W189" i="1" s="1"/>
  <c r="FR189" i="1"/>
  <c r="GL189" i="1"/>
  <c r="GO189" i="1"/>
  <c r="GP189" i="1"/>
  <c r="GV189" i="1"/>
  <c r="GX189" i="1" s="1"/>
  <c r="AB190" i="1"/>
  <c r="AC190" i="1"/>
  <c r="CQ190" i="1" s="1"/>
  <c r="AD190" i="1"/>
  <c r="AE190" i="1"/>
  <c r="CS190" i="1" s="1"/>
  <c r="AF190" i="1"/>
  <c r="CT190" i="1" s="1"/>
  <c r="AG190" i="1"/>
  <c r="AH190" i="1"/>
  <c r="CV190" i="1" s="1"/>
  <c r="AI190" i="1"/>
  <c r="AJ190" i="1"/>
  <c r="CX190" i="1" s="1"/>
  <c r="CR190" i="1"/>
  <c r="CU190" i="1"/>
  <c r="CW190" i="1"/>
  <c r="FR190" i="1"/>
  <c r="GL190" i="1"/>
  <c r="GO190" i="1"/>
  <c r="GP190" i="1"/>
  <c r="GV190" i="1"/>
  <c r="C191" i="1"/>
  <c r="D191" i="1"/>
  <c r="I191" i="1"/>
  <c r="Q191" i="1"/>
  <c r="S191" i="1"/>
  <c r="AB191" i="1"/>
  <c r="AC191" i="1"/>
  <c r="CQ191" i="1" s="1"/>
  <c r="P191" i="1" s="1"/>
  <c r="CP191" i="1" s="1"/>
  <c r="O191" i="1" s="1"/>
  <c r="AD191" i="1"/>
  <c r="AE191" i="1"/>
  <c r="CS191" i="1" s="1"/>
  <c r="R191" i="1" s="1"/>
  <c r="GK191" i="1" s="1"/>
  <c r="AF191" i="1"/>
  <c r="AG191" i="1"/>
  <c r="AH191" i="1"/>
  <c r="AI191" i="1"/>
  <c r="CW191" i="1" s="1"/>
  <c r="V191" i="1" s="1"/>
  <c r="AJ191" i="1"/>
  <c r="CR191" i="1"/>
  <c r="CT191" i="1"/>
  <c r="CU191" i="1"/>
  <c r="T191" i="1" s="1"/>
  <c r="CV191" i="1"/>
  <c r="U191" i="1" s="1"/>
  <c r="CX191" i="1"/>
  <c r="W191" i="1" s="1"/>
  <c r="FR191" i="1"/>
  <c r="GL191" i="1"/>
  <c r="GO191" i="1"/>
  <c r="GP191" i="1"/>
  <c r="GV191" i="1"/>
  <c r="GX191" i="1" s="1"/>
  <c r="C192" i="1"/>
  <c r="D192" i="1"/>
  <c r="I192" i="1"/>
  <c r="P192" i="1"/>
  <c r="T192" i="1"/>
  <c r="V192" i="1"/>
  <c r="W192" i="1"/>
  <c r="AC192" i="1"/>
  <c r="AD192" i="1"/>
  <c r="AE192" i="1"/>
  <c r="AF192" i="1"/>
  <c r="AG192" i="1"/>
  <c r="AH192" i="1"/>
  <c r="CV192" i="1" s="1"/>
  <c r="U192" i="1" s="1"/>
  <c r="AI192" i="1"/>
  <c r="AJ192" i="1"/>
  <c r="CX192" i="1" s="1"/>
  <c r="CQ192" i="1"/>
  <c r="CR192" i="1"/>
  <c r="CS192" i="1"/>
  <c r="R192" i="1" s="1"/>
  <c r="GK192" i="1" s="1"/>
  <c r="CT192" i="1"/>
  <c r="S192" i="1" s="1"/>
  <c r="CZ192" i="1" s="1"/>
  <c r="Y192" i="1" s="1"/>
  <c r="CU192" i="1"/>
  <c r="CW192" i="1"/>
  <c r="CY192" i="1"/>
  <c r="X192" i="1" s="1"/>
  <c r="FR192" i="1"/>
  <c r="GL192" i="1"/>
  <c r="GO192" i="1"/>
  <c r="GP192" i="1"/>
  <c r="GV192" i="1"/>
  <c r="GX192" i="1" s="1"/>
  <c r="I193" i="1"/>
  <c r="V193" i="1"/>
  <c r="AC193" i="1"/>
  <c r="AD193" i="1"/>
  <c r="AB193" i="1" s="1"/>
  <c r="AE193" i="1"/>
  <c r="CS193" i="1" s="1"/>
  <c r="R193" i="1" s="1"/>
  <c r="GK193" i="1" s="1"/>
  <c r="AF193" i="1"/>
  <c r="AG193" i="1"/>
  <c r="CU193" i="1" s="1"/>
  <c r="T193" i="1" s="1"/>
  <c r="AH193" i="1"/>
  <c r="CV193" i="1" s="1"/>
  <c r="U193" i="1" s="1"/>
  <c r="AI193" i="1"/>
  <c r="AJ193" i="1"/>
  <c r="CX193" i="1" s="1"/>
  <c r="W193" i="1" s="1"/>
  <c r="CQ193" i="1"/>
  <c r="P193" i="1" s="1"/>
  <c r="CT193" i="1"/>
  <c r="S193" i="1" s="1"/>
  <c r="CW193" i="1"/>
  <c r="FR193" i="1"/>
  <c r="GL193" i="1"/>
  <c r="GO193" i="1"/>
  <c r="GP193" i="1"/>
  <c r="GV193" i="1"/>
  <c r="GX193" i="1" s="1"/>
  <c r="I194" i="1"/>
  <c r="AC194" i="1"/>
  <c r="AB194" i="1" s="1"/>
  <c r="AD194" i="1"/>
  <c r="CR194" i="1" s="1"/>
  <c r="Q194" i="1" s="1"/>
  <c r="AE194" i="1"/>
  <c r="AF194" i="1"/>
  <c r="CT194" i="1" s="1"/>
  <c r="S194" i="1" s="1"/>
  <c r="AG194" i="1"/>
  <c r="CU194" i="1" s="1"/>
  <c r="T194" i="1" s="1"/>
  <c r="AH194" i="1"/>
  <c r="AI194" i="1"/>
  <c r="CW194" i="1" s="1"/>
  <c r="V194" i="1" s="1"/>
  <c r="AJ194" i="1"/>
  <c r="CS194" i="1"/>
  <c r="R194" i="1" s="1"/>
  <c r="GK194" i="1" s="1"/>
  <c r="CV194" i="1"/>
  <c r="U194" i="1" s="1"/>
  <c r="CX194" i="1"/>
  <c r="W194" i="1" s="1"/>
  <c r="FR194" i="1"/>
  <c r="GL194" i="1"/>
  <c r="GO194" i="1"/>
  <c r="GP194" i="1"/>
  <c r="GV194" i="1"/>
  <c r="GX194" i="1"/>
  <c r="I195" i="1"/>
  <c r="AB195" i="1"/>
  <c r="AC195" i="1"/>
  <c r="CQ195" i="1" s="1"/>
  <c r="P195" i="1" s="1"/>
  <c r="AD195" i="1"/>
  <c r="AE195" i="1"/>
  <c r="CS195" i="1" s="1"/>
  <c r="R195" i="1" s="1"/>
  <c r="GK195" i="1" s="1"/>
  <c r="AF195" i="1"/>
  <c r="CT195" i="1" s="1"/>
  <c r="S195" i="1" s="1"/>
  <c r="AG195" i="1"/>
  <c r="AH195" i="1"/>
  <c r="CV195" i="1" s="1"/>
  <c r="U195" i="1" s="1"/>
  <c r="AI195" i="1"/>
  <c r="AJ195" i="1"/>
  <c r="CX195" i="1" s="1"/>
  <c r="W195" i="1" s="1"/>
  <c r="CR195" i="1"/>
  <c r="Q195" i="1" s="1"/>
  <c r="CU195" i="1"/>
  <c r="T195" i="1" s="1"/>
  <c r="CW195" i="1"/>
  <c r="V195" i="1" s="1"/>
  <c r="FR195" i="1"/>
  <c r="GL195" i="1"/>
  <c r="GO195" i="1"/>
  <c r="GP195" i="1"/>
  <c r="GV195" i="1"/>
  <c r="GX195" i="1" s="1"/>
  <c r="I196" i="1"/>
  <c r="AC196" i="1"/>
  <c r="AD196" i="1"/>
  <c r="CR196" i="1" s="1"/>
  <c r="Q196" i="1" s="1"/>
  <c r="AE196" i="1"/>
  <c r="CS196" i="1" s="1"/>
  <c r="R196" i="1" s="1"/>
  <c r="GK196" i="1" s="1"/>
  <c r="AF196" i="1"/>
  <c r="AG196" i="1"/>
  <c r="CU196" i="1" s="1"/>
  <c r="T196" i="1" s="1"/>
  <c r="AH196" i="1"/>
  <c r="AI196" i="1"/>
  <c r="CW196" i="1" s="1"/>
  <c r="V196" i="1" s="1"/>
  <c r="AJ196" i="1"/>
  <c r="CX196" i="1" s="1"/>
  <c r="W196" i="1" s="1"/>
  <c r="CQ196" i="1"/>
  <c r="P196" i="1" s="1"/>
  <c r="CP196" i="1" s="1"/>
  <c r="O196" i="1" s="1"/>
  <c r="CT196" i="1"/>
  <c r="S196" i="1" s="1"/>
  <c r="CV196" i="1"/>
  <c r="U196" i="1" s="1"/>
  <c r="FR196" i="1"/>
  <c r="GL196" i="1"/>
  <c r="GO196" i="1"/>
  <c r="GP196" i="1"/>
  <c r="GV196" i="1"/>
  <c r="GX196" i="1" s="1"/>
  <c r="I197" i="1"/>
  <c r="AC197" i="1"/>
  <c r="CQ197" i="1" s="1"/>
  <c r="P197" i="1" s="1"/>
  <c r="AD197" i="1"/>
  <c r="CR197" i="1" s="1"/>
  <c r="Q197" i="1" s="1"/>
  <c r="AE197" i="1"/>
  <c r="AF197" i="1"/>
  <c r="CT197" i="1" s="1"/>
  <c r="S197" i="1" s="1"/>
  <c r="AG197" i="1"/>
  <c r="AH197" i="1"/>
  <c r="CV197" i="1" s="1"/>
  <c r="U197" i="1" s="1"/>
  <c r="AI197" i="1"/>
  <c r="CW197" i="1" s="1"/>
  <c r="V197" i="1" s="1"/>
  <c r="AJ197" i="1"/>
  <c r="CS197" i="1"/>
  <c r="R197" i="1" s="1"/>
  <c r="GK197" i="1" s="1"/>
  <c r="CU197" i="1"/>
  <c r="T197" i="1" s="1"/>
  <c r="CX197" i="1"/>
  <c r="W197" i="1" s="1"/>
  <c r="FR197" i="1"/>
  <c r="GL197" i="1"/>
  <c r="GO197" i="1"/>
  <c r="GP197" i="1"/>
  <c r="GV197" i="1"/>
  <c r="GX197" i="1"/>
  <c r="I198" i="1"/>
  <c r="AB198" i="1"/>
  <c r="AC198" i="1"/>
  <c r="CQ198" i="1" s="1"/>
  <c r="P198" i="1" s="1"/>
  <c r="AD198" i="1"/>
  <c r="AE198" i="1"/>
  <c r="CS198" i="1" s="1"/>
  <c r="R198" i="1" s="1"/>
  <c r="GK198" i="1" s="1"/>
  <c r="AF198" i="1"/>
  <c r="AG198" i="1"/>
  <c r="CU198" i="1" s="1"/>
  <c r="T198" i="1" s="1"/>
  <c r="AH198" i="1"/>
  <c r="CV198" i="1" s="1"/>
  <c r="U198" i="1" s="1"/>
  <c r="AI198" i="1"/>
  <c r="AJ198" i="1"/>
  <c r="CX198" i="1" s="1"/>
  <c r="W198" i="1" s="1"/>
  <c r="CR198" i="1"/>
  <c r="Q198" i="1" s="1"/>
  <c r="CT198" i="1"/>
  <c r="S198" i="1" s="1"/>
  <c r="CW198" i="1"/>
  <c r="V198" i="1" s="1"/>
  <c r="FR198" i="1"/>
  <c r="GL198" i="1"/>
  <c r="GO198" i="1"/>
  <c r="GP198" i="1"/>
  <c r="GV198" i="1"/>
  <c r="GX198" i="1" s="1"/>
  <c r="C199" i="1"/>
  <c r="D199" i="1"/>
  <c r="I199" i="1"/>
  <c r="AC199" i="1"/>
  <c r="AD199" i="1"/>
  <c r="AB199" i="1" s="1"/>
  <c r="AE199" i="1"/>
  <c r="CS199" i="1" s="1"/>
  <c r="R199" i="1" s="1"/>
  <c r="GK199" i="1" s="1"/>
  <c r="AF199" i="1"/>
  <c r="AG199" i="1"/>
  <c r="CU199" i="1" s="1"/>
  <c r="T199" i="1" s="1"/>
  <c r="AH199" i="1"/>
  <c r="CV199" i="1" s="1"/>
  <c r="U199" i="1" s="1"/>
  <c r="AI199" i="1"/>
  <c r="AJ199" i="1"/>
  <c r="CX199" i="1" s="1"/>
  <c r="W199" i="1" s="1"/>
  <c r="CQ199" i="1"/>
  <c r="P199" i="1" s="1"/>
  <c r="CT199" i="1"/>
  <c r="S199" i="1" s="1"/>
  <c r="CW199" i="1"/>
  <c r="V199" i="1" s="1"/>
  <c r="FR199" i="1"/>
  <c r="GL199" i="1"/>
  <c r="GO199" i="1"/>
  <c r="GP199" i="1"/>
  <c r="GV199" i="1"/>
  <c r="GX199" i="1" s="1"/>
  <c r="C200" i="1"/>
  <c r="D200" i="1"/>
  <c r="I200" i="1"/>
  <c r="T200" i="1"/>
  <c r="AC200" i="1"/>
  <c r="AD200" i="1"/>
  <c r="CR200" i="1" s="1"/>
  <c r="Q200" i="1" s="1"/>
  <c r="AE200" i="1"/>
  <c r="CS200" i="1" s="1"/>
  <c r="R200" i="1" s="1"/>
  <c r="GK200" i="1" s="1"/>
  <c r="AF200" i="1"/>
  <c r="CT200" i="1" s="1"/>
  <c r="S200" i="1" s="1"/>
  <c r="AG200" i="1"/>
  <c r="AH200" i="1"/>
  <c r="AI200" i="1"/>
  <c r="CW200" i="1" s="1"/>
  <c r="V200" i="1" s="1"/>
  <c r="AJ200" i="1"/>
  <c r="CX200" i="1" s="1"/>
  <c r="W200" i="1" s="1"/>
  <c r="CQ200" i="1"/>
  <c r="P200" i="1" s="1"/>
  <c r="CU200" i="1"/>
  <c r="CV200" i="1"/>
  <c r="U200" i="1" s="1"/>
  <c r="FR200" i="1"/>
  <c r="GL200" i="1"/>
  <c r="GO200" i="1"/>
  <c r="GP200" i="1"/>
  <c r="GV200" i="1"/>
  <c r="GX200" i="1" s="1"/>
  <c r="I201" i="1"/>
  <c r="S201" i="1"/>
  <c r="CY201" i="1" s="1"/>
  <c r="X201" i="1" s="1"/>
  <c r="AC201" i="1"/>
  <c r="CQ201" i="1" s="1"/>
  <c r="P201" i="1" s="1"/>
  <c r="AD201" i="1"/>
  <c r="CR201" i="1" s="1"/>
  <c r="Q201" i="1" s="1"/>
  <c r="AE201" i="1"/>
  <c r="CS201" i="1" s="1"/>
  <c r="R201" i="1" s="1"/>
  <c r="GK201" i="1" s="1"/>
  <c r="AF201" i="1"/>
  <c r="AG201" i="1"/>
  <c r="AH201" i="1"/>
  <c r="CV201" i="1" s="1"/>
  <c r="U201" i="1" s="1"/>
  <c r="AI201" i="1"/>
  <c r="CW201" i="1" s="1"/>
  <c r="V201" i="1" s="1"/>
  <c r="AJ201" i="1"/>
  <c r="CT201" i="1"/>
  <c r="CU201" i="1"/>
  <c r="T201" i="1" s="1"/>
  <c r="CX201" i="1"/>
  <c r="W201" i="1" s="1"/>
  <c r="FR201" i="1"/>
  <c r="GL201" i="1"/>
  <c r="GO201" i="1"/>
  <c r="GP201" i="1"/>
  <c r="GV201" i="1"/>
  <c r="GX201" i="1"/>
  <c r="I202" i="1"/>
  <c r="R202" i="1"/>
  <c r="GK202" i="1" s="1"/>
  <c r="AB202" i="1"/>
  <c r="AC202" i="1"/>
  <c r="CQ202" i="1" s="1"/>
  <c r="P202" i="1" s="1"/>
  <c r="AD202" i="1"/>
  <c r="AE202" i="1"/>
  <c r="AF202" i="1"/>
  <c r="AG202" i="1"/>
  <c r="CU202" i="1" s="1"/>
  <c r="T202" i="1" s="1"/>
  <c r="AH202" i="1"/>
  <c r="CV202" i="1" s="1"/>
  <c r="U202" i="1" s="1"/>
  <c r="AI202" i="1"/>
  <c r="AJ202" i="1"/>
  <c r="CX202" i="1" s="1"/>
  <c r="W202" i="1" s="1"/>
  <c r="CR202" i="1"/>
  <c r="Q202" i="1" s="1"/>
  <c r="CS202" i="1"/>
  <c r="CT202" i="1"/>
  <c r="S202" i="1" s="1"/>
  <c r="CW202" i="1"/>
  <c r="V202" i="1" s="1"/>
  <c r="FR202" i="1"/>
  <c r="GL202" i="1"/>
  <c r="GO202" i="1"/>
  <c r="GP202" i="1"/>
  <c r="GV202" i="1"/>
  <c r="GX202" i="1"/>
  <c r="I203" i="1"/>
  <c r="Q203" i="1"/>
  <c r="AC203" i="1"/>
  <c r="AD203" i="1"/>
  <c r="AE203" i="1"/>
  <c r="AF203" i="1"/>
  <c r="AB203" i="1" s="1"/>
  <c r="AG203" i="1"/>
  <c r="CU203" i="1" s="1"/>
  <c r="T203" i="1" s="1"/>
  <c r="AH203" i="1"/>
  <c r="AI203" i="1"/>
  <c r="CW203" i="1" s="1"/>
  <c r="V203" i="1" s="1"/>
  <c r="AJ203" i="1"/>
  <c r="CX203" i="1" s="1"/>
  <c r="W203" i="1" s="1"/>
  <c r="CQ203" i="1"/>
  <c r="P203" i="1" s="1"/>
  <c r="CR203" i="1"/>
  <c r="CS203" i="1"/>
  <c r="R203" i="1" s="1"/>
  <c r="GK203" i="1" s="1"/>
  <c r="CV203" i="1"/>
  <c r="U203" i="1" s="1"/>
  <c r="FR203" i="1"/>
  <c r="GL203" i="1"/>
  <c r="GO203" i="1"/>
  <c r="GP203" i="1"/>
  <c r="GV203" i="1"/>
  <c r="GX203" i="1"/>
  <c r="I204" i="1"/>
  <c r="P204" i="1"/>
  <c r="CP204" i="1" s="1"/>
  <c r="O204" i="1" s="1"/>
  <c r="AC204" i="1"/>
  <c r="AB204" i="1" s="1"/>
  <c r="AD204" i="1"/>
  <c r="AE204" i="1"/>
  <c r="CS204" i="1" s="1"/>
  <c r="R204" i="1" s="1"/>
  <c r="GK204" i="1" s="1"/>
  <c r="AF204" i="1"/>
  <c r="CT204" i="1" s="1"/>
  <c r="S204" i="1" s="1"/>
  <c r="AG204" i="1"/>
  <c r="AH204" i="1"/>
  <c r="CV204" i="1" s="1"/>
  <c r="U204" i="1" s="1"/>
  <c r="AI204" i="1"/>
  <c r="CW204" i="1" s="1"/>
  <c r="V204" i="1" s="1"/>
  <c r="AJ204" i="1"/>
  <c r="CQ204" i="1"/>
  <c r="CR204" i="1"/>
  <c r="Q204" i="1" s="1"/>
  <c r="CU204" i="1"/>
  <c r="T204" i="1" s="1"/>
  <c r="CX204" i="1"/>
  <c r="W204" i="1" s="1"/>
  <c r="FR204" i="1"/>
  <c r="GL204" i="1"/>
  <c r="GO204" i="1"/>
  <c r="GP204" i="1"/>
  <c r="GV204" i="1"/>
  <c r="GX204" i="1" s="1"/>
  <c r="I205" i="1"/>
  <c r="O205" i="1"/>
  <c r="W205" i="1"/>
  <c r="AC205" i="1"/>
  <c r="AB205" i="1" s="1"/>
  <c r="AD205" i="1"/>
  <c r="CR205" i="1" s="1"/>
  <c r="Q205" i="1" s="1"/>
  <c r="AE205" i="1"/>
  <c r="CS205" i="1" s="1"/>
  <c r="R205" i="1" s="1"/>
  <c r="GK205" i="1" s="1"/>
  <c r="AF205" i="1"/>
  <c r="AG205" i="1"/>
  <c r="CU205" i="1" s="1"/>
  <c r="T205" i="1" s="1"/>
  <c r="AH205" i="1"/>
  <c r="CV205" i="1" s="1"/>
  <c r="U205" i="1" s="1"/>
  <c r="AI205" i="1"/>
  <c r="AJ205" i="1"/>
  <c r="CQ205" i="1"/>
  <c r="P205" i="1" s="1"/>
  <c r="CP205" i="1" s="1"/>
  <c r="CT205" i="1"/>
  <c r="S205" i="1" s="1"/>
  <c r="CW205" i="1"/>
  <c r="V205" i="1" s="1"/>
  <c r="CX205" i="1"/>
  <c r="FR205" i="1"/>
  <c r="GL205" i="1"/>
  <c r="GO205" i="1"/>
  <c r="GP205" i="1"/>
  <c r="GV205" i="1"/>
  <c r="GX205" i="1" s="1"/>
  <c r="I206" i="1"/>
  <c r="GX206" i="1" s="1"/>
  <c r="AC206" i="1"/>
  <c r="AB206" i="1" s="1"/>
  <c r="AD206" i="1"/>
  <c r="CR206" i="1" s="1"/>
  <c r="AE206" i="1"/>
  <c r="AF206" i="1"/>
  <c r="CT206" i="1" s="1"/>
  <c r="AG206" i="1"/>
  <c r="CU206" i="1" s="1"/>
  <c r="T206" i="1" s="1"/>
  <c r="AH206" i="1"/>
  <c r="AI206" i="1"/>
  <c r="AJ206" i="1"/>
  <c r="CS206" i="1"/>
  <c r="R206" i="1" s="1"/>
  <c r="GK206" i="1" s="1"/>
  <c r="CV206" i="1"/>
  <c r="CW206" i="1"/>
  <c r="CX206" i="1"/>
  <c r="FR206" i="1"/>
  <c r="GL206" i="1"/>
  <c r="GO206" i="1"/>
  <c r="GP206" i="1"/>
  <c r="GV206" i="1"/>
  <c r="C207" i="1"/>
  <c r="D207" i="1"/>
  <c r="I207" i="1"/>
  <c r="S207" i="1"/>
  <c r="AC207" i="1"/>
  <c r="AD207" i="1"/>
  <c r="CR207" i="1" s="1"/>
  <c r="Q207" i="1" s="1"/>
  <c r="AE207" i="1"/>
  <c r="AF207" i="1"/>
  <c r="CT207" i="1" s="1"/>
  <c r="AG207" i="1"/>
  <c r="AH207" i="1"/>
  <c r="CV207" i="1" s="1"/>
  <c r="U207" i="1" s="1"/>
  <c r="AI207" i="1"/>
  <c r="CW207" i="1" s="1"/>
  <c r="V207" i="1" s="1"/>
  <c r="AJ207" i="1"/>
  <c r="CS207" i="1"/>
  <c r="R207" i="1" s="1"/>
  <c r="GK207" i="1" s="1"/>
  <c r="CU207" i="1"/>
  <c r="T207" i="1" s="1"/>
  <c r="CX207" i="1"/>
  <c r="W207" i="1" s="1"/>
  <c r="FR207" i="1"/>
  <c r="GL207" i="1"/>
  <c r="GO207" i="1"/>
  <c r="GP207" i="1"/>
  <c r="GV207" i="1"/>
  <c r="GX207" i="1"/>
  <c r="C208" i="1"/>
  <c r="D208" i="1"/>
  <c r="I208" i="1"/>
  <c r="AC208" i="1"/>
  <c r="AB208" i="1" s="1"/>
  <c r="AD208" i="1"/>
  <c r="AE208" i="1"/>
  <c r="CS208" i="1" s="1"/>
  <c r="R208" i="1" s="1"/>
  <c r="GK208" i="1" s="1"/>
  <c r="AF208" i="1"/>
  <c r="CT208" i="1" s="1"/>
  <c r="S208" i="1" s="1"/>
  <c r="AG208" i="1"/>
  <c r="AH208" i="1"/>
  <c r="CV208" i="1" s="1"/>
  <c r="U208" i="1" s="1"/>
  <c r="AI208" i="1"/>
  <c r="CW208" i="1" s="1"/>
  <c r="V208" i="1" s="1"/>
  <c r="AJ208" i="1"/>
  <c r="CR208" i="1"/>
  <c r="Q208" i="1" s="1"/>
  <c r="CU208" i="1"/>
  <c r="T208" i="1" s="1"/>
  <c r="CX208" i="1"/>
  <c r="W208" i="1" s="1"/>
  <c r="FR208" i="1"/>
  <c r="GL208" i="1"/>
  <c r="GO208" i="1"/>
  <c r="GP208" i="1"/>
  <c r="GV208" i="1"/>
  <c r="GX208" i="1" s="1"/>
  <c r="I209" i="1"/>
  <c r="AC209" i="1"/>
  <c r="AD209" i="1"/>
  <c r="AB209" i="1" s="1"/>
  <c r="AE209" i="1"/>
  <c r="CS209" i="1" s="1"/>
  <c r="R209" i="1" s="1"/>
  <c r="AF209" i="1"/>
  <c r="AG209" i="1"/>
  <c r="CU209" i="1" s="1"/>
  <c r="T209" i="1" s="1"/>
  <c r="AH209" i="1"/>
  <c r="CV209" i="1" s="1"/>
  <c r="U209" i="1" s="1"/>
  <c r="AI209" i="1"/>
  <c r="AJ209" i="1"/>
  <c r="CX209" i="1" s="1"/>
  <c r="W209" i="1" s="1"/>
  <c r="CQ209" i="1"/>
  <c r="P209" i="1" s="1"/>
  <c r="CT209" i="1"/>
  <c r="S209" i="1" s="1"/>
  <c r="CW209" i="1"/>
  <c r="V209" i="1" s="1"/>
  <c r="FR209" i="1"/>
  <c r="GL209" i="1"/>
  <c r="GO209" i="1"/>
  <c r="GP209" i="1"/>
  <c r="GV209" i="1"/>
  <c r="GX209" i="1" s="1"/>
  <c r="I210" i="1"/>
  <c r="V210" i="1"/>
  <c r="AC210" i="1"/>
  <c r="AD210" i="1"/>
  <c r="CR210" i="1" s="1"/>
  <c r="Q210" i="1" s="1"/>
  <c r="AE210" i="1"/>
  <c r="AF210" i="1"/>
  <c r="CT210" i="1" s="1"/>
  <c r="S210" i="1" s="1"/>
  <c r="AG210" i="1"/>
  <c r="CU210" i="1" s="1"/>
  <c r="T210" i="1" s="1"/>
  <c r="AH210" i="1"/>
  <c r="AI210" i="1"/>
  <c r="AJ210" i="1"/>
  <c r="CS210" i="1"/>
  <c r="R210" i="1" s="1"/>
  <c r="GK210" i="1" s="1"/>
  <c r="CV210" i="1"/>
  <c r="U210" i="1" s="1"/>
  <c r="CW210" i="1"/>
  <c r="CX210" i="1"/>
  <c r="W210" i="1" s="1"/>
  <c r="FR210" i="1"/>
  <c r="GL210" i="1"/>
  <c r="GO210" i="1"/>
  <c r="GP210" i="1"/>
  <c r="GV210" i="1"/>
  <c r="GX210" i="1"/>
  <c r="I211" i="1"/>
  <c r="U211" i="1"/>
  <c r="AB211" i="1"/>
  <c r="AC211" i="1"/>
  <c r="CQ211" i="1" s="1"/>
  <c r="P211" i="1" s="1"/>
  <c r="AD211" i="1"/>
  <c r="AE211" i="1"/>
  <c r="CS211" i="1" s="1"/>
  <c r="R211" i="1" s="1"/>
  <c r="GK211" i="1" s="1"/>
  <c r="AF211" i="1"/>
  <c r="CT211" i="1" s="1"/>
  <c r="S211" i="1" s="1"/>
  <c r="CY211" i="1" s="1"/>
  <c r="X211" i="1" s="1"/>
  <c r="AG211" i="1"/>
  <c r="CU211" i="1" s="1"/>
  <c r="T211" i="1" s="1"/>
  <c r="AH211" i="1"/>
  <c r="AI211" i="1"/>
  <c r="AJ211" i="1"/>
  <c r="CX211" i="1" s="1"/>
  <c r="W211" i="1" s="1"/>
  <c r="CR211" i="1"/>
  <c r="Q211" i="1" s="1"/>
  <c r="CV211" i="1"/>
  <c r="CW211" i="1"/>
  <c r="V211" i="1" s="1"/>
  <c r="CZ211" i="1"/>
  <c r="Y211" i="1" s="1"/>
  <c r="FR211" i="1"/>
  <c r="GL211" i="1"/>
  <c r="GO211" i="1"/>
  <c r="GP211" i="1"/>
  <c r="GV211" i="1"/>
  <c r="GX211" i="1" s="1"/>
  <c r="AC212" i="1"/>
  <c r="AD212" i="1"/>
  <c r="AE212" i="1"/>
  <c r="CS212" i="1" s="1"/>
  <c r="AF212" i="1"/>
  <c r="AG212" i="1"/>
  <c r="CU212" i="1" s="1"/>
  <c r="AH212" i="1"/>
  <c r="AI212" i="1"/>
  <c r="CW212" i="1" s="1"/>
  <c r="AJ212" i="1"/>
  <c r="CX212" i="1" s="1"/>
  <c r="CQ212" i="1"/>
  <c r="CT212" i="1"/>
  <c r="CV212" i="1"/>
  <c r="FR212" i="1"/>
  <c r="GL212" i="1"/>
  <c r="GO212" i="1"/>
  <c r="GP212" i="1"/>
  <c r="GV212" i="1"/>
  <c r="I213" i="1"/>
  <c r="S213" i="1"/>
  <c r="AC213" i="1"/>
  <c r="AD213" i="1"/>
  <c r="CR213" i="1" s="1"/>
  <c r="Q213" i="1" s="1"/>
  <c r="AE213" i="1"/>
  <c r="CS213" i="1" s="1"/>
  <c r="R213" i="1" s="1"/>
  <c r="GK213" i="1" s="1"/>
  <c r="AF213" i="1"/>
  <c r="AG213" i="1"/>
  <c r="AH213" i="1"/>
  <c r="CV213" i="1" s="1"/>
  <c r="U213" i="1" s="1"/>
  <c r="AI213" i="1"/>
  <c r="CW213" i="1" s="1"/>
  <c r="V213" i="1" s="1"/>
  <c r="AJ213" i="1"/>
  <c r="CT213" i="1"/>
  <c r="CU213" i="1"/>
  <c r="T213" i="1" s="1"/>
  <c r="CX213" i="1"/>
  <c r="W213" i="1" s="1"/>
  <c r="FR213" i="1"/>
  <c r="GL213" i="1"/>
  <c r="GO213" i="1"/>
  <c r="GP213" i="1"/>
  <c r="GV213" i="1"/>
  <c r="GX213" i="1" s="1"/>
  <c r="AB214" i="1"/>
  <c r="AC214" i="1"/>
  <c r="CQ214" i="1" s="1"/>
  <c r="AD214" i="1"/>
  <c r="AE214" i="1"/>
  <c r="AF214" i="1"/>
  <c r="AG214" i="1"/>
  <c r="CU214" i="1" s="1"/>
  <c r="AH214" i="1"/>
  <c r="CV214" i="1" s="1"/>
  <c r="AI214" i="1"/>
  <c r="AJ214" i="1"/>
  <c r="CX214" i="1" s="1"/>
  <c r="CR214" i="1"/>
  <c r="CS214" i="1"/>
  <c r="CT214" i="1"/>
  <c r="CW214" i="1"/>
  <c r="FR214" i="1"/>
  <c r="GL214" i="1"/>
  <c r="GO214" i="1"/>
  <c r="GP214" i="1"/>
  <c r="GV214" i="1"/>
  <c r="C215" i="1"/>
  <c r="D215" i="1"/>
  <c r="I215" i="1"/>
  <c r="W215" i="1"/>
  <c r="AC215" i="1"/>
  <c r="AB215" i="1" s="1"/>
  <c r="AD215" i="1"/>
  <c r="CR215" i="1" s="1"/>
  <c r="Q215" i="1" s="1"/>
  <c r="AE215" i="1"/>
  <c r="CS215" i="1" s="1"/>
  <c r="R215" i="1" s="1"/>
  <c r="AF215" i="1"/>
  <c r="AG215" i="1"/>
  <c r="CU215" i="1" s="1"/>
  <c r="T215" i="1" s="1"/>
  <c r="AH215" i="1"/>
  <c r="CV215" i="1" s="1"/>
  <c r="U215" i="1" s="1"/>
  <c r="AI215" i="1"/>
  <c r="AJ215" i="1"/>
  <c r="CQ215" i="1"/>
  <c r="P215" i="1" s="1"/>
  <c r="CT215" i="1"/>
  <c r="S215" i="1" s="1"/>
  <c r="CW215" i="1"/>
  <c r="V215" i="1" s="1"/>
  <c r="CX215" i="1"/>
  <c r="FR215" i="1"/>
  <c r="GK215" i="1"/>
  <c r="GL215" i="1"/>
  <c r="GO215" i="1"/>
  <c r="GP215" i="1"/>
  <c r="GV215" i="1"/>
  <c r="GX215" i="1" s="1"/>
  <c r="C216" i="1"/>
  <c r="D216" i="1"/>
  <c r="I216" i="1"/>
  <c r="T216" i="1"/>
  <c r="AC216" i="1"/>
  <c r="AD216" i="1"/>
  <c r="AE216" i="1"/>
  <c r="CS216" i="1" s="1"/>
  <c r="R216" i="1" s="1"/>
  <c r="GK216" i="1" s="1"/>
  <c r="AF216" i="1"/>
  <c r="CT216" i="1" s="1"/>
  <c r="S216" i="1" s="1"/>
  <c r="CZ216" i="1" s="1"/>
  <c r="Y216" i="1" s="1"/>
  <c r="AG216" i="1"/>
  <c r="AH216" i="1"/>
  <c r="AI216" i="1"/>
  <c r="CW216" i="1" s="1"/>
  <c r="V216" i="1" s="1"/>
  <c r="AJ216" i="1"/>
  <c r="CX216" i="1" s="1"/>
  <c r="W216" i="1" s="1"/>
  <c r="CQ216" i="1"/>
  <c r="P216" i="1" s="1"/>
  <c r="CU216" i="1"/>
  <c r="CV216" i="1"/>
  <c r="U216" i="1" s="1"/>
  <c r="CY216" i="1"/>
  <c r="X216" i="1" s="1"/>
  <c r="FR216" i="1"/>
  <c r="GL216" i="1"/>
  <c r="GO216" i="1"/>
  <c r="GP216" i="1"/>
  <c r="GV216" i="1"/>
  <c r="GX216" i="1" s="1"/>
  <c r="I217" i="1"/>
  <c r="S217" i="1"/>
  <c r="AC217" i="1"/>
  <c r="AD217" i="1"/>
  <c r="CR217" i="1" s="1"/>
  <c r="Q217" i="1" s="1"/>
  <c r="AE217" i="1"/>
  <c r="CS217" i="1" s="1"/>
  <c r="R217" i="1" s="1"/>
  <c r="GK217" i="1" s="1"/>
  <c r="AF217" i="1"/>
  <c r="AG217" i="1"/>
  <c r="AH217" i="1"/>
  <c r="CV217" i="1" s="1"/>
  <c r="U217" i="1" s="1"/>
  <c r="AI217" i="1"/>
  <c r="CW217" i="1" s="1"/>
  <c r="V217" i="1" s="1"/>
  <c r="AJ217" i="1"/>
  <c r="CT217" i="1"/>
  <c r="CU217" i="1"/>
  <c r="T217" i="1" s="1"/>
  <c r="CX217" i="1"/>
  <c r="W217" i="1" s="1"/>
  <c r="FR217" i="1"/>
  <c r="GL217" i="1"/>
  <c r="GO217" i="1"/>
  <c r="GP217" i="1"/>
  <c r="GV217" i="1"/>
  <c r="GX217" i="1" s="1"/>
  <c r="I218" i="1"/>
  <c r="R218" i="1"/>
  <c r="GK218" i="1" s="1"/>
  <c r="AB218" i="1"/>
  <c r="AC218" i="1"/>
  <c r="CQ218" i="1" s="1"/>
  <c r="P218" i="1" s="1"/>
  <c r="CP218" i="1" s="1"/>
  <c r="O218" i="1" s="1"/>
  <c r="AD218" i="1"/>
  <c r="CR218" i="1" s="1"/>
  <c r="Q218" i="1" s="1"/>
  <c r="AE218" i="1"/>
  <c r="AF218" i="1"/>
  <c r="AG218" i="1"/>
  <c r="CU218" i="1" s="1"/>
  <c r="T218" i="1" s="1"/>
  <c r="AH218" i="1"/>
  <c r="CV218" i="1" s="1"/>
  <c r="U218" i="1" s="1"/>
  <c r="AI218" i="1"/>
  <c r="AJ218" i="1"/>
  <c r="CX218" i="1" s="1"/>
  <c r="W218" i="1" s="1"/>
  <c r="CS218" i="1"/>
  <c r="CT218" i="1"/>
  <c r="S218" i="1" s="1"/>
  <c r="CW218" i="1"/>
  <c r="V218" i="1" s="1"/>
  <c r="FR218" i="1"/>
  <c r="GL218" i="1"/>
  <c r="GO218" i="1"/>
  <c r="GP218" i="1"/>
  <c r="GV218" i="1"/>
  <c r="GX218" i="1"/>
  <c r="I219" i="1"/>
  <c r="Q219" i="1"/>
  <c r="AC219" i="1"/>
  <c r="CQ219" i="1" s="1"/>
  <c r="P219" i="1" s="1"/>
  <c r="AD219" i="1"/>
  <c r="AE219" i="1"/>
  <c r="AF219" i="1"/>
  <c r="AB219" i="1" s="1"/>
  <c r="AG219" i="1"/>
  <c r="CU219" i="1" s="1"/>
  <c r="T219" i="1" s="1"/>
  <c r="AH219" i="1"/>
  <c r="AI219" i="1"/>
  <c r="CW219" i="1" s="1"/>
  <c r="V219" i="1" s="1"/>
  <c r="AJ219" i="1"/>
  <c r="CX219" i="1" s="1"/>
  <c r="W219" i="1" s="1"/>
  <c r="CR219" i="1"/>
  <c r="CS219" i="1"/>
  <c r="R219" i="1" s="1"/>
  <c r="GK219" i="1" s="1"/>
  <c r="CV219" i="1"/>
  <c r="U219" i="1" s="1"/>
  <c r="FR219" i="1"/>
  <c r="GL219" i="1"/>
  <c r="GO219" i="1"/>
  <c r="GP219" i="1"/>
  <c r="GV219" i="1"/>
  <c r="GX219" i="1"/>
  <c r="I220" i="1"/>
  <c r="P220" i="1"/>
  <c r="AC220" i="1"/>
  <c r="AD220" i="1"/>
  <c r="AB220" i="1" s="1"/>
  <c r="AE220" i="1"/>
  <c r="CS220" i="1" s="1"/>
  <c r="R220" i="1" s="1"/>
  <c r="GK220" i="1" s="1"/>
  <c r="AF220" i="1"/>
  <c r="CT220" i="1" s="1"/>
  <c r="S220" i="1" s="1"/>
  <c r="CY220" i="1" s="1"/>
  <c r="X220" i="1" s="1"/>
  <c r="AG220" i="1"/>
  <c r="AH220" i="1"/>
  <c r="AI220" i="1"/>
  <c r="CW220" i="1" s="1"/>
  <c r="V220" i="1" s="1"/>
  <c r="AJ220" i="1"/>
  <c r="CX220" i="1" s="1"/>
  <c r="W220" i="1" s="1"/>
  <c r="CQ220" i="1"/>
  <c r="CR220" i="1"/>
  <c r="Q220" i="1" s="1"/>
  <c r="CU220" i="1"/>
  <c r="T220" i="1" s="1"/>
  <c r="CV220" i="1"/>
  <c r="U220" i="1" s="1"/>
  <c r="FR220" i="1"/>
  <c r="GL220" i="1"/>
  <c r="GO220" i="1"/>
  <c r="GP220" i="1"/>
  <c r="GV220" i="1"/>
  <c r="GX220" i="1" s="1"/>
  <c r="C221" i="1"/>
  <c r="D221" i="1"/>
  <c r="V221" i="1"/>
  <c r="AC221" i="1"/>
  <c r="AD221" i="1"/>
  <c r="CR221" i="1" s="1"/>
  <c r="Q221" i="1" s="1"/>
  <c r="AE221" i="1"/>
  <c r="AF221" i="1"/>
  <c r="AG221" i="1"/>
  <c r="CU221" i="1" s="1"/>
  <c r="T221" i="1" s="1"/>
  <c r="AH221" i="1"/>
  <c r="CV221" i="1" s="1"/>
  <c r="U221" i="1" s="1"/>
  <c r="AI221" i="1"/>
  <c r="AJ221" i="1"/>
  <c r="CS221" i="1"/>
  <c r="R221" i="1" s="1"/>
  <c r="CT221" i="1"/>
  <c r="S221" i="1" s="1"/>
  <c r="CW221" i="1"/>
  <c r="CX221" i="1"/>
  <c r="W221" i="1" s="1"/>
  <c r="FR221" i="1"/>
  <c r="GK221" i="1"/>
  <c r="GL221" i="1"/>
  <c r="GO221" i="1"/>
  <c r="CC238" i="1" s="1"/>
  <c r="GP221" i="1"/>
  <c r="GV221" i="1"/>
  <c r="GX221" i="1"/>
  <c r="C222" i="1"/>
  <c r="D222" i="1"/>
  <c r="Q222" i="1"/>
  <c r="T222" i="1"/>
  <c r="U222" i="1"/>
  <c r="AC222" i="1"/>
  <c r="AD222" i="1"/>
  <c r="AB222" i="1" s="1"/>
  <c r="AE222" i="1"/>
  <c r="CS222" i="1" s="1"/>
  <c r="R222" i="1" s="1"/>
  <c r="GK222" i="1" s="1"/>
  <c r="AF222" i="1"/>
  <c r="CT222" i="1" s="1"/>
  <c r="S222" i="1" s="1"/>
  <c r="CZ222" i="1" s="1"/>
  <c r="Y222" i="1" s="1"/>
  <c r="AG222" i="1"/>
  <c r="AH222" i="1"/>
  <c r="AI222" i="1"/>
  <c r="CW222" i="1" s="1"/>
  <c r="V222" i="1" s="1"/>
  <c r="AJ222" i="1"/>
  <c r="CX222" i="1" s="1"/>
  <c r="W222" i="1" s="1"/>
  <c r="CQ222" i="1"/>
  <c r="P222" i="1" s="1"/>
  <c r="CR222" i="1"/>
  <c r="CU222" i="1"/>
  <c r="CV222" i="1"/>
  <c r="CY222" i="1"/>
  <c r="X222" i="1" s="1"/>
  <c r="FR222" i="1"/>
  <c r="GL222" i="1"/>
  <c r="GO222" i="1"/>
  <c r="GP222" i="1"/>
  <c r="GV222" i="1"/>
  <c r="GX222" i="1" s="1"/>
  <c r="I223" i="1"/>
  <c r="S223" i="1"/>
  <c r="CZ223" i="1" s="1"/>
  <c r="Y223" i="1" s="1"/>
  <c r="AC223" i="1"/>
  <c r="AB223" i="1" s="1"/>
  <c r="AD223" i="1"/>
  <c r="CR223" i="1" s="1"/>
  <c r="Q223" i="1" s="1"/>
  <c r="AE223" i="1"/>
  <c r="CS223" i="1" s="1"/>
  <c r="R223" i="1" s="1"/>
  <c r="GK223" i="1" s="1"/>
  <c r="AF223" i="1"/>
  <c r="AG223" i="1"/>
  <c r="AH223" i="1"/>
  <c r="CV223" i="1" s="1"/>
  <c r="U223" i="1" s="1"/>
  <c r="AI223" i="1"/>
  <c r="CW223" i="1" s="1"/>
  <c r="V223" i="1" s="1"/>
  <c r="AJ223" i="1"/>
  <c r="CT223" i="1"/>
  <c r="CU223" i="1"/>
  <c r="T223" i="1" s="1"/>
  <c r="CX223" i="1"/>
  <c r="W223" i="1" s="1"/>
  <c r="FR223" i="1"/>
  <c r="GL223" i="1"/>
  <c r="GO223" i="1"/>
  <c r="GP223" i="1"/>
  <c r="GV223" i="1"/>
  <c r="GX223" i="1" s="1"/>
  <c r="I224" i="1"/>
  <c r="R224" i="1"/>
  <c r="GK224" i="1" s="1"/>
  <c r="AB224" i="1"/>
  <c r="AC224" i="1"/>
  <c r="CQ224" i="1" s="1"/>
  <c r="P224" i="1" s="1"/>
  <c r="AD224" i="1"/>
  <c r="CR224" i="1" s="1"/>
  <c r="Q224" i="1" s="1"/>
  <c r="AE224" i="1"/>
  <c r="AF224" i="1"/>
  <c r="AG224" i="1"/>
  <c r="CU224" i="1" s="1"/>
  <c r="T224" i="1" s="1"/>
  <c r="AH224" i="1"/>
  <c r="CV224" i="1" s="1"/>
  <c r="U224" i="1" s="1"/>
  <c r="AI224" i="1"/>
  <c r="AJ224" i="1"/>
  <c r="CS224" i="1"/>
  <c r="CT224" i="1"/>
  <c r="S224" i="1" s="1"/>
  <c r="CW224" i="1"/>
  <c r="V224" i="1" s="1"/>
  <c r="CX224" i="1"/>
  <c r="W224" i="1" s="1"/>
  <c r="FR224" i="1"/>
  <c r="GL224" i="1"/>
  <c r="GO224" i="1"/>
  <c r="GP224" i="1"/>
  <c r="GV224" i="1"/>
  <c r="GX224" i="1"/>
  <c r="I225" i="1"/>
  <c r="Q225" i="1"/>
  <c r="AC225" i="1"/>
  <c r="CQ225" i="1" s="1"/>
  <c r="AD225" i="1"/>
  <c r="AE225" i="1"/>
  <c r="AF225" i="1"/>
  <c r="CT225" i="1" s="1"/>
  <c r="S225" i="1" s="1"/>
  <c r="AG225" i="1"/>
  <c r="CU225" i="1" s="1"/>
  <c r="T225" i="1" s="1"/>
  <c r="AH225" i="1"/>
  <c r="AI225" i="1"/>
  <c r="AJ225" i="1"/>
  <c r="CX225" i="1" s="1"/>
  <c r="W225" i="1" s="1"/>
  <c r="CR225" i="1"/>
  <c r="CS225" i="1"/>
  <c r="R225" i="1" s="1"/>
  <c r="GK225" i="1" s="1"/>
  <c r="CV225" i="1"/>
  <c r="U225" i="1" s="1"/>
  <c r="CW225" i="1"/>
  <c r="V225" i="1" s="1"/>
  <c r="FR225" i="1"/>
  <c r="GL225" i="1"/>
  <c r="GO225" i="1"/>
  <c r="GP225" i="1"/>
  <c r="GV225" i="1"/>
  <c r="GX225" i="1"/>
  <c r="I226" i="1"/>
  <c r="P226" i="1"/>
  <c r="Y226" i="1"/>
  <c r="AC226" i="1"/>
  <c r="AD226" i="1"/>
  <c r="AB226" i="1" s="1"/>
  <c r="AE226" i="1"/>
  <c r="CS226" i="1" s="1"/>
  <c r="R226" i="1" s="1"/>
  <c r="GK226" i="1" s="1"/>
  <c r="AF226" i="1"/>
  <c r="CT226" i="1" s="1"/>
  <c r="S226" i="1" s="1"/>
  <c r="CY226" i="1" s="1"/>
  <c r="X226" i="1" s="1"/>
  <c r="AG226" i="1"/>
  <c r="AH226" i="1"/>
  <c r="CV226" i="1" s="1"/>
  <c r="U226" i="1" s="1"/>
  <c r="AI226" i="1"/>
  <c r="CW226" i="1" s="1"/>
  <c r="V226" i="1" s="1"/>
  <c r="AJ226" i="1"/>
  <c r="CX226" i="1" s="1"/>
  <c r="W226" i="1" s="1"/>
  <c r="CQ226" i="1"/>
  <c r="CR226" i="1"/>
  <c r="Q226" i="1" s="1"/>
  <c r="CU226" i="1"/>
  <c r="T226" i="1" s="1"/>
  <c r="CZ226" i="1"/>
  <c r="FR226" i="1"/>
  <c r="GL226" i="1"/>
  <c r="GO226" i="1"/>
  <c r="GP226" i="1"/>
  <c r="GV226" i="1"/>
  <c r="GX226" i="1" s="1"/>
  <c r="C227" i="1"/>
  <c r="D227" i="1"/>
  <c r="I227" i="1"/>
  <c r="I229" i="1" s="1"/>
  <c r="U227" i="1"/>
  <c r="AC227" i="1"/>
  <c r="CQ227" i="1" s="1"/>
  <c r="AD227" i="1"/>
  <c r="AE227" i="1"/>
  <c r="CS227" i="1" s="1"/>
  <c r="R227" i="1" s="1"/>
  <c r="GK227" i="1" s="1"/>
  <c r="AF227" i="1"/>
  <c r="CT227" i="1" s="1"/>
  <c r="S227" i="1" s="1"/>
  <c r="CY227" i="1" s="1"/>
  <c r="X227" i="1" s="1"/>
  <c r="AG227" i="1"/>
  <c r="CU227" i="1" s="1"/>
  <c r="AH227" i="1"/>
  <c r="AI227" i="1"/>
  <c r="AJ227" i="1"/>
  <c r="CX227" i="1" s="1"/>
  <c r="W227" i="1" s="1"/>
  <c r="CR227" i="1"/>
  <c r="CV227" i="1"/>
  <c r="CW227" i="1"/>
  <c r="V227" i="1" s="1"/>
  <c r="FR227" i="1"/>
  <c r="BY238" i="1" s="1"/>
  <c r="GL227" i="1"/>
  <c r="GO227" i="1"/>
  <c r="GP227" i="1"/>
  <c r="GV227" i="1"/>
  <c r="GX227" i="1"/>
  <c r="C228" i="1"/>
  <c r="D228" i="1"/>
  <c r="I228" i="1"/>
  <c r="R228" i="1"/>
  <c r="GK228" i="1" s="1"/>
  <c r="AB228" i="1"/>
  <c r="AC228" i="1"/>
  <c r="CQ228" i="1" s="1"/>
  <c r="P228" i="1" s="1"/>
  <c r="AD228" i="1"/>
  <c r="CR228" i="1" s="1"/>
  <c r="Q228" i="1" s="1"/>
  <c r="AE228" i="1"/>
  <c r="AF228" i="1"/>
  <c r="AG228" i="1"/>
  <c r="CU228" i="1" s="1"/>
  <c r="T228" i="1" s="1"/>
  <c r="AH228" i="1"/>
  <c r="CV228" i="1" s="1"/>
  <c r="U228" i="1" s="1"/>
  <c r="AI228" i="1"/>
  <c r="AJ228" i="1"/>
  <c r="CX228" i="1" s="1"/>
  <c r="W228" i="1" s="1"/>
  <c r="CS228" i="1"/>
  <c r="CT228" i="1"/>
  <c r="S228" i="1" s="1"/>
  <c r="CW228" i="1"/>
  <c r="V228" i="1" s="1"/>
  <c r="FR228" i="1"/>
  <c r="GL228" i="1"/>
  <c r="GO228" i="1"/>
  <c r="FU238" i="1" s="1"/>
  <c r="GP228" i="1"/>
  <c r="GV228" i="1"/>
  <c r="GX228" i="1"/>
  <c r="V229" i="1"/>
  <c r="AB229" i="1"/>
  <c r="AC229" i="1"/>
  <c r="CQ229" i="1" s="1"/>
  <c r="AD229" i="1"/>
  <c r="AE229" i="1"/>
  <c r="AF229" i="1"/>
  <c r="AG229" i="1"/>
  <c r="CU229" i="1" s="1"/>
  <c r="T229" i="1" s="1"/>
  <c r="AH229" i="1"/>
  <c r="AI229" i="1"/>
  <c r="AJ229" i="1"/>
  <c r="CX229" i="1" s="1"/>
  <c r="W229" i="1" s="1"/>
  <c r="CR229" i="1"/>
  <c r="CS229" i="1"/>
  <c r="R229" i="1" s="1"/>
  <c r="GK229" i="1" s="1"/>
  <c r="CT229" i="1"/>
  <c r="CV229" i="1"/>
  <c r="CW229" i="1"/>
  <c r="FR229" i="1"/>
  <c r="GL229" i="1"/>
  <c r="GO229" i="1"/>
  <c r="GP229" i="1"/>
  <c r="GV229" i="1"/>
  <c r="I230" i="1"/>
  <c r="P230" i="1" s="1"/>
  <c r="V230" i="1"/>
  <c r="AC230" i="1"/>
  <c r="AD230" i="1"/>
  <c r="AB230" i="1" s="1"/>
  <c r="AE230" i="1"/>
  <c r="AF230" i="1"/>
  <c r="CT230" i="1" s="1"/>
  <c r="AG230" i="1"/>
  <c r="AH230" i="1"/>
  <c r="CV230" i="1" s="1"/>
  <c r="U230" i="1" s="1"/>
  <c r="AI230" i="1"/>
  <c r="CW230" i="1" s="1"/>
  <c r="AJ230" i="1"/>
  <c r="CX230" i="1" s="1"/>
  <c r="W230" i="1" s="1"/>
  <c r="CQ230" i="1"/>
  <c r="CR230" i="1"/>
  <c r="Q230" i="1" s="1"/>
  <c r="CS230" i="1"/>
  <c r="CU230" i="1"/>
  <c r="FR230" i="1"/>
  <c r="GL230" i="1"/>
  <c r="FR238" i="1" s="1"/>
  <c r="FR181" i="1" s="1"/>
  <c r="GO230" i="1"/>
  <c r="GP230" i="1"/>
  <c r="GV230" i="1"/>
  <c r="AC231" i="1"/>
  <c r="AD231" i="1"/>
  <c r="AE231" i="1"/>
  <c r="CS231" i="1" s="1"/>
  <c r="AF231" i="1"/>
  <c r="AG231" i="1"/>
  <c r="CU231" i="1" s="1"/>
  <c r="AH231" i="1"/>
  <c r="CV231" i="1" s="1"/>
  <c r="AI231" i="1"/>
  <c r="CW231" i="1" s="1"/>
  <c r="AJ231" i="1"/>
  <c r="CQ231" i="1"/>
  <c r="CR231" i="1"/>
  <c r="CT231" i="1"/>
  <c r="CX231" i="1"/>
  <c r="FR231" i="1"/>
  <c r="GL231" i="1"/>
  <c r="GO231" i="1"/>
  <c r="GP231" i="1"/>
  <c r="GV231" i="1"/>
  <c r="I232" i="1"/>
  <c r="U232" i="1" s="1"/>
  <c r="V232" i="1"/>
  <c r="AC232" i="1"/>
  <c r="AD232" i="1"/>
  <c r="CR232" i="1" s="1"/>
  <c r="Q232" i="1" s="1"/>
  <c r="AE232" i="1"/>
  <c r="AF232" i="1"/>
  <c r="CT232" i="1" s="1"/>
  <c r="S232" i="1" s="1"/>
  <c r="CY232" i="1" s="1"/>
  <c r="X232" i="1" s="1"/>
  <c r="AG232" i="1"/>
  <c r="CU232" i="1" s="1"/>
  <c r="T232" i="1" s="1"/>
  <c r="AH232" i="1"/>
  <c r="AI232" i="1"/>
  <c r="AJ232" i="1"/>
  <c r="CQ232" i="1"/>
  <c r="P232" i="1" s="1"/>
  <c r="CP232" i="1" s="1"/>
  <c r="O232" i="1" s="1"/>
  <c r="CS232" i="1"/>
  <c r="R232" i="1" s="1"/>
  <c r="CV232" i="1"/>
  <c r="CW232" i="1"/>
  <c r="CX232" i="1"/>
  <c r="W232" i="1" s="1"/>
  <c r="CZ232" i="1"/>
  <c r="Y232" i="1" s="1"/>
  <c r="FR232" i="1"/>
  <c r="GK232" i="1"/>
  <c r="GL232" i="1"/>
  <c r="GO232" i="1"/>
  <c r="GP232" i="1"/>
  <c r="GV232" i="1"/>
  <c r="GX232" i="1" s="1"/>
  <c r="C233" i="1"/>
  <c r="D233" i="1"/>
  <c r="T233" i="1"/>
  <c r="U233" i="1"/>
  <c r="AB233" i="1"/>
  <c r="AC233" i="1"/>
  <c r="AD233" i="1"/>
  <c r="CR233" i="1" s="1"/>
  <c r="Q233" i="1" s="1"/>
  <c r="AE233" i="1"/>
  <c r="CS233" i="1" s="1"/>
  <c r="R233" i="1" s="1"/>
  <c r="GK233" i="1" s="1"/>
  <c r="AF233" i="1"/>
  <c r="CT233" i="1" s="1"/>
  <c r="S233" i="1" s="1"/>
  <c r="CZ233" i="1" s="1"/>
  <c r="Y233" i="1" s="1"/>
  <c r="AG233" i="1"/>
  <c r="AH233" i="1"/>
  <c r="AI233" i="1"/>
  <c r="AJ233" i="1"/>
  <c r="CX233" i="1" s="1"/>
  <c r="W233" i="1" s="1"/>
  <c r="CQ233" i="1"/>
  <c r="P233" i="1" s="1"/>
  <c r="CU233" i="1"/>
  <c r="CV233" i="1"/>
  <c r="CW233" i="1"/>
  <c r="V233" i="1" s="1"/>
  <c r="FR233" i="1"/>
  <c r="GL233" i="1"/>
  <c r="GO233" i="1"/>
  <c r="GP233" i="1"/>
  <c r="GV233" i="1"/>
  <c r="GX233" i="1" s="1"/>
  <c r="C234" i="1"/>
  <c r="D234" i="1"/>
  <c r="R234" i="1"/>
  <c r="GK234" i="1" s="1"/>
  <c r="W234" i="1"/>
  <c r="AB234" i="1"/>
  <c r="AC234" i="1"/>
  <c r="CQ234" i="1" s="1"/>
  <c r="P234" i="1" s="1"/>
  <c r="CP234" i="1" s="1"/>
  <c r="O234" i="1" s="1"/>
  <c r="AD234" i="1"/>
  <c r="CR234" i="1" s="1"/>
  <c r="Q234" i="1" s="1"/>
  <c r="AE234" i="1"/>
  <c r="AF234" i="1"/>
  <c r="AG234" i="1"/>
  <c r="CU234" i="1" s="1"/>
  <c r="T234" i="1" s="1"/>
  <c r="AH234" i="1"/>
  <c r="AI234" i="1"/>
  <c r="CW234" i="1" s="1"/>
  <c r="V234" i="1" s="1"/>
  <c r="AJ234" i="1"/>
  <c r="CS234" i="1"/>
  <c r="CT234" i="1"/>
  <c r="S234" i="1" s="1"/>
  <c r="CV234" i="1"/>
  <c r="U234" i="1" s="1"/>
  <c r="CX234" i="1"/>
  <c r="FR234" i="1"/>
  <c r="GL234" i="1"/>
  <c r="GO234" i="1"/>
  <c r="GP234" i="1"/>
  <c r="GV234" i="1"/>
  <c r="GX234" i="1"/>
  <c r="I235" i="1"/>
  <c r="Q235" i="1" s="1"/>
  <c r="R235" i="1"/>
  <c r="GK235" i="1" s="1"/>
  <c r="W235" i="1"/>
  <c r="AB235" i="1"/>
  <c r="AC235" i="1"/>
  <c r="CQ235" i="1" s="1"/>
  <c r="P235" i="1" s="1"/>
  <c r="AD235" i="1"/>
  <c r="AE235" i="1"/>
  <c r="AF235" i="1"/>
  <c r="AG235" i="1"/>
  <c r="CU235" i="1" s="1"/>
  <c r="T235" i="1" s="1"/>
  <c r="AH235" i="1"/>
  <c r="AI235" i="1"/>
  <c r="AJ235" i="1"/>
  <c r="CX235" i="1" s="1"/>
  <c r="CR235" i="1"/>
  <c r="CS235" i="1"/>
  <c r="CT235" i="1"/>
  <c r="S235" i="1" s="1"/>
  <c r="CV235" i="1"/>
  <c r="U235" i="1" s="1"/>
  <c r="CW235" i="1"/>
  <c r="V235" i="1" s="1"/>
  <c r="FR235" i="1"/>
  <c r="GL235" i="1"/>
  <c r="GO235" i="1"/>
  <c r="GP235" i="1"/>
  <c r="GV235" i="1"/>
  <c r="GX235" i="1"/>
  <c r="I236" i="1"/>
  <c r="Q236" i="1"/>
  <c r="V236" i="1"/>
  <c r="W236" i="1"/>
  <c r="AC236" i="1"/>
  <c r="AB236" i="1" s="1"/>
  <c r="AD236" i="1"/>
  <c r="AE236" i="1"/>
  <c r="AF236" i="1"/>
  <c r="AG236" i="1"/>
  <c r="AH236" i="1"/>
  <c r="AI236" i="1"/>
  <c r="CW236" i="1" s="1"/>
  <c r="AJ236" i="1"/>
  <c r="CQ236" i="1"/>
  <c r="P236" i="1" s="1"/>
  <c r="CR236" i="1"/>
  <c r="CS236" i="1"/>
  <c r="R236" i="1" s="1"/>
  <c r="GK236" i="1" s="1"/>
  <c r="CT236" i="1"/>
  <c r="CU236" i="1"/>
  <c r="T236" i="1" s="1"/>
  <c r="CV236" i="1"/>
  <c r="U236" i="1" s="1"/>
  <c r="CX236" i="1"/>
  <c r="FR236" i="1"/>
  <c r="GL236" i="1"/>
  <c r="GO236" i="1"/>
  <c r="GP236" i="1"/>
  <c r="GV236" i="1"/>
  <c r="GX236" i="1"/>
  <c r="B238" i="1"/>
  <c r="B181" i="1" s="1"/>
  <c r="C238" i="1"/>
  <c r="C181" i="1" s="1"/>
  <c r="D238" i="1"/>
  <c r="D181" i="1" s="1"/>
  <c r="F238" i="1"/>
  <c r="F181" i="1" s="1"/>
  <c r="G238" i="1"/>
  <c r="G181" i="1" s="1"/>
  <c r="AO238" i="1"/>
  <c r="AO181" i="1" s="1"/>
  <c r="AU238" i="1"/>
  <c r="AU181" i="1" s="1"/>
  <c r="BC238" i="1"/>
  <c r="BC181" i="1" s="1"/>
  <c r="BX238" i="1"/>
  <c r="BX181" i="1" s="1"/>
  <c r="BZ238" i="1"/>
  <c r="BZ181" i="1" s="1"/>
  <c r="CD238" i="1"/>
  <c r="CD181" i="1" s="1"/>
  <c r="CG238" i="1"/>
  <c r="CG181" i="1" s="1"/>
  <c r="CK238" i="1"/>
  <c r="CK181" i="1" s="1"/>
  <c r="CL238" i="1"/>
  <c r="CL181" i="1" s="1"/>
  <c r="EG238" i="1"/>
  <c r="EG181" i="1" s="1"/>
  <c r="FP238" i="1"/>
  <c r="FP181" i="1" s="1"/>
  <c r="FQ238" i="1"/>
  <c r="FQ181" i="1" s="1"/>
  <c r="FV238" i="1"/>
  <c r="FV181" i="1" s="1"/>
  <c r="FY238" i="1"/>
  <c r="GC238" i="1"/>
  <c r="GD238" i="1"/>
  <c r="GD181" i="1" s="1"/>
  <c r="F242" i="1"/>
  <c r="F254" i="1"/>
  <c r="F257" i="1"/>
  <c r="D267" i="1"/>
  <c r="E269" i="1"/>
  <c r="Z269" i="1"/>
  <c r="AA269" i="1"/>
  <c r="AM269" i="1"/>
  <c r="AN269" i="1"/>
  <c r="BD269" i="1"/>
  <c r="BE269" i="1"/>
  <c r="BF269" i="1"/>
  <c r="BG269" i="1"/>
  <c r="BH269" i="1"/>
  <c r="BI269" i="1"/>
  <c r="BJ269" i="1"/>
  <c r="BK269" i="1"/>
  <c r="BL269" i="1"/>
  <c r="BM269" i="1"/>
  <c r="BN269" i="1"/>
  <c r="BO269" i="1"/>
  <c r="BP269" i="1"/>
  <c r="BQ269" i="1"/>
  <c r="BR269" i="1"/>
  <c r="BS269" i="1"/>
  <c r="BT269" i="1"/>
  <c r="BU269" i="1"/>
  <c r="BV269" i="1"/>
  <c r="BW269" i="1"/>
  <c r="CM269" i="1"/>
  <c r="CN269" i="1"/>
  <c r="CO269" i="1"/>
  <c r="CP269" i="1"/>
  <c r="CQ269" i="1"/>
  <c r="CR269" i="1"/>
  <c r="CS269" i="1"/>
  <c r="CT269" i="1"/>
  <c r="CU269" i="1"/>
  <c r="CV269" i="1"/>
  <c r="CW269" i="1"/>
  <c r="CX269" i="1"/>
  <c r="CY269" i="1"/>
  <c r="CZ269" i="1"/>
  <c r="DA269" i="1"/>
  <c r="DB269" i="1"/>
  <c r="DC269" i="1"/>
  <c r="DD269" i="1"/>
  <c r="DE269" i="1"/>
  <c r="DF269" i="1"/>
  <c r="DR269" i="1"/>
  <c r="DS269" i="1"/>
  <c r="EE269" i="1"/>
  <c r="EF269" i="1"/>
  <c r="EV269" i="1"/>
  <c r="EW269" i="1"/>
  <c r="EX269" i="1"/>
  <c r="EY269" i="1"/>
  <c r="EZ269" i="1"/>
  <c r="FA269" i="1"/>
  <c r="FB269" i="1"/>
  <c r="FC269" i="1"/>
  <c r="FD269" i="1"/>
  <c r="FE269" i="1"/>
  <c r="FF269" i="1"/>
  <c r="FG269" i="1"/>
  <c r="FH269" i="1"/>
  <c r="FI269" i="1"/>
  <c r="FJ269" i="1"/>
  <c r="FK269" i="1"/>
  <c r="FL269" i="1"/>
  <c r="FM269" i="1"/>
  <c r="FN269" i="1"/>
  <c r="FO269" i="1"/>
  <c r="GE269" i="1"/>
  <c r="GF269" i="1"/>
  <c r="GG269" i="1"/>
  <c r="GH269" i="1"/>
  <c r="GI269" i="1"/>
  <c r="GJ269" i="1"/>
  <c r="GK269" i="1"/>
  <c r="GL269" i="1"/>
  <c r="GM269" i="1"/>
  <c r="GN269" i="1"/>
  <c r="GO269" i="1"/>
  <c r="GP269" i="1"/>
  <c r="GQ269" i="1"/>
  <c r="GR269" i="1"/>
  <c r="GS269" i="1"/>
  <c r="GT269" i="1"/>
  <c r="GU269" i="1"/>
  <c r="GV269" i="1"/>
  <c r="GW269" i="1"/>
  <c r="GX269" i="1"/>
  <c r="C271" i="1"/>
  <c r="D271" i="1"/>
  <c r="I271" i="1"/>
  <c r="S271" i="1"/>
  <c r="CY271" i="1" s="1"/>
  <c r="X271" i="1" s="1"/>
  <c r="W271" i="1"/>
  <c r="AC271" i="1"/>
  <c r="AD271" i="1"/>
  <c r="AE271" i="1"/>
  <c r="CS271" i="1" s="1"/>
  <c r="R271" i="1" s="1"/>
  <c r="AF271" i="1"/>
  <c r="AG271" i="1"/>
  <c r="CU271" i="1" s="1"/>
  <c r="T271" i="1" s="1"/>
  <c r="AH271" i="1"/>
  <c r="CV271" i="1" s="1"/>
  <c r="U271" i="1" s="1"/>
  <c r="AI271" i="1"/>
  <c r="AJ271" i="1"/>
  <c r="CR271" i="1"/>
  <c r="Q271" i="1" s="1"/>
  <c r="CT271" i="1"/>
  <c r="CW271" i="1"/>
  <c r="V271" i="1" s="1"/>
  <c r="CX271" i="1"/>
  <c r="FR271" i="1"/>
  <c r="GK271" i="1"/>
  <c r="GL271" i="1"/>
  <c r="GO271" i="1"/>
  <c r="GP271" i="1"/>
  <c r="GV271" i="1"/>
  <c r="GX271" i="1" s="1"/>
  <c r="C272" i="1"/>
  <c r="D272" i="1"/>
  <c r="I272" i="1"/>
  <c r="P272" i="1"/>
  <c r="T272" i="1"/>
  <c r="AB272" i="1"/>
  <c r="AC272" i="1"/>
  <c r="AD272" i="1"/>
  <c r="AE272" i="1"/>
  <c r="CS272" i="1" s="1"/>
  <c r="R272" i="1" s="1"/>
  <c r="AF272" i="1"/>
  <c r="AG272" i="1"/>
  <c r="AH272" i="1"/>
  <c r="CV272" i="1" s="1"/>
  <c r="U272" i="1" s="1"/>
  <c r="AI272" i="1"/>
  <c r="AJ272" i="1"/>
  <c r="CX272" i="1" s="1"/>
  <c r="W272" i="1" s="1"/>
  <c r="CQ272" i="1"/>
  <c r="CR272" i="1"/>
  <c r="Q272" i="1" s="1"/>
  <c r="CT272" i="1"/>
  <c r="S272" i="1" s="1"/>
  <c r="CY272" i="1" s="1"/>
  <c r="X272" i="1" s="1"/>
  <c r="CU272" i="1"/>
  <c r="CW272" i="1"/>
  <c r="V272" i="1" s="1"/>
  <c r="FR272" i="1"/>
  <c r="GL272" i="1"/>
  <c r="GO272" i="1"/>
  <c r="GP272" i="1"/>
  <c r="GV272" i="1"/>
  <c r="GX272" i="1" s="1"/>
  <c r="I273" i="1"/>
  <c r="Q273" i="1"/>
  <c r="S273" i="1"/>
  <c r="CZ273" i="1" s="1"/>
  <c r="Y273" i="1" s="1"/>
  <c r="W273" i="1"/>
  <c r="AC273" i="1"/>
  <c r="AB273" i="1" s="1"/>
  <c r="AD273" i="1"/>
  <c r="CR273" i="1" s="1"/>
  <c r="AE273" i="1"/>
  <c r="AF273" i="1"/>
  <c r="AG273" i="1"/>
  <c r="CU273" i="1" s="1"/>
  <c r="T273" i="1" s="1"/>
  <c r="AH273" i="1"/>
  <c r="AI273" i="1"/>
  <c r="CW273" i="1" s="1"/>
  <c r="V273" i="1" s="1"/>
  <c r="AJ273" i="1"/>
  <c r="CS273" i="1"/>
  <c r="R273" i="1" s="1"/>
  <c r="GK273" i="1" s="1"/>
  <c r="CT273" i="1"/>
  <c r="CV273" i="1"/>
  <c r="U273" i="1" s="1"/>
  <c r="CX273" i="1"/>
  <c r="CY273" i="1"/>
  <c r="X273" i="1" s="1"/>
  <c r="FR273" i="1"/>
  <c r="GL273" i="1"/>
  <c r="GO273" i="1"/>
  <c r="GP273" i="1"/>
  <c r="GV273" i="1"/>
  <c r="GX273" i="1"/>
  <c r="I274" i="1"/>
  <c r="S274" i="1"/>
  <c r="AC274" i="1"/>
  <c r="CQ274" i="1" s="1"/>
  <c r="P274" i="1" s="1"/>
  <c r="AD274" i="1"/>
  <c r="AE274" i="1"/>
  <c r="AF274" i="1"/>
  <c r="CT274" i="1" s="1"/>
  <c r="AG274" i="1"/>
  <c r="AH274" i="1"/>
  <c r="CV274" i="1" s="1"/>
  <c r="U274" i="1" s="1"/>
  <c r="AI274" i="1"/>
  <c r="AJ274" i="1"/>
  <c r="CR274" i="1"/>
  <c r="Q274" i="1" s="1"/>
  <c r="CS274" i="1"/>
  <c r="R274" i="1" s="1"/>
  <c r="GK274" i="1" s="1"/>
  <c r="CU274" i="1"/>
  <c r="CW274" i="1"/>
  <c r="V274" i="1" s="1"/>
  <c r="CX274" i="1"/>
  <c r="W274" i="1" s="1"/>
  <c r="FR274" i="1"/>
  <c r="GL274" i="1"/>
  <c r="GO274" i="1"/>
  <c r="GP274" i="1"/>
  <c r="GV274" i="1"/>
  <c r="GX274" i="1"/>
  <c r="C275" i="1"/>
  <c r="D275" i="1"/>
  <c r="I275" i="1"/>
  <c r="W275" i="1"/>
  <c r="AC275" i="1"/>
  <c r="AD275" i="1"/>
  <c r="AE275" i="1"/>
  <c r="CS275" i="1" s="1"/>
  <c r="R275" i="1" s="1"/>
  <c r="AF275" i="1"/>
  <c r="AG275" i="1"/>
  <c r="CU275" i="1" s="1"/>
  <c r="T275" i="1" s="1"/>
  <c r="AH275" i="1"/>
  <c r="CV275" i="1" s="1"/>
  <c r="U275" i="1" s="1"/>
  <c r="AI275" i="1"/>
  <c r="AJ275" i="1"/>
  <c r="CR275" i="1"/>
  <c r="Q275" i="1" s="1"/>
  <c r="CT275" i="1"/>
  <c r="S275" i="1" s="1"/>
  <c r="CW275" i="1"/>
  <c r="V275" i="1" s="1"/>
  <c r="CX275" i="1"/>
  <c r="FR275" i="1"/>
  <c r="GL275" i="1"/>
  <c r="GO275" i="1"/>
  <c r="GP275" i="1"/>
  <c r="GV275" i="1"/>
  <c r="GX275" i="1" s="1"/>
  <c r="C276" i="1"/>
  <c r="D276" i="1"/>
  <c r="I276" i="1"/>
  <c r="T276" i="1"/>
  <c r="AC276" i="1"/>
  <c r="AD276" i="1"/>
  <c r="AB276" i="1" s="1"/>
  <c r="AE276" i="1"/>
  <c r="CS276" i="1" s="1"/>
  <c r="R276" i="1" s="1"/>
  <c r="GK276" i="1" s="1"/>
  <c r="AF276" i="1"/>
  <c r="AG276" i="1"/>
  <c r="AH276" i="1"/>
  <c r="CV276" i="1" s="1"/>
  <c r="U276" i="1" s="1"/>
  <c r="AI276" i="1"/>
  <c r="AJ276" i="1"/>
  <c r="CX276" i="1" s="1"/>
  <c r="W276" i="1" s="1"/>
  <c r="CQ276" i="1"/>
  <c r="P276" i="1" s="1"/>
  <c r="CP276" i="1" s="1"/>
  <c r="O276" i="1" s="1"/>
  <c r="CR276" i="1"/>
  <c r="Q276" i="1" s="1"/>
  <c r="CT276" i="1"/>
  <c r="S276" i="1" s="1"/>
  <c r="CY276" i="1" s="1"/>
  <c r="X276" i="1" s="1"/>
  <c r="CU276" i="1"/>
  <c r="CW276" i="1"/>
  <c r="V276" i="1" s="1"/>
  <c r="CZ276" i="1"/>
  <c r="Y276" i="1" s="1"/>
  <c r="FR276" i="1"/>
  <c r="GL276" i="1"/>
  <c r="GO276" i="1"/>
  <c r="GP276" i="1"/>
  <c r="GV276" i="1"/>
  <c r="GX276" i="1" s="1"/>
  <c r="GB296" i="1" s="1"/>
  <c r="I277" i="1"/>
  <c r="S277" i="1"/>
  <c r="CZ277" i="1" s="1"/>
  <c r="Y277" i="1" s="1"/>
  <c r="W277" i="1"/>
  <c r="AC277" i="1"/>
  <c r="AB277" i="1" s="1"/>
  <c r="AD277" i="1"/>
  <c r="CR277" i="1" s="1"/>
  <c r="Q277" i="1" s="1"/>
  <c r="AE277" i="1"/>
  <c r="AF277" i="1"/>
  <c r="AG277" i="1"/>
  <c r="CU277" i="1" s="1"/>
  <c r="T277" i="1" s="1"/>
  <c r="AH277" i="1"/>
  <c r="AI277" i="1"/>
  <c r="CW277" i="1" s="1"/>
  <c r="V277" i="1" s="1"/>
  <c r="AJ277" i="1"/>
  <c r="CS277" i="1"/>
  <c r="R277" i="1" s="1"/>
  <c r="CT277" i="1"/>
  <c r="CV277" i="1"/>
  <c r="U277" i="1" s="1"/>
  <c r="CX277" i="1"/>
  <c r="FR277" i="1"/>
  <c r="GK277" i="1"/>
  <c r="GL277" i="1"/>
  <c r="GO277" i="1"/>
  <c r="GP277" i="1"/>
  <c r="CD296" i="1" s="1"/>
  <c r="CD269" i="1" s="1"/>
  <c r="GV277" i="1"/>
  <c r="GX277" i="1"/>
  <c r="I278" i="1"/>
  <c r="P278" i="1"/>
  <c r="CP278" i="1" s="1"/>
  <c r="O278" i="1" s="1"/>
  <c r="S278" i="1"/>
  <c r="AC278" i="1"/>
  <c r="CQ278" i="1" s="1"/>
  <c r="AD278" i="1"/>
  <c r="AE278" i="1"/>
  <c r="AF278" i="1"/>
  <c r="CT278" i="1" s="1"/>
  <c r="AG278" i="1"/>
  <c r="AH278" i="1"/>
  <c r="CV278" i="1" s="1"/>
  <c r="U278" i="1" s="1"/>
  <c r="AI278" i="1"/>
  <c r="AJ278" i="1"/>
  <c r="CX278" i="1" s="1"/>
  <c r="W278" i="1" s="1"/>
  <c r="CR278" i="1"/>
  <c r="Q278" i="1" s="1"/>
  <c r="CS278" i="1"/>
  <c r="R278" i="1" s="1"/>
  <c r="GK278" i="1" s="1"/>
  <c r="CU278" i="1"/>
  <c r="T278" i="1" s="1"/>
  <c r="CW278" i="1"/>
  <c r="V278" i="1" s="1"/>
  <c r="FR278" i="1"/>
  <c r="GL278" i="1"/>
  <c r="GO278" i="1"/>
  <c r="GP278" i="1"/>
  <c r="GV278" i="1"/>
  <c r="GX278" i="1"/>
  <c r="I279" i="1"/>
  <c r="R279" i="1"/>
  <c r="W279" i="1"/>
  <c r="AB279" i="1"/>
  <c r="AC279" i="1"/>
  <c r="AD279" i="1"/>
  <c r="AE279" i="1"/>
  <c r="CS279" i="1" s="1"/>
  <c r="AF279" i="1"/>
  <c r="AG279" i="1"/>
  <c r="CU279" i="1" s="1"/>
  <c r="T279" i="1" s="1"/>
  <c r="AH279" i="1"/>
  <c r="AI279" i="1"/>
  <c r="CW279" i="1" s="1"/>
  <c r="V279" i="1" s="1"/>
  <c r="AJ279" i="1"/>
  <c r="CX279" i="1" s="1"/>
  <c r="CQ279" i="1"/>
  <c r="P279" i="1" s="1"/>
  <c r="CR279" i="1"/>
  <c r="Q279" i="1" s="1"/>
  <c r="CT279" i="1"/>
  <c r="S279" i="1" s="1"/>
  <c r="CY279" i="1" s="1"/>
  <c r="X279" i="1" s="1"/>
  <c r="CV279" i="1"/>
  <c r="U279" i="1" s="1"/>
  <c r="CZ279" i="1"/>
  <c r="Y279" i="1" s="1"/>
  <c r="FR279" i="1"/>
  <c r="GK279" i="1"/>
  <c r="GL279" i="1"/>
  <c r="GO279" i="1"/>
  <c r="GP279" i="1"/>
  <c r="GV279" i="1"/>
  <c r="GX279" i="1" s="1"/>
  <c r="I280" i="1"/>
  <c r="T280" i="1"/>
  <c r="AC280" i="1"/>
  <c r="AB280" i="1" s="1"/>
  <c r="AD280" i="1"/>
  <c r="CR280" i="1" s="1"/>
  <c r="Q280" i="1" s="1"/>
  <c r="AE280" i="1"/>
  <c r="AF280" i="1"/>
  <c r="CT280" i="1" s="1"/>
  <c r="AG280" i="1"/>
  <c r="AH280" i="1"/>
  <c r="CV280" i="1" s="1"/>
  <c r="U280" i="1" s="1"/>
  <c r="AI280" i="1"/>
  <c r="CW280" i="1" s="1"/>
  <c r="V280" i="1" s="1"/>
  <c r="AJ280" i="1"/>
  <c r="CQ280" i="1"/>
  <c r="P280" i="1" s="1"/>
  <c r="CS280" i="1"/>
  <c r="R280" i="1" s="1"/>
  <c r="GK280" i="1" s="1"/>
  <c r="CU280" i="1"/>
  <c r="CX280" i="1"/>
  <c r="W280" i="1" s="1"/>
  <c r="FR280" i="1"/>
  <c r="GL280" i="1"/>
  <c r="GO280" i="1"/>
  <c r="GP280" i="1"/>
  <c r="GV280" i="1"/>
  <c r="GX280" i="1"/>
  <c r="C281" i="1"/>
  <c r="D281" i="1"/>
  <c r="I281" i="1"/>
  <c r="V281" i="1"/>
  <c r="AC281" i="1"/>
  <c r="AD281" i="1"/>
  <c r="AE281" i="1"/>
  <c r="AF281" i="1"/>
  <c r="CT281" i="1" s="1"/>
  <c r="S281" i="1" s="1"/>
  <c r="AG281" i="1"/>
  <c r="AH281" i="1"/>
  <c r="AI281" i="1"/>
  <c r="CW281" i="1" s="1"/>
  <c r="AJ281" i="1"/>
  <c r="CQ281" i="1"/>
  <c r="P281" i="1" s="1"/>
  <c r="CR281" i="1"/>
  <c r="Q281" i="1" s="1"/>
  <c r="CS281" i="1"/>
  <c r="R281" i="1" s="1"/>
  <c r="GK281" i="1" s="1"/>
  <c r="CU281" i="1"/>
  <c r="T281" i="1" s="1"/>
  <c r="CV281" i="1"/>
  <c r="U281" i="1" s="1"/>
  <c r="CX281" i="1"/>
  <c r="W281" i="1" s="1"/>
  <c r="FR281" i="1"/>
  <c r="BY296" i="1" s="1"/>
  <c r="GL281" i="1"/>
  <c r="GO281" i="1"/>
  <c r="GP281" i="1"/>
  <c r="GV281" i="1"/>
  <c r="GX281" i="1" s="1"/>
  <c r="C282" i="1"/>
  <c r="D282" i="1"/>
  <c r="I282" i="1"/>
  <c r="P282" i="1"/>
  <c r="R282" i="1"/>
  <c r="GK282" i="1" s="1"/>
  <c r="AB282" i="1"/>
  <c r="AC282" i="1"/>
  <c r="CQ282" i="1" s="1"/>
  <c r="AD282" i="1"/>
  <c r="AE282" i="1"/>
  <c r="AF282" i="1"/>
  <c r="CT282" i="1" s="1"/>
  <c r="S282" i="1" s="1"/>
  <c r="AG282" i="1"/>
  <c r="AH282" i="1"/>
  <c r="CV282" i="1" s="1"/>
  <c r="U282" i="1" s="1"/>
  <c r="AI282" i="1"/>
  <c r="AJ282" i="1"/>
  <c r="CX282" i="1" s="1"/>
  <c r="W282" i="1" s="1"/>
  <c r="CR282" i="1"/>
  <c r="Q282" i="1" s="1"/>
  <c r="CS282" i="1"/>
  <c r="CU282" i="1"/>
  <c r="T282" i="1" s="1"/>
  <c r="CW282" i="1"/>
  <c r="V282" i="1" s="1"/>
  <c r="FR282" i="1"/>
  <c r="GL282" i="1"/>
  <c r="GO282" i="1"/>
  <c r="GP282" i="1"/>
  <c r="GV282" i="1"/>
  <c r="GX282" i="1"/>
  <c r="AB283" i="1"/>
  <c r="AC283" i="1"/>
  <c r="AD283" i="1"/>
  <c r="AE283" i="1"/>
  <c r="CS283" i="1" s="1"/>
  <c r="AF283" i="1"/>
  <c r="AG283" i="1"/>
  <c r="AH283" i="1"/>
  <c r="CV283" i="1" s="1"/>
  <c r="AI283" i="1"/>
  <c r="AJ283" i="1"/>
  <c r="CX283" i="1" s="1"/>
  <c r="CQ283" i="1"/>
  <c r="CR283" i="1"/>
  <c r="CT283" i="1"/>
  <c r="CU283" i="1"/>
  <c r="CW283" i="1"/>
  <c r="FR283" i="1"/>
  <c r="GL283" i="1"/>
  <c r="GO283" i="1"/>
  <c r="GP283" i="1"/>
  <c r="GV283" i="1"/>
  <c r="I284" i="1"/>
  <c r="AC284" i="1"/>
  <c r="AD284" i="1"/>
  <c r="CR284" i="1" s="1"/>
  <c r="Q284" i="1" s="1"/>
  <c r="AE284" i="1"/>
  <c r="AF284" i="1"/>
  <c r="CT284" i="1" s="1"/>
  <c r="S284" i="1" s="1"/>
  <c r="AG284" i="1"/>
  <c r="AH284" i="1"/>
  <c r="CV284" i="1" s="1"/>
  <c r="U284" i="1" s="1"/>
  <c r="AI284" i="1"/>
  <c r="AJ284" i="1"/>
  <c r="CX284" i="1" s="1"/>
  <c r="W284" i="1" s="1"/>
  <c r="CQ284" i="1"/>
  <c r="P284" i="1" s="1"/>
  <c r="CS284" i="1"/>
  <c r="R284" i="1" s="1"/>
  <c r="GK284" i="1" s="1"/>
  <c r="CU284" i="1"/>
  <c r="T284" i="1" s="1"/>
  <c r="CW284" i="1"/>
  <c r="V284" i="1" s="1"/>
  <c r="FR284" i="1"/>
  <c r="GL284" i="1"/>
  <c r="GO284" i="1"/>
  <c r="GP284" i="1"/>
  <c r="GV284" i="1"/>
  <c r="GX284" i="1"/>
  <c r="I285" i="1"/>
  <c r="S285" i="1"/>
  <c r="CY285" i="1" s="1"/>
  <c r="X285" i="1" s="1"/>
  <c r="U285" i="1"/>
  <c r="AC285" i="1"/>
  <c r="CQ285" i="1" s="1"/>
  <c r="P285" i="1" s="1"/>
  <c r="AD285" i="1"/>
  <c r="AE285" i="1"/>
  <c r="CS285" i="1" s="1"/>
  <c r="R285" i="1" s="1"/>
  <c r="GK285" i="1" s="1"/>
  <c r="AF285" i="1"/>
  <c r="AG285" i="1"/>
  <c r="CU285" i="1" s="1"/>
  <c r="T285" i="1" s="1"/>
  <c r="AH285" i="1"/>
  <c r="AI285" i="1"/>
  <c r="CW285" i="1" s="1"/>
  <c r="V285" i="1" s="1"/>
  <c r="AJ285" i="1"/>
  <c r="CR285" i="1"/>
  <c r="Q285" i="1" s="1"/>
  <c r="CT285" i="1"/>
  <c r="CV285" i="1"/>
  <c r="CX285" i="1"/>
  <c r="W285" i="1" s="1"/>
  <c r="FR285" i="1"/>
  <c r="GL285" i="1"/>
  <c r="GO285" i="1"/>
  <c r="GP285" i="1"/>
  <c r="GV285" i="1"/>
  <c r="GX285" i="1" s="1"/>
  <c r="I286" i="1"/>
  <c r="R286" i="1"/>
  <c r="GK286" i="1" s="1"/>
  <c r="AB286" i="1"/>
  <c r="AC286" i="1"/>
  <c r="AD286" i="1"/>
  <c r="CR286" i="1" s="1"/>
  <c r="Q286" i="1" s="1"/>
  <c r="AE286" i="1"/>
  <c r="AF286" i="1"/>
  <c r="CT286" i="1" s="1"/>
  <c r="S286" i="1" s="1"/>
  <c r="AG286" i="1"/>
  <c r="CU286" i="1" s="1"/>
  <c r="T286" i="1" s="1"/>
  <c r="AH286" i="1"/>
  <c r="CV286" i="1" s="1"/>
  <c r="U286" i="1" s="1"/>
  <c r="AI286" i="1"/>
  <c r="AJ286" i="1"/>
  <c r="CX286" i="1" s="1"/>
  <c r="W286" i="1" s="1"/>
  <c r="CQ286" i="1"/>
  <c r="P286" i="1" s="1"/>
  <c r="CS286" i="1"/>
  <c r="CW286" i="1"/>
  <c r="V286" i="1" s="1"/>
  <c r="FR286" i="1"/>
  <c r="GL286" i="1"/>
  <c r="GO286" i="1"/>
  <c r="GP286" i="1"/>
  <c r="GV286" i="1"/>
  <c r="GX286" i="1"/>
  <c r="C287" i="1"/>
  <c r="D287" i="1"/>
  <c r="P287" i="1"/>
  <c r="AC287" i="1"/>
  <c r="AD287" i="1"/>
  <c r="AB287" i="1" s="1"/>
  <c r="AE287" i="1"/>
  <c r="CS287" i="1" s="1"/>
  <c r="R287" i="1" s="1"/>
  <c r="GK287" i="1" s="1"/>
  <c r="AF287" i="1"/>
  <c r="CT287" i="1" s="1"/>
  <c r="S287" i="1" s="1"/>
  <c r="AG287" i="1"/>
  <c r="AH287" i="1"/>
  <c r="CV287" i="1" s="1"/>
  <c r="U287" i="1" s="1"/>
  <c r="AI287" i="1"/>
  <c r="AJ287" i="1"/>
  <c r="CX287" i="1" s="1"/>
  <c r="W287" i="1" s="1"/>
  <c r="CQ287" i="1"/>
  <c r="CU287" i="1"/>
  <c r="T287" i="1" s="1"/>
  <c r="CW287" i="1"/>
  <c r="V287" i="1" s="1"/>
  <c r="FR287" i="1"/>
  <c r="GL287" i="1"/>
  <c r="BZ296" i="1" s="1"/>
  <c r="GO287" i="1"/>
  <c r="GP287" i="1"/>
  <c r="GV287" i="1"/>
  <c r="GX287" i="1" s="1"/>
  <c r="C288" i="1"/>
  <c r="D288" i="1"/>
  <c r="V288" i="1"/>
  <c r="AC288" i="1"/>
  <c r="CQ288" i="1" s="1"/>
  <c r="P288" i="1" s="1"/>
  <c r="AD288" i="1"/>
  <c r="CR288" i="1" s="1"/>
  <c r="Q288" i="1" s="1"/>
  <c r="AE288" i="1"/>
  <c r="AF288" i="1"/>
  <c r="CT288" i="1" s="1"/>
  <c r="S288" i="1" s="1"/>
  <c r="AG288" i="1"/>
  <c r="AH288" i="1"/>
  <c r="CV288" i="1" s="1"/>
  <c r="U288" i="1" s="1"/>
  <c r="AI288" i="1"/>
  <c r="AJ288" i="1"/>
  <c r="CX288" i="1" s="1"/>
  <c r="W288" i="1" s="1"/>
  <c r="CS288" i="1"/>
  <c r="R288" i="1" s="1"/>
  <c r="GK288" i="1" s="1"/>
  <c r="CU288" i="1"/>
  <c r="T288" i="1" s="1"/>
  <c r="CW288" i="1"/>
  <c r="FR288" i="1"/>
  <c r="GL288" i="1"/>
  <c r="GO288" i="1"/>
  <c r="GP288" i="1"/>
  <c r="GV288" i="1"/>
  <c r="GX288" i="1"/>
  <c r="I289" i="1"/>
  <c r="U289" i="1"/>
  <c r="AB289" i="1"/>
  <c r="AC289" i="1"/>
  <c r="CQ289" i="1" s="1"/>
  <c r="P289" i="1" s="1"/>
  <c r="AD289" i="1"/>
  <c r="AE289" i="1"/>
  <c r="CS289" i="1" s="1"/>
  <c r="R289" i="1" s="1"/>
  <c r="GK289" i="1" s="1"/>
  <c r="AF289" i="1"/>
  <c r="AG289" i="1"/>
  <c r="CU289" i="1" s="1"/>
  <c r="T289" i="1" s="1"/>
  <c r="AH289" i="1"/>
  <c r="AI289" i="1"/>
  <c r="CW289" i="1" s="1"/>
  <c r="V289" i="1" s="1"/>
  <c r="AJ289" i="1"/>
  <c r="CX289" i="1" s="1"/>
  <c r="W289" i="1" s="1"/>
  <c r="CR289" i="1"/>
  <c r="Q289" i="1" s="1"/>
  <c r="CT289" i="1"/>
  <c r="S289" i="1" s="1"/>
  <c r="CY289" i="1" s="1"/>
  <c r="X289" i="1" s="1"/>
  <c r="CV289" i="1"/>
  <c r="CZ289" i="1"/>
  <c r="Y289" i="1" s="1"/>
  <c r="FR289" i="1"/>
  <c r="GL289" i="1"/>
  <c r="GO289" i="1"/>
  <c r="GP289" i="1"/>
  <c r="GV289" i="1"/>
  <c r="GX289" i="1" s="1"/>
  <c r="I290" i="1"/>
  <c r="T290" i="1"/>
  <c r="AC290" i="1"/>
  <c r="AD290" i="1"/>
  <c r="AE290" i="1"/>
  <c r="AF290" i="1"/>
  <c r="CT290" i="1" s="1"/>
  <c r="S290" i="1" s="1"/>
  <c r="CZ290" i="1" s="1"/>
  <c r="Y290" i="1" s="1"/>
  <c r="AG290" i="1"/>
  <c r="AH290" i="1"/>
  <c r="CV290" i="1" s="1"/>
  <c r="U290" i="1" s="1"/>
  <c r="AI290" i="1"/>
  <c r="CW290" i="1" s="1"/>
  <c r="V290" i="1" s="1"/>
  <c r="AJ290" i="1"/>
  <c r="CX290" i="1" s="1"/>
  <c r="W290" i="1" s="1"/>
  <c r="CQ290" i="1"/>
  <c r="P290" i="1" s="1"/>
  <c r="CS290" i="1"/>
  <c r="R290" i="1" s="1"/>
  <c r="GK290" i="1" s="1"/>
  <c r="CU290" i="1"/>
  <c r="CY290" i="1"/>
  <c r="X290" i="1" s="1"/>
  <c r="FR290" i="1"/>
  <c r="GL290" i="1"/>
  <c r="GO290" i="1"/>
  <c r="GP290" i="1"/>
  <c r="GV290" i="1"/>
  <c r="GX290" i="1"/>
  <c r="I291" i="1"/>
  <c r="S291" i="1"/>
  <c r="AC291" i="1"/>
  <c r="AD291" i="1"/>
  <c r="AE291" i="1"/>
  <c r="CS291" i="1" s="1"/>
  <c r="R291" i="1" s="1"/>
  <c r="GK291" i="1" s="1"/>
  <c r="AF291" i="1"/>
  <c r="AG291" i="1"/>
  <c r="CU291" i="1" s="1"/>
  <c r="T291" i="1" s="1"/>
  <c r="AH291" i="1"/>
  <c r="CV291" i="1" s="1"/>
  <c r="U291" i="1" s="1"/>
  <c r="AI291" i="1"/>
  <c r="CW291" i="1" s="1"/>
  <c r="V291" i="1" s="1"/>
  <c r="AJ291" i="1"/>
  <c r="CR291" i="1"/>
  <c r="Q291" i="1" s="1"/>
  <c r="CT291" i="1"/>
  <c r="CX291" i="1"/>
  <c r="W291" i="1" s="1"/>
  <c r="FR291" i="1"/>
  <c r="GL291" i="1"/>
  <c r="GO291" i="1"/>
  <c r="GP291" i="1"/>
  <c r="GV291" i="1"/>
  <c r="GX291" i="1" s="1"/>
  <c r="I292" i="1"/>
  <c r="R292" i="1"/>
  <c r="GK292" i="1" s="1"/>
  <c r="AB292" i="1"/>
  <c r="AC292" i="1"/>
  <c r="AD292" i="1"/>
  <c r="CR292" i="1" s="1"/>
  <c r="Q292" i="1" s="1"/>
  <c r="AE292" i="1"/>
  <c r="AF292" i="1"/>
  <c r="CT292" i="1" s="1"/>
  <c r="S292" i="1" s="1"/>
  <c r="AG292" i="1"/>
  <c r="CU292" i="1" s="1"/>
  <c r="T292" i="1" s="1"/>
  <c r="AH292" i="1"/>
  <c r="CV292" i="1" s="1"/>
  <c r="U292" i="1" s="1"/>
  <c r="AI292" i="1"/>
  <c r="AJ292" i="1"/>
  <c r="CX292" i="1" s="1"/>
  <c r="W292" i="1" s="1"/>
  <c r="CQ292" i="1"/>
  <c r="P292" i="1" s="1"/>
  <c r="CS292" i="1"/>
  <c r="CW292" i="1"/>
  <c r="V292" i="1" s="1"/>
  <c r="FR292" i="1"/>
  <c r="GL292" i="1"/>
  <c r="GO292" i="1"/>
  <c r="GP292" i="1"/>
  <c r="GV292" i="1"/>
  <c r="GX292" i="1"/>
  <c r="I293" i="1"/>
  <c r="Q293" i="1"/>
  <c r="AC293" i="1"/>
  <c r="AB293" i="1" s="1"/>
  <c r="AD293" i="1"/>
  <c r="AE293" i="1"/>
  <c r="CS293" i="1" s="1"/>
  <c r="R293" i="1" s="1"/>
  <c r="GK293" i="1" s="1"/>
  <c r="AF293" i="1"/>
  <c r="CT293" i="1" s="1"/>
  <c r="S293" i="1" s="1"/>
  <c r="AG293" i="1"/>
  <c r="CU293" i="1" s="1"/>
  <c r="T293" i="1" s="1"/>
  <c r="AH293" i="1"/>
  <c r="AI293" i="1"/>
  <c r="CW293" i="1" s="1"/>
  <c r="V293" i="1" s="1"/>
  <c r="AJ293" i="1"/>
  <c r="CR293" i="1"/>
  <c r="CV293" i="1"/>
  <c r="U293" i="1" s="1"/>
  <c r="CX293" i="1"/>
  <c r="W293" i="1" s="1"/>
  <c r="FR293" i="1"/>
  <c r="GL293" i="1"/>
  <c r="GO293" i="1"/>
  <c r="GP293" i="1"/>
  <c r="GV293" i="1"/>
  <c r="GX293" i="1" s="1"/>
  <c r="I294" i="1"/>
  <c r="P294" i="1"/>
  <c r="AC294" i="1"/>
  <c r="AD294" i="1"/>
  <c r="AB294" i="1" s="1"/>
  <c r="AE294" i="1"/>
  <c r="CS294" i="1" s="1"/>
  <c r="R294" i="1" s="1"/>
  <c r="GK294" i="1" s="1"/>
  <c r="AF294" i="1"/>
  <c r="CT294" i="1" s="1"/>
  <c r="S294" i="1" s="1"/>
  <c r="AG294" i="1"/>
  <c r="AH294" i="1"/>
  <c r="CV294" i="1" s="1"/>
  <c r="U294" i="1" s="1"/>
  <c r="AI294" i="1"/>
  <c r="AJ294" i="1"/>
  <c r="CX294" i="1" s="1"/>
  <c r="W294" i="1" s="1"/>
  <c r="CQ294" i="1"/>
  <c r="CU294" i="1"/>
  <c r="T294" i="1" s="1"/>
  <c r="CW294" i="1"/>
  <c r="V294" i="1" s="1"/>
  <c r="FR294" i="1"/>
  <c r="GL294" i="1"/>
  <c r="GO294" i="1"/>
  <c r="GP294" i="1"/>
  <c r="GV294" i="1"/>
  <c r="GX294" i="1" s="1"/>
  <c r="B296" i="1"/>
  <c r="B269" i="1" s="1"/>
  <c r="C296" i="1"/>
  <c r="C269" i="1" s="1"/>
  <c r="D296" i="1"/>
  <c r="D269" i="1" s="1"/>
  <c r="F296" i="1"/>
  <c r="F269" i="1" s="1"/>
  <c r="G296" i="1"/>
  <c r="G269" i="1" s="1"/>
  <c r="AO296" i="1"/>
  <c r="AO269" i="1" s="1"/>
  <c r="BC296" i="1"/>
  <c r="BC269" i="1" s="1"/>
  <c r="BX296" i="1"/>
  <c r="BX269" i="1" s="1"/>
  <c r="CK296" i="1"/>
  <c r="CK269" i="1" s="1"/>
  <c r="CL296" i="1"/>
  <c r="CL269" i="1" s="1"/>
  <c r="EU296" i="1"/>
  <c r="EU269" i="1" s="1"/>
  <c r="FP296" i="1"/>
  <c r="FP269" i="1" s="1"/>
  <c r="FU296" i="1"/>
  <c r="FU269" i="1" s="1"/>
  <c r="GC296" i="1"/>
  <c r="GC269" i="1" s="1"/>
  <c r="GD296" i="1"/>
  <c r="GD269" i="1" s="1"/>
  <c r="F300" i="1"/>
  <c r="F312" i="1"/>
  <c r="D325" i="1"/>
  <c r="E327" i="1"/>
  <c r="Z327" i="1"/>
  <c r="AA327" i="1"/>
  <c r="AM327" i="1"/>
  <c r="AN327" i="1"/>
  <c r="BD327" i="1"/>
  <c r="BE327" i="1"/>
  <c r="BF327" i="1"/>
  <c r="BG327" i="1"/>
  <c r="BH327" i="1"/>
  <c r="BI327" i="1"/>
  <c r="BJ327" i="1"/>
  <c r="BK327" i="1"/>
  <c r="BL327" i="1"/>
  <c r="BM327" i="1"/>
  <c r="BN327" i="1"/>
  <c r="BO327" i="1"/>
  <c r="BP327" i="1"/>
  <c r="BQ327" i="1"/>
  <c r="BR327" i="1"/>
  <c r="BS327" i="1"/>
  <c r="BT327" i="1"/>
  <c r="BU327" i="1"/>
  <c r="BV327" i="1"/>
  <c r="BW327" i="1"/>
  <c r="CM327" i="1"/>
  <c r="CN327" i="1"/>
  <c r="CO327" i="1"/>
  <c r="CP327" i="1"/>
  <c r="CQ327" i="1"/>
  <c r="CR327" i="1"/>
  <c r="CS327" i="1"/>
  <c r="CT327" i="1"/>
  <c r="CU327" i="1"/>
  <c r="CV327" i="1"/>
  <c r="CW327" i="1"/>
  <c r="CX327" i="1"/>
  <c r="CY327" i="1"/>
  <c r="CZ327" i="1"/>
  <c r="DA327" i="1"/>
  <c r="DB327" i="1"/>
  <c r="DC327" i="1"/>
  <c r="DD327" i="1"/>
  <c r="DE327" i="1"/>
  <c r="DF327" i="1"/>
  <c r="DR327" i="1"/>
  <c r="DS327" i="1"/>
  <c r="EE327" i="1"/>
  <c r="EF327" i="1"/>
  <c r="EV327" i="1"/>
  <c r="EW327" i="1"/>
  <c r="EX327" i="1"/>
  <c r="EY327" i="1"/>
  <c r="EZ327" i="1"/>
  <c r="FA327" i="1"/>
  <c r="FB327" i="1"/>
  <c r="FC327" i="1"/>
  <c r="FD327" i="1"/>
  <c r="FE327" i="1"/>
  <c r="FF327" i="1"/>
  <c r="FG327" i="1"/>
  <c r="FH327" i="1"/>
  <c r="FI327" i="1"/>
  <c r="FJ327" i="1"/>
  <c r="FK327" i="1"/>
  <c r="FL327" i="1"/>
  <c r="FM327" i="1"/>
  <c r="FN327" i="1"/>
  <c r="FO327" i="1"/>
  <c r="GE327" i="1"/>
  <c r="GF327" i="1"/>
  <c r="GG327" i="1"/>
  <c r="GH327" i="1"/>
  <c r="GI327" i="1"/>
  <c r="GJ327" i="1"/>
  <c r="GK327" i="1"/>
  <c r="GL327" i="1"/>
  <c r="GM327" i="1"/>
  <c r="GN327" i="1"/>
  <c r="GO327" i="1"/>
  <c r="GP327" i="1"/>
  <c r="GQ327" i="1"/>
  <c r="GR327" i="1"/>
  <c r="GS327" i="1"/>
  <c r="GT327" i="1"/>
  <c r="GU327" i="1"/>
  <c r="GV327" i="1"/>
  <c r="GW327" i="1"/>
  <c r="GX327" i="1"/>
  <c r="C329" i="1"/>
  <c r="D329" i="1"/>
  <c r="I329" i="1"/>
  <c r="U329" i="1"/>
  <c r="AB329" i="1"/>
  <c r="AC329" i="1"/>
  <c r="CQ329" i="1" s="1"/>
  <c r="P329" i="1" s="1"/>
  <c r="AD329" i="1"/>
  <c r="AE329" i="1"/>
  <c r="CS329" i="1" s="1"/>
  <c r="R329" i="1" s="1"/>
  <c r="GK329" i="1" s="1"/>
  <c r="AF329" i="1"/>
  <c r="AG329" i="1"/>
  <c r="CU329" i="1" s="1"/>
  <c r="T329" i="1" s="1"/>
  <c r="AH329" i="1"/>
  <c r="AI329" i="1"/>
  <c r="CW329" i="1" s="1"/>
  <c r="V329" i="1" s="1"/>
  <c r="AJ329" i="1"/>
  <c r="CX329" i="1" s="1"/>
  <c r="W329" i="1" s="1"/>
  <c r="CR329" i="1"/>
  <c r="Q329" i="1" s="1"/>
  <c r="CT329" i="1"/>
  <c r="S329" i="1" s="1"/>
  <c r="CY329" i="1" s="1"/>
  <c r="X329" i="1" s="1"/>
  <c r="CV329" i="1"/>
  <c r="CZ329" i="1"/>
  <c r="Y329" i="1" s="1"/>
  <c r="FR329" i="1"/>
  <c r="GL329" i="1"/>
  <c r="GO329" i="1"/>
  <c r="GP329" i="1"/>
  <c r="GV329" i="1"/>
  <c r="GX329" i="1" s="1"/>
  <c r="C330" i="1"/>
  <c r="D330" i="1"/>
  <c r="I330" i="1"/>
  <c r="I332" i="1" s="1"/>
  <c r="AB330" i="1"/>
  <c r="AC330" i="1"/>
  <c r="AD330" i="1"/>
  <c r="CR330" i="1" s="1"/>
  <c r="Q330" i="1" s="1"/>
  <c r="AE330" i="1"/>
  <c r="AF330" i="1"/>
  <c r="CT330" i="1" s="1"/>
  <c r="S330" i="1" s="1"/>
  <c r="AG330" i="1"/>
  <c r="CU330" i="1" s="1"/>
  <c r="T330" i="1" s="1"/>
  <c r="AH330" i="1"/>
  <c r="CV330" i="1" s="1"/>
  <c r="U330" i="1" s="1"/>
  <c r="AI330" i="1"/>
  <c r="AJ330" i="1"/>
  <c r="CX330" i="1" s="1"/>
  <c r="W330" i="1" s="1"/>
  <c r="CQ330" i="1"/>
  <c r="P330" i="1" s="1"/>
  <c r="CP330" i="1" s="1"/>
  <c r="O330" i="1" s="1"/>
  <c r="CS330" i="1"/>
  <c r="R330" i="1" s="1"/>
  <c r="CW330" i="1"/>
  <c r="V330" i="1" s="1"/>
  <c r="FR330" i="1"/>
  <c r="GL330" i="1"/>
  <c r="GO330" i="1"/>
  <c r="GP330" i="1"/>
  <c r="GV330" i="1"/>
  <c r="GX330" i="1"/>
  <c r="I331" i="1"/>
  <c r="Q331" i="1"/>
  <c r="U331" i="1"/>
  <c r="Y331" i="1"/>
  <c r="AC331" i="1"/>
  <c r="AB331" i="1" s="1"/>
  <c r="AD331" i="1"/>
  <c r="AE331" i="1"/>
  <c r="CS331" i="1" s="1"/>
  <c r="R331" i="1" s="1"/>
  <c r="GK331" i="1" s="1"/>
  <c r="AF331" i="1"/>
  <c r="CT331" i="1" s="1"/>
  <c r="S331" i="1" s="1"/>
  <c r="CY331" i="1" s="1"/>
  <c r="X331" i="1" s="1"/>
  <c r="AG331" i="1"/>
  <c r="CU331" i="1" s="1"/>
  <c r="T331" i="1" s="1"/>
  <c r="AH331" i="1"/>
  <c r="AI331" i="1"/>
  <c r="CW331" i="1" s="1"/>
  <c r="V331" i="1" s="1"/>
  <c r="AJ331" i="1"/>
  <c r="CR331" i="1"/>
  <c r="CV331" i="1"/>
  <c r="CX331" i="1"/>
  <c r="W331" i="1" s="1"/>
  <c r="CZ331" i="1"/>
  <c r="FR331" i="1"/>
  <c r="GL331" i="1"/>
  <c r="GO331" i="1"/>
  <c r="GP331" i="1"/>
  <c r="GV331" i="1"/>
  <c r="GX331" i="1" s="1"/>
  <c r="P332" i="1"/>
  <c r="AC332" i="1"/>
  <c r="AD332" i="1"/>
  <c r="AE332" i="1"/>
  <c r="CS332" i="1" s="1"/>
  <c r="R332" i="1" s="1"/>
  <c r="GK332" i="1" s="1"/>
  <c r="AF332" i="1"/>
  <c r="CT332" i="1" s="1"/>
  <c r="AG332" i="1"/>
  <c r="AH332" i="1"/>
  <c r="CV332" i="1" s="1"/>
  <c r="U332" i="1" s="1"/>
  <c r="AI332" i="1"/>
  <c r="AJ332" i="1"/>
  <c r="CX332" i="1" s="1"/>
  <c r="CQ332" i="1"/>
  <c r="CU332" i="1"/>
  <c r="T332" i="1" s="1"/>
  <c r="CW332" i="1"/>
  <c r="V332" i="1" s="1"/>
  <c r="FR332" i="1"/>
  <c r="GL332" i="1"/>
  <c r="GO332" i="1"/>
  <c r="GP332" i="1"/>
  <c r="GV332" i="1"/>
  <c r="C333" i="1"/>
  <c r="D333" i="1"/>
  <c r="I333" i="1"/>
  <c r="Q333" i="1"/>
  <c r="U333" i="1"/>
  <c r="AB333" i="1"/>
  <c r="AC333" i="1"/>
  <c r="CQ333" i="1" s="1"/>
  <c r="P333" i="1" s="1"/>
  <c r="AD333" i="1"/>
  <c r="AE333" i="1"/>
  <c r="CS333" i="1" s="1"/>
  <c r="R333" i="1" s="1"/>
  <c r="GK333" i="1" s="1"/>
  <c r="AF333" i="1"/>
  <c r="AG333" i="1"/>
  <c r="CU333" i="1" s="1"/>
  <c r="T333" i="1" s="1"/>
  <c r="AH333" i="1"/>
  <c r="AI333" i="1"/>
  <c r="CW333" i="1" s="1"/>
  <c r="V333" i="1" s="1"/>
  <c r="AJ333" i="1"/>
  <c r="CX333" i="1" s="1"/>
  <c r="W333" i="1" s="1"/>
  <c r="CR333" i="1"/>
  <c r="CT333" i="1"/>
  <c r="S333" i="1" s="1"/>
  <c r="CY333" i="1" s="1"/>
  <c r="X333" i="1" s="1"/>
  <c r="CV333" i="1"/>
  <c r="FR333" i="1"/>
  <c r="GL333" i="1"/>
  <c r="GO333" i="1"/>
  <c r="GP333" i="1"/>
  <c r="GV333" i="1"/>
  <c r="GX333" i="1" s="1"/>
  <c r="C334" i="1"/>
  <c r="D334" i="1"/>
  <c r="I334" i="1"/>
  <c r="AB334" i="1"/>
  <c r="AC334" i="1"/>
  <c r="AD334" i="1"/>
  <c r="CR334" i="1" s="1"/>
  <c r="Q334" i="1" s="1"/>
  <c r="AE334" i="1"/>
  <c r="AF334" i="1"/>
  <c r="CT334" i="1" s="1"/>
  <c r="AG334" i="1"/>
  <c r="CU334" i="1" s="1"/>
  <c r="T334" i="1" s="1"/>
  <c r="AH334" i="1"/>
  <c r="CV334" i="1" s="1"/>
  <c r="U334" i="1" s="1"/>
  <c r="AI334" i="1"/>
  <c r="AJ334" i="1"/>
  <c r="CX334" i="1" s="1"/>
  <c r="CQ334" i="1"/>
  <c r="CS334" i="1"/>
  <c r="R334" i="1" s="1"/>
  <c r="GK334" i="1" s="1"/>
  <c r="CW334" i="1"/>
  <c r="V334" i="1" s="1"/>
  <c r="FR334" i="1"/>
  <c r="GL334" i="1"/>
  <c r="GO334" i="1"/>
  <c r="GP334" i="1"/>
  <c r="GV334" i="1"/>
  <c r="GX334" i="1"/>
  <c r="I335" i="1"/>
  <c r="U335" i="1"/>
  <c r="AC335" i="1"/>
  <c r="AB335" i="1" s="1"/>
  <c r="AD335" i="1"/>
  <c r="AE335" i="1"/>
  <c r="CS335" i="1" s="1"/>
  <c r="R335" i="1" s="1"/>
  <c r="GK335" i="1" s="1"/>
  <c r="AF335" i="1"/>
  <c r="CT335" i="1" s="1"/>
  <c r="S335" i="1" s="1"/>
  <c r="CY335" i="1" s="1"/>
  <c r="X335" i="1" s="1"/>
  <c r="AG335" i="1"/>
  <c r="CU335" i="1" s="1"/>
  <c r="T335" i="1" s="1"/>
  <c r="AH335" i="1"/>
  <c r="AI335" i="1"/>
  <c r="CW335" i="1" s="1"/>
  <c r="V335" i="1" s="1"/>
  <c r="AJ335" i="1"/>
  <c r="CR335" i="1"/>
  <c r="Q335" i="1" s="1"/>
  <c r="CV335" i="1"/>
  <c r="CX335" i="1"/>
  <c r="W335" i="1" s="1"/>
  <c r="CZ335" i="1"/>
  <c r="Y335" i="1" s="1"/>
  <c r="FR335" i="1"/>
  <c r="GL335" i="1"/>
  <c r="GO335" i="1"/>
  <c r="GP335" i="1"/>
  <c r="GV335" i="1"/>
  <c r="GX335" i="1" s="1"/>
  <c r="AC336" i="1"/>
  <c r="AD336" i="1"/>
  <c r="AE336" i="1"/>
  <c r="CS336" i="1" s="1"/>
  <c r="AF336" i="1"/>
  <c r="CT336" i="1" s="1"/>
  <c r="AG336" i="1"/>
  <c r="AH336" i="1"/>
  <c r="CV336" i="1" s="1"/>
  <c r="AI336" i="1"/>
  <c r="AJ336" i="1"/>
  <c r="CX336" i="1" s="1"/>
  <c r="CQ336" i="1"/>
  <c r="CU336" i="1"/>
  <c r="CW336" i="1"/>
  <c r="FR336" i="1"/>
  <c r="GL336" i="1"/>
  <c r="GO336" i="1"/>
  <c r="GP336" i="1"/>
  <c r="GV336" i="1"/>
  <c r="C337" i="1"/>
  <c r="D337" i="1"/>
  <c r="I337" i="1"/>
  <c r="I341" i="1" s="1"/>
  <c r="Q337" i="1"/>
  <c r="AB337" i="1"/>
  <c r="AC337" i="1"/>
  <c r="CQ337" i="1" s="1"/>
  <c r="P337" i="1" s="1"/>
  <c r="AD337" i="1"/>
  <c r="AE337" i="1"/>
  <c r="CS337" i="1" s="1"/>
  <c r="R337" i="1" s="1"/>
  <c r="GK337" i="1" s="1"/>
  <c r="AF337" i="1"/>
  <c r="AG337" i="1"/>
  <c r="CU337" i="1" s="1"/>
  <c r="T337" i="1" s="1"/>
  <c r="AH337" i="1"/>
  <c r="AI337" i="1"/>
  <c r="CW337" i="1" s="1"/>
  <c r="V337" i="1" s="1"/>
  <c r="AJ337" i="1"/>
  <c r="CX337" i="1" s="1"/>
  <c r="W337" i="1" s="1"/>
  <c r="CR337" i="1"/>
  <c r="CT337" i="1"/>
  <c r="S337" i="1" s="1"/>
  <c r="CY337" i="1" s="1"/>
  <c r="X337" i="1" s="1"/>
  <c r="CV337" i="1"/>
  <c r="U337" i="1" s="1"/>
  <c r="FR337" i="1"/>
  <c r="GL337" i="1"/>
  <c r="GO337" i="1"/>
  <c r="GP337" i="1"/>
  <c r="GV337" i="1"/>
  <c r="GX337" i="1" s="1"/>
  <c r="C338" i="1"/>
  <c r="D338" i="1"/>
  <c r="I338" i="1"/>
  <c r="GX338" i="1" s="1"/>
  <c r="R338" i="1"/>
  <c r="W338" i="1"/>
  <c r="AC338" i="1"/>
  <c r="AD338" i="1"/>
  <c r="CR338" i="1" s="1"/>
  <c r="Q338" i="1" s="1"/>
  <c r="AE338" i="1"/>
  <c r="AF338" i="1"/>
  <c r="AG338" i="1"/>
  <c r="CU338" i="1" s="1"/>
  <c r="T338" i="1" s="1"/>
  <c r="AH338" i="1"/>
  <c r="CV338" i="1" s="1"/>
  <c r="U338" i="1" s="1"/>
  <c r="AI338" i="1"/>
  <c r="AJ338" i="1"/>
  <c r="CX338" i="1" s="1"/>
  <c r="CQ338" i="1"/>
  <c r="CS338" i="1"/>
  <c r="CT338" i="1"/>
  <c r="S338" i="1" s="1"/>
  <c r="CZ338" i="1" s="1"/>
  <c r="Y338" i="1" s="1"/>
  <c r="CW338" i="1"/>
  <c r="V338" i="1" s="1"/>
  <c r="FR338" i="1"/>
  <c r="GK338" i="1"/>
  <c r="GL338" i="1"/>
  <c r="GO338" i="1"/>
  <c r="GP338" i="1"/>
  <c r="FV358" i="1" s="1"/>
  <c r="FV327" i="1" s="1"/>
  <c r="GV338" i="1"/>
  <c r="I339" i="1"/>
  <c r="Q339" i="1"/>
  <c r="AC339" i="1"/>
  <c r="AD339" i="1"/>
  <c r="AE339" i="1"/>
  <c r="AF339" i="1"/>
  <c r="CT339" i="1" s="1"/>
  <c r="S339" i="1" s="1"/>
  <c r="AG339" i="1"/>
  <c r="CU339" i="1" s="1"/>
  <c r="AH339" i="1"/>
  <c r="AI339" i="1"/>
  <c r="CW339" i="1" s="1"/>
  <c r="V339" i="1" s="1"/>
  <c r="AJ339" i="1"/>
  <c r="CR339" i="1"/>
  <c r="CS339" i="1"/>
  <c r="R339" i="1" s="1"/>
  <c r="GK339" i="1" s="1"/>
  <c r="CV339" i="1"/>
  <c r="U339" i="1" s="1"/>
  <c r="CX339" i="1"/>
  <c r="FR339" i="1"/>
  <c r="GL339" i="1"/>
  <c r="GO339" i="1"/>
  <c r="GP339" i="1"/>
  <c r="GV339" i="1"/>
  <c r="GX339" i="1" s="1"/>
  <c r="AB340" i="1"/>
  <c r="AC340" i="1"/>
  <c r="AD340" i="1"/>
  <c r="AE340" i="1"/>
  <c r="CS340" i="1" s="1"/>
  <c r="AF340" i="1"/>
  <c r="CT340" i="1" s="1"/>
  <c r="AG340" i="1"/>
  <c r="AH340" i="1"/>
  <c r="CV340" i="1" s="1"/>
  <c r="AI340" i="1"/>
  <c r="AJ340" i="1"/>
  <c r="CX340" i="1" s="1"/>
  <c r="CQ340" i="1"/>
  <c r="CR340" i="1"/>
  <c r="CU340" i="1"/>
  <c r="CW340" i="1"/>
  <c r="FR340" i="1"/>
  <c r="GL340" i="1"/>
  <c r="GO340" i="1"/>
  <c r="GP340" i="1"/>
  <c r="GV340" i="1"/>
  <c r="Q341" i="1"/>
  <c r="T341" i="1"/>
  <c r="W341" i="1"/>
  <c r="AC341" i="1"/>
  <c r="AD341" i="1"/>
  <c r="CR341" i="1" s="1"/>
  <c r="AE341" i="1"/>
  <c r="CS341" i="1" s="1"/>
  <c r="R341" i="1" s="1"/>
  <c r="GK341" i="1" s="1"/>
  <c r="AF341" i="1"/>
  <c r="AG341" i="1"/>
  <c r="CU341" i="1" s="1"/>
  <c r="AH341" i="1"/>
  <c r="AI341" i="1"/>
  <c r="CW341" i="1" s="1"/>
  <c r="V341" i="1" s="1"/>
  <c r="AJ341" i="1"/>
  <c r="CQ341" i="1"/>
  <c r="P341" i="1" s="1"/>
  <c r="CP341" i="1" s="1"/>
  <c r="O341" i="1" s="1"/>
  <c r="CT341" i="1"/>
  <c r="S341" i="1" s="1"/>
  <c r="CV341" i="1"/>
  <c r="U341" i="1" s="1"/>
  <c r="CX341" i="1"/>
  <c r="FR341" i="1"/>
  <c r="GL341" i="1"/>
  <c r="GO341" i="1"/>
  <c r="CC358" i="1" s="1"/>
  <c r="GP341" i="1"/>
  <c r="GV341" i="1"/>
  <c r="GX341" i="1" s="1"/>
  <c r="I342" i="1"/>
  <c r="GX342" i="1" s="1"/>
  <c r="P342" i="1"/>
  <c r="AB342" i="1"/>
  <c r="AC342" i="1"/>
  <c r="CQ342" i="1" s="1"/>
  <c r="AD342" i="1"/>
  <c r="CR342" i="1" s="1"/>
  <c r="Q342" i="1" s="1"/>
  <c r="AE342" i="1"/>
  <c r="AF342" i="1"/>
  <c r="CT342" i="1" s="1"/>
  <c r="AG342" i="1"/>
  <c r="AH342" i="1"/>
  <c r="CV342" i="1" s="1"/>
  <c r="U342" i="1" s="1"/>
  <c r="AI342" i="1"/>
  <c r="AJ342" i="1"/>
  <c r="CX342" i="1" s="1"/>
  <c r="W342" i="1" s="1"/>
  <c r="CS342" i="1"/>
  <c r="R342" i="1" s="1"/>
  <c r="GK342" i="1" s="1"/>
  <c r="CU342" i="1"/>
  <c r="T342" i="1" s="1"/>
  <c r="CW342" i="1"/>
  <c r="FR342" i="1"/>
  <c r="GL342" i="1"/>
  <c r="FR358" i="1" s="1"/>
  <c r="GO342" i="1"/>
  <c r="GP342" i="1"/>
  <c r="GV342" i="1"/>
  <c r="I343" i="1"/>
  <c r="Q343" i="1"/>
  <c r="W343" i="1"/>
  <c r="AB343" i="1"/>
  <c r="AC343" i="1"/>
  <c r="CQ343" i="1" s="1"/>
  <c r="P343" i="1" s="1"/>
  <c r="AD343" i="1"/>
  <c r="AE343" i="1"/>
  <c r="AF343" i="1"/>
  <c r="AG343" i="1"/>
  <c r="CU343" i="1" s="1"/>
  <c r="T343" i="1" s="1"/>
  <c r="AH343" i="1"/>
  <c r="AI343" i="1"/>
  <c r="AJ343" i="1"/>
  <c r="CX343" i="1" s="1"/>
  <c r="CR343" i="1"/>
  <c r="CS343" i="1"/>
  <c r="R343" i="1" s="1"/>
  <c r="GK343" i="1" s="1"/>
  <c r="CT343" i="1"/>
  <c r="S343" i="1" s="1"/>
  <c r="CY343" i="1" s="1"/>
  <c r="X343" i="1" s="1"/>
  <c r="CV343" i="1"/>
  <c r="U343" i="1" s="1"/>
  <c r="CW343" i="1"/>
  <c r="V343" i="1" s="1"/>
  <c r="CZ343" i="1"/>
  <c r="Y343" i="1" s="1"/>
  <c r="FR343" i="1"/>
  <c r="GL343" i="1"/>
  <c r="GO343" i="1"/>
  <c r="GP343" i="1"/>
  <c r="GV343" i="1"/>
  <c r="GX343" i="1" s="1"/>
  <c r="I344" i="1"/>
  <c r="P344" i="1"/>
  <c r="Q344" i="1"/>
  <c r="AC344" i="1"/>
  <c r="AD344" i="1"/>
  <c r="AE344" i="1"/>
  <c r="AF344" i="1"/>
  <c r="CT344" i="1" s="1"/>
  <c r="S344" i="1" s="1"/>
  <c r="CY344" i="1" s="1"/>
  <c r="X344" i="1" s="1"/>
  <c r="AG344" i="1"/>
  <c r="AH344" i="1"/>
  <c r="CV344" i="1" s="1"/>
  <c r="U344" i="1" s="1"/>
  <c r="AI344" i="1"/>
  <c r="CW344" i="1" s="1"/>
  <c r="V344" i="1" s="1"/>
  <c r="AJ344" i="1"/>
  <c r="CX344" i="1" s="1"/>
  <c r="CQ344" i="1"/>
  <c r="CR344" i="1"/>
  <c r="CS344" i="1"/>
  <c r="R344" i="1" s="1"/>
  <c r="GK344" i="1" s="1"/>
  <c r="CU344" i="1"/>
  <c r="T344" i="1" s="1"/>
  <c r="CZ344" i="1"/>
  <c r="Y344" i="1" s="1"/>
  <c r="FR344" i="1"/>
  <c r="GL344" i="1"/>
  <c r="GO344" i="1"/>
  <c r="GP344" i="1"/>
  <c r="GV344" i="1"/>
  <c r="GX344" i="1"/>
  <c r="C345" i="1"/>
  <c r="D345" i="1"/>
  <c r="R345" i="1"/>
  <c r="V345" i="1"/>
  <c r="AC345" i="1"/>
  <c r="AB345" i="1" s="1"/>
  <c r="AD345" i="1"/>
  <c r="CR345" i="1" s="1"/>
  <c r="Q345" i="1" s="1"/>
  <c r="AE345" i="1"/>
  <c r="AF345" i="1"/>
  <c r="AG345" i="1"/>
  <c r="AH345" i="1"/>
  <c r="CV345" i="1" s="1"/>
  <c r="U345" i="1" s="1"/>
  <c r="AI345" i="1"/>
  <c r="AJ345" i="1"/>
  <c r="CX345" i="1" s="1"/>
  <c r="W345" i="1" s="1"/>
  <c r="CS345" i="1"/>
  <c r="CT345" i="1"/>
  <c r="S345" i="1" s="1"/>
  <c r="CU345" i="1"/>
  <c r="T345" i="1" s="1"/>
  <c r="CW345" i="1"/>
  <c r="FR345" i="1"/>
  <c r="BY358" i="1" s="1"/>
  <c r="CI358" i="1" s="1"/>
  <c r="GK345" i="1"/>
  <c r="GL345" i="1"/>
  <c r="GO345" i="1"/>
  <c r="GP345" i="1"/>
  <c r="GV345" i="1"/>
  <c r="GX345" i="1"/>
  <c r="C346" i="1"/>
  <c r="D346" i="1"/>
  <c r="R346" i="1"/>
  <c r="GK346" i="1" s="1"/>
  <c r="X346" i="1"/>
  <c r="AC346" i="1"/>
  <c r="AD346" i="1"/>
  <c r="AB346" i="1" s="1"/>
  <c r="AE346" i="1"/>
  <c r="AF346" i="1"/>
  <c r="CT346" i="1" s="1"/>
  <c r="S346" i="1" s="1"/>
  <c r="CZ346" i="1" s="1"/>
  <c r="Y346" i="1" s="1"/>
  <c r="AG346" i="1"/>
  <c r="AH346" i="1"/>
  <c r="CV346" i="1" s="1"/>
  <c r="U346" i="1" s="1"/>
  <c r="AI346" i="1"/>
  <c r="AJ346" i="1"/>
  <c r="CX346" i="1" s="1"/>
  <c r="W346" i="1" s="1"/>
  <c r="CQ346" i="1"/>
  <c r="P346" i="1" s="1"/>
  <c r="CR346" i="1"/>
  <c r="Q346" i="1" s="1"/>
  <c r="CS346" i="1"/>
  <c r="CU346" i="1"/>
  <c r="T346" i="1" s="1"/>
  <c r="CW346" i="1"/>
  <c r="V346" i="1" s="1"/>
  <c r="CY346" i="1"/>
  <c r="FR346" i="1"/>
  <c r="GL346" i="1"/>
  <c r="GO346" i="1"/>
  <c r="GP346" i="1"/>
  <c r="GV346" i="1"/>
  <c r="GX346" i="1" s="1"/>
  <c r="I347" i="1"/>
  <c r="T347" i="1"/>
  <c r="U347" i="1"/>
  <c r="AC347" i="1"/>
  <c r="AD347" i="1"/>
  <c r="AE347" i="1"/>
  <c r="CS347" i="1" s="1"/>
  <c r="R347" i="1" s="1"/>
  <c r="AF347" i="1"/>
  <c r="AG347" i="1"/>
  <c r="AH347" i="1"/>
  <c r="AI347" i="1"/>
  <c r="CW347" i="1" s="1"/>
  <c r="V347" i="1" s="1"/>
  <c r="AJ347" i="1"/>
  <c r="CQ347" i="1"/>
  <c r="P347" i="1" s="1"/>
  <c r="CR347" i="1"/>
  <c r="Q347" i="1" s="1"/>
  <c r="CT347" i="1"/>
  <c r="S347" i="1" s="1"/>
  <c r="CU347" i="1"/>
  <c r="CV347" i="1"/>
  <c r="CX347" i="1"/>
  <c r="W347" i="1" s="1"/>
  <c r="FR347" i="1"/>
  <c r="GK347" i="1"/>
  <c r="GL347" i="1"/>
  <c r="BZ358" i="1" s="1"/>
  <c r="GO347" i="1"/>
  <c r="GP347" i="1"/>
  <c r="GV347" i="1"/>
  <c r="GX347" i="1" s="1"/>
  <c r="I348" i="1"/>
  <c r="R348" i="1"/>
  <c r="S348" i="1"/>
  <c r="CZ348" i="1" s="1"/>
  <c r="Y348" i="1" s="1"/>
  <c r="AC348" i="1"/>
  <c r="AB348" i="1" s="1"/>
  <c r="AD348" i="1"/>
  <c r="CR348" i="1" s="1"/>
  <c r="Q348" i="1" s="1"/>
  <c r="AE348" i="1"/>
  <c r="AF348" i="1"/>
  <c r="AG348" i="1"/>
  <c r="AH348" i="1"/>
  <c r="CV348" i="1" s="1"/>
  <c r="U348" i="1" s="1"/>
  <c r="AI348" i="1"/>
  <c r="AJ348" i="1"/>
  <c r="CX348" i="1" s="1"/>
  <c r="W348" i="1" s="1"/>
  <c r="CQ348" i="1"/>
  <c r="P348" i="1" s="1"/>
  <c r="CP348" i="1" s="1"/>
  <c r="O348" i="1" s="1"/>
  <c r="CS348" i="1"/>
  <c r="CT348" i="1"/>
  <c r="CU348" i="1"/>
  <c r="T348" i="1" s="1"/>
  <c r="CW348" i="1"/>
  <c r="V348" i="1" s="1"/>
  <c r="FR348" i="1"/>
  <c r="GK348" i="1"/>
  <c r="GL348" i="1"/>
  <c r="GO348" i="1"/>
  <c r="GP348" i="1"/>
  <c r="GV348" i="1"/>
  <c r="GX348" i="1"/>
  <c r="I349" i="1"/>
  <c r="Q349" i="1"/>
  <c r="U349" i="1"/>
  <c r="AB349" i="1"/>
  <c r="AC349" i="1"/>
  <c r="CQ349" i="1" s="1"/>
  <c r="P349" i="1" s="1"/>
  <c r="AD349" i="1"/>
  <c r="AE349" i="1"/>
  <c r="AF349" i="1"/>
  <c r="AG349" i="1"/>
  <c r="AH349" i="1"/>
  <c r="AI349" i="1"/>
  <c r="AJ349" i="1"/>
  <c r="CR349" i="1"/>
  <c r="CS349" i="1"/>
  <c r="R349" i="1" s="1"/>
  <c r="GK349" i="1" s="1"/>
  <c r="CT349" i="1"/>
  <c r="S349" i="1" s="1"/>
  <c r="CU349" i="1"/>
  <c r="CV349" i="1"/>
  <c r="CW349" i="1"/>
  <c r="V349" i="1" s="1"/>
  <c r="CX349" i="1"/>
  <c r="W349" i="1" s="1"/>
  <c r="FR349" i="1"/>
  <c r="GL349" i="1"/>
  <c r="GO349" i="1"/>
  <c r="GP349" i="1"/>
  <c r="GV349" i="1"/>
  <c r="GX349" i="1"/>
  <c r="I350" i="1"/>
  <c r="AB350" i="1"/>
  <c r="AC350" i="1"/>
  <c r="CQ350" i="1" s="1"/>
  <c r="P350" i="1" s="1"/>
  <c r="AD350" i="1"/>
  <c r="AE350" i="1"/>
  <c r="AF350" i="1"/>
  <c r="CT350" i="1" s="1"/>
  <c r="S350" i="1" s="1"/>
  <c r="AG350" i="1"/>
  <c r="AH350" i="1"/>
  <c r="AI350" i="1"/>
  <c r="AJ350" i="1"/>
  <c r="CX350" i="1" s="1"/>
  <c r="W350" i="1" s="1"/>
  <c r="CR350" i="1"/>
  <c r="Q350" i="1" s="1"/>
  <c r="CS350" i="1"/>
  <c r="R350" i="1" s="1"/>
  <c r="GK350" i="1" s="1"/>
  <c r="CU350" i="1"/>
  <c r="T350" i="1" s="1"/>
  <c r="CV350" i="1"/>
  <c r="U350" i="1" s="1"/>
  <c r="CW350" i="1"/>
  <c r="V350" i="1" s="1"/>
  <c r="FR350" i="1"/>
  <c r="FQ358" i="1" s="1"/>
  <c r="GL350" i="1"/>
  <c r="GO350" i="1"/>
  <c r="GP350" i="1"/>
  <c r="GV350" i="1"/>
  <c r="GX350" i="1"/>
  <c r="I351" i="1"/>
  <c r="AB351" i="1"/>
  <c r="AC351" i="1"/>
  <c r="AD351" i="1"/>
  <c r="AE351" i="1"/>
  <c r="CS351" i="1" s="1"/>
  <c r="R351" i="1" s="1"/>
  <c r="GK351" i="1" s="1"/>
  <c r="AF351" i="1"/>
  <c r="AG351" i="1"/>
  <c r="AH351" i="1"/>
  <c r="AI351" i="1"/>
  <c r="CW351" i="1" s="1"/>
  <c r="V351" i="1" s="1"/>
  <c r="AJ351" i="1"/>
  <c r="CX351" i="1" s="1"/>
  <c r="W351" i="1" s="1"/>
  <c r="CQ351" i="1"/>
  <c r="P351" i="1" s="1"/>
  <c r="CP351" i="1" s="1"/>
  <c r="O351" i="1" s="1"/>
  <c r="CR351" i="1"/>
  <c r="Q351" i="1" s="1"/>
  <c r="CT351" i="1"/>
  <c r="S351" i="1" s="1"/>
  <c r="CU351" i="1"/>
  <c r="T351" i="1" s="1"/>
  <c r="CV351" i="1"/>
  <c r="U351" i="1" s="1"/>
  <c r="FR351" i="1"/>
  <c r="GL351" i="1"/>
  <c r="GO351" i="1"/>
  <c r="GP351" i="1"/>
  <c r="GV351" i="1"/>
  <c r="GX351" i="1" s="1"/>
  <c r="I352" i="1"/>
  <c r="AC352" i="1"/>
  <c r="AB352" i="1" s="1"/>
  <c r="AD352" i="1"/>
  <c r="CR352" i="1" s="1"/>
  <c r="Q352" i="1" s="1"/>
  <c r="AE352" i="1"/>
  <c r="AF352" i="1"/>
  <c r="AG352" i="1"/>
  <c r="AH352" i="1"/>
  <c r="CV352" i="1" s="1"/>
  <c r="U352" i="1" s="1"/>
  <c r="AI352" i="1"/>
  <c r="CW352" i="1" s="1"/>
  <c r="V352" i="1" s="1"/>
  <c r="AJ352" i="1"/>
  <c r="CQ352" i="1"/>
  <c r="P352" i="1" s="1"/>
  <c r="CP352" i="1" s="1"/>
  <c r="O352" i="1" s="1"/>
  <c r="CS352" i="1"/>
  <c r="R352" i="1" s="1"/>
  <c r="GK352" i="1" s="1"/>
  <c r="CT352" i="1"/>
  <c r="S352" i="1" s="1"/>
  <c r="CU352" i="1"/>
  <c r="T352" i="1" s="1"/>
  <c r="CX352" i="1"/>
  <c r="W352" i="1" s="1"/>
  <c r="FR352" i="1"/>
  <c r="GL352" i="1"/>
  <c r="GO352" i="1"/>
  <c r="GP352" i="1"/>
  <c r="GV352" i="1"/>
  <c r="GX352" i="1"/>
  <c r="I353" i="1"/>
  <c r="AC353" i="1"/>
  <c r="CQ353" i="1" s="1"/>
  <c r="P353" i="1" s="1"/>
  <c r="AD353" i="1"/>
  <c r="AE353" i="1"/>
  <c r="AF353" i="1"/>
  <c r="AG353" i="1"/>
  <c r="CU353" i="1" s="1"/>
  <c r="T353" i="1" s="1"/>
  <c r="AH353" i="1"/>
  <c r="CV353" i="1" s="1"/>
  <c r="U353" i="1" s="1"/>
  <c r="AI353" i="1"/>
  <c r="AJ353" i="1"/>
  <c r="CR353" i="1"/>
  <c r="Q353" i="1" s="1"/>
  <c r="CS353" i="1"/>
  <c r="R353" i="1" s="1"/>
  <c r="GK353" i="1" s="1"/>
  <c r="CT353" i="1"/>
  <c r="S353" i="1" s="1"/>
  <c r="CW353" i="1"/>
  <c r="V353" i="1" s="1"/>
  <c r="CX353" i="1"/>
  <c r="W353" i="1" s="1"/>
  <c r="FR353" i="1"/>
  <c r="GL353" i="1"/>
  <c r="GO353" i="1"/>
  <c r="GP353" i="1"/>
  <c r="GV353" i="1"/>
  <c r="GX353" i="1"/>
  <c r="I354" i="1"/>
  <c r="U354" i="1" s="1"/>
  <c r="AC354" i="1"/>
  <c r="AD354" i="1"/>
  <c r="AE354" i="1"/>
  <c r="AF354" i="1"/>
  <c r="AB354" i="1" s="1"/>
  <c r="AG354" i="1"/>
  <c r="CU354" i="1" s="1"/>
  <c r="T354" i="1" s="1"/>
  <c r="AH354" i="1"/>
  <c r="AI354" i="1"/>
  <c r="AJ354" i="1"/>
  <c r="CX354" i="1" s="1"/>
  <c r="W354" i="1" s="1"/>
  <c r="CQ354" i="1"/>
  <c r="P354" i="1" s="1"/>
  <c r="CR354" i="1"/>
  <c r="Q354" i="1" s="1"/>
  <c r="CS354" i="1"/>
  <c r="R354" i="1" s="1"/>
  <c r="GK354" i="1" s="1"/>
  <c r="CV354" i="1"/>
  <c r="CW354" i="1"/>
  <c r="V354" i="1" s="1"/>
  <c r="FR354" i="1"/>
  <c r="GL354" i="1"/>
  <c r="GO354" i="1"/>
  <c r="GP354" i="1"/>
  <c r="GV354" i="1"/>
  <c r="GX354" i="1"/>
  <c r="I355" i="1"/>
  <c r="T355" i="1" s="1"/>
  <c r="AC355" i="1"/>
  <c r="AB355" i="1" s="1"/>
  <c r="AD355" i="1"/>
  <c r="AE355" i="1"/>
  <c r="CS355" i="1" s="1"/>
  <c r="R355" i="1" s="1"/>
  <c r="GK355" i="1" s="1"/>
  <c r="AF355" i="1"/>
  <c r="CT355" i="1" s="1"/>
  <c r="S355" i="1" s="1"/>
  <c r="AG355" i="1"/>
  <c r="AH355" i="1"/>
  <c r="AI355" i="1"/>
  <c r="CW355" i="1" s="1"/>
  <c r="V355" i="1" s="1"/>
  <c r="AJ355" i="1"/>
  <c r="CQ355" i="1"/>
  <c r="P355" i="1" s="1"/>
  <c r="CR355" i="1"/>
  <c r="Q355" i="1" s="1"/>
  <c r="CU355" i="1"/>
  <c r="CV355" i="1"/>
  <c r="U355" i="1" s="1"/>
  <c r="CX355" i="1"/>
  <c r="W355" i="1" s="1"/>
  <c r="FR355" i="1"/>
  <c r="GL355" i="1"/>
  <c r="GO355" i="1"/>
  <c r="GP355" i="1"/>
  <c r="GV355" i="1"/>
  <c r="GX355" i="1" s="1"/>
  <c r="I356" i="1"/>
  <c r="AC356" i="1"/>
  <c r="AB356" i="1" s="1"/>
  <c r="AD356" i="1"/>
  <c r="CR356" i="1" s="1"/>
  <c r="Q356" i="1" s="1"/>
  <c r="AE356" i="1"/>
  <c r="CS356" i="1" s="1"/>
  <c r="R356" i="1" s="1"/>
  <c r="GK356" i="1" s="1"/>
  <c r="AF356" i="1"/>
  <c r="AG356" i="1"/>
  <c r="AH356" i="1"/>
  <c r="CV356" i="1" s="1"/>
  <c r="U356" i="1" s="1"/>
  <c r="AI356" i="1"/>
  <c r="AJ356" i="1"/>
  <c r="CQ356" i="1"/>
  <c r="P356" i="1" s="1"/>
  <c r="CT356" i="1"/>
  <c r="S356" i="1" s="1"/>
  <c r="CU356" i="1"/>
  <c r="T356" i="1" s="1"/>
  <c r="CW356" i="1"/>
  <c r="V356" i="1" s="1"/>
  <c r="CX356" i="1"/>
  <c r="W356" i="1" s="1"/>
  <c r="FR356" i="1"/>
  <c r="GL356" i="1"/>
  <c r="GO356" i="1"/>
  <c r="GP356" i="1"/>
  <c r="GV356" i="1"/>
  <c r="GX356" i="1" s="1"/>
  <c r="B358" i="1"/>
  <c r="B327" i="1" s="1"/>
  <c r="C358" i="1"/>
  <c r="C327" i="1" s="1"/>
  <c r="D358" i="1"/>
  <c r="D327" i="1" s="1"/>
  <c r="F358" i="1"/>
  <c r="F327" i="1" s="1"/>
  <c r="G358" i="1"/>
  <c r="G327" i="1" s="1"/>
  <c r="AO358" i="1"/>
  <c r="AO327" i="1" s="1"/>
  <c r="AQ358" i="1"/>
  <c r="AQ327" i="1" s="1"/>
  <c r="AU358" i="1"/>
  <c r="BB358" i="1"/>
  <c r="BB327" i="1" s="1"/>
  <c r="BC358" i="1"/>
  <c r="BC327" i="1" s="1"/>
  <c r="BX358" i="1"/>
  <c r="BX327" i="1" s="1"/>
  <c r="CD358" i="1"/>
  <c r="CD327" i="1" s="1"/>
  <c r="CK358" i="1"/>
  <c r="CK327" i="1" s="1"/>
  <c r="CL358" i="1"/>
  <c r="CL327" i="1" s="1"/>
  <c r="EL358" i="1"/>
  <c r="EL327" i="1" s="1"/>
  <c r="EM358" i="1"/>
  <c r="EU358" i="1"/>
  <c r="FP358" i="1"/>
  <c r="FP327" i="1" s="1"/>
  <c r="FU358" i="1"/>
  <c r="FU327" i="1" s="1"/>
  <c r="GC358" i="1"/>
  <c r="GC327" i="1" s="1"/>
  <c r="GD358" i="1"/>
  <c r="GD327" i="1" s="1"/>
  <c r="F362" i="1"/>
  <c r="F368" i="1"/>
  <c r="F371" i="1"/>
  <c r="F374" i="1"/>
  <c r="P376" i="1"/>
  <c r="D387" i="1"/>
  <c r="E389" i="1"/>
  <c r="Z389" i="1"/>
  <c r="AA389" i="1"/>
  <c r="AM389" i="1"/>
  <c r="AN389" i="1"/>
  <c r="BD389" i="1"/>
  <c r="BE389" i="1"/>
  <c r="BF389" i="1"/>
  <c r="BG389" i="1"/>
  <c r="BH389" i="1"/>
  <c r="BI389" i="1"/>
  <c r="BJ389" i="1"/>
  <c r="BK389" i="1"/>
  <c r="BL389" i="1"/>
  <c r="BM389" i="1"/>
  <c r="BN389" i="1"/>
  <c r="BO389" i="1"/>
  <c r="BP389" i="1"/>
  <c r="BQ389" i="1"/>
  <c r="BR389" i="1"/>
  <c r="BS389" i="1"/>
  <c r="BT389" i="1"/>
  <c r="BU389" i="1"/>
  <c r="BV389" i="1"/>
  <c r="BW389" i="1"/>
  <c r="CM389" i="1"/>
  <c r="CN389" i="1"/>
  <c r="CO389" i="1"/>
  <c r="CP389" i="1"/>
  <c r="CQ389" i="1"/>
  <c r="CR389" i="1"/>
  <c r="CS389" i="1"/>
  <c r="CT389" i="1"/>
  <c r="CU389" i="1"/>
  <c r="CV389" i="1"/>
  <c r="CW389" i="1"/>
  <c r="CX389" i="1"/>
  <c r="CY389" i="1"/>
  <c r="CZ389" i="1"/>
  <c r="DA389" i="1"/>
  <c r="DB389" i="1"/>
  <c r="DC389" i="1"/>
  <c r="DD389" i="1"/>
  <c r="DE389" i="1"/>
  <c r="DF389" i="1"/>
  <c r="DR389" i="1"/>
  <c r="DS389" i="1"/>
  <c r="EE389" i="1"/>
  <c r="EF389" i="1"/>
  <c r="EV389" i="1"/>
  <c r="EW389" i="1"/>
  <c r="EX389" i="1"/>
  <c r="EY389" i="1"/>
  <c r="EZ389" i="1"/>
  <c r="FA389" i="1"/>
  <c r="FB389" i="1"/>
  <c r="FC389" i="1"/>
  <c r="FD389" i="1"/>
  <c r="FE389" i="1"/>
  <c r="FF389" i="1"/>
  <c r="FG389" i="1"/>
  <c r="FH389" i="1"/>
  <c r="FI389" i="1"/>
  <c r="FJ389" i="1"/>
  <c r="FK389" i="1"/>
  <c r="FL389" i="1"/>
  <c r="FM389" i="1"/>
  <c r="FN389" i="1"/>
  <c r="FO389" i="1"/>
  <c r="GE389" i="1"/>
  <c r="GF389" i="1"/>
  <c r="GG389" i="1"/>
  <c r="GH389" i="1"/>
  <c r="GI389" i="1"/>
  <c r="GJ389" i="1"/>
  <c r="GK389" i="1"/>
  <c r="GL389" i="1"/>
  <c r="GM389" i="1"/>
  <c r="GN389" i="1"/>
  <c r="GO389" i="1"/>
  <c r="GP389" i="1"/>
  <c r="GQ389" i="1"/>
  <c r="GR389" i="1"/>
  <c r="GS389" i="1"/>
  <c r="GT389" i="1"/>
  <c r="GU389" i="1"/>
  <c r="GV389" i="1"/>
  <c r="GW389" i="1"/>
  <c r="GX389" i="1"/>
  <c r="C391" i="1"/>
  <c r="D391" i="1"/>
  <c r="AC391" i="1"/>
  <c r="CQ391" i="1" s="1"/>
  <c r="P391" i="1" s="1"/>
  <c r="AD391" i="1"/>
  <c r="AE391" i="1"/>
  <c r="AF391" i="1"/>
  <c r="CT391" i="1" s="1"/>
  <c r="S391" i="1" s="1"/>
  <c r="AG391" i="1"/>
  <c r="AH391" i="1"/>
  <c r="AI391" i="1"/>
  <c r="AJ391" i="1"/>
  <c r="CX391" i="1" s="1"/>
  <c r="W391" i="1" s="1"/>
  <c r="CR391" i="1"/>
  <c r="Q391" i="1" s="1"/>
  <c r="CS391" i="1"/>
  <c r="R391" i="1" s="1"/>
  <c r="CU391" i="1"/>
  <c r="T391" i="1" s="1"/>
  <c r="CV391" i="1"/>
  <c r="U391" i="1" s="1"/>
  <c r="CW391" i="1"/>
  <c r="V391" i="1" s="1"/>
  <c r="FR391" i="1"/>
  <c r="GL391" i="1"/>
  <c r="GN391" i="1"/>
  <c r="GP391" i="1"/>
  <c r="GV391" i="1"/>
  <c r="GX391" i="1"/>
  <c r="C392" i="1"/>
  <c r="D392" i="1"/>
  <c r="AC392" i="1"/>
  <c r="AB392" i="1" s="1"/>
  <c r="AD392" i="1"/>
  <c r="CR392" i="1" s="1"/>
  <c r="Q392" i="1" s="1"/>
  <c r="AE392" i="1"/>
  <c r="AF392" i="1"/>
  <c r="CT392" i="1" s="1"/>
  <c r="S392" i="1" s="1"/>
  <c r="CZ392" i="1" s="1"/>
  <c r="Y392" i="1" s="1"/>
  <c r="AG392" i="1"/>
  <c r="AH392" i="1"/>
  <c r="CV392" i="1" s="1"/>
  <c r="U392" i="1" s="1"/>
  <c r="AI392" i="1"/>
  <c r="CW392" i="1" s="1"/>
  <c r="V392" i="1" s="1"/>
  <c r="AJ392" i="1"/>
  <c r="CQ392" i="1"/>
  <c r="P392" i="1" s="1"/>
  <c r="CS392" i="1"/>
  <c r="R392" i="1" s="1"/>
  <c r="GK392" i="1" s="1"/>
  <c r="CU392" i="1"/>
  <c r="T392" i="1" s="1"/>
  <c r="CX392" i="1"/>
  <c r="W392" i="1" s="1"/>
  <c r="FR392" i="1"/>
  <c r="GL392" i="1"/>
  <c r="GN392" i="1"/>
  <c r="GP392" i="1"/>
  <c r="GV392" i="1"/>
  <c r="GX392" i="1"/>
  <c r="C393" i="1"/>
  <c r="D393" i="1"/>
  <c r="AC393" i="1"/>
  <c r="AD393" i="1"/>
  <c r="CR393" i="1" s="1"/>
  <c r="Q393" i="1" s="1"/>
  <c r="AE393" i="1"/>
  <c r="AF393" i="1"/>
  <c r="CT393" i="1" s="1"/>
  <c r="S393" i="1" s="1"/>
  <c r="AG393" i="1"/>
  <c r="CU393" i="1" s="1"/>
  <c r="T393" i="1" s="1"/>
  <c r="AH393" i="1"/>
  <c r="AI393" i="1"/>
  <c r="AJ393" i="1"/>
  <c r="CX393" i="1" s="1"/>
  <c r="W393" i="1" s="1"/>
  <c r="CQ393" i="1"/>
  <c r="P393" i="1" s="1"/>
  <c r="CP393" i="1" s="1"/>
  <c r="O393" i="1" s="1"/>
  <c r="CS393" i="1"/>
  <c r="R393" i="1" s="1"/>
  <c r="GK393" i="1" s="1"/>
  <c r="CV393" i="1"/>
  <c r="U393" i="1" s="1"/>
  <c r="CW393" i="1"/>
  <c r="V393" i="1" s="1"/>
  <c r="FR393" i="1"/>
  <c r="GL393" i="1"/>
  <c r="GN393" i="1"/>
  <c r="GP393" i="1"/>
  <c r="GV393" i="1"/>
  <c r="GX393" i="1"/>
  <c r="C394" i="1"/>
  <c r="D394" i="1"/>
  <c r="P394" i="1"/>
  <c r="AC394" i="1"/>
  <c r="AD394" i="1"/>
  <c r="AE394" i="1"/>
  <c r="CS394" i="1" s="1"/>
  <c r="R394" i="1" s="1"/>
  <c r="GK394" i="1" s="1"/>
  <c r="AF394" i="1"/>
  <c r="AG394" i="1"/>
  <c r="AH394" i="1"/>
  <c r="CV394" i="1" s="1"/>
  <c r="U394" i="1" s="1"/>
  <c r="AI394" i="1"/>
  <c r="AJ394" i="1"/>
  <c r="CX394" i="1" s="1"/>
  <c r="W394" i="1" s="1"/>
  <c r="CQ394" i="1"/>
  <c r="CT394" i="1"/>
  <c r="S394" i="1" s="1"/>
  <c r="CU394" i="1"/>
  <c r="T394" i="1" s="1"/>
  <c r="CW394" i="1"/>
  <c r="V394" i="1" s="1"/>
  <c r="FR394" i="1"/>
  <c r="GL394" i="1"/>
  <c r="GN394" i="1"/>
  <c r="GP394" i="1"/>
  <c r="GV394" i="1"/>
  <c r="GX394" i="1" s="1"/>
  <c r="C395" i="1"/>
  <c r="D395" i="1"/>
  <c r="I395" i="1"/>
  <c r="CX371" i="3" s="1"/>
  <c r="U395" i="1"/>
  <c r="AB395" i="1"/>
  <c r="AC395" i="1"/>
  <c r="AD395" i="1"/>
  <c r="AE395" i="1"/>
  <c r="CS395" i="1" s="1"/>
  <c r="R395" i="1" s="1"/>
  <c r="GK395" i="1" s="1"/>
  <c r="AF395" i="1"/>
  <c r="AG395" i="1"/>
  <c r="CU395" i="1" s="1"/>
  <c r="T395" i="1" s="1"/>
  <c r="AH395" i="1"/>
  <c r="AI395" i="1"/>
  <c r="CW395" i="1" s="1"/>
  <c r="V395" i="1" s="1"/>
  <c r="AJ395" i="1"/>
  <c r="CX395" i="1" s="1"/>
  <c r="W395" i="1" s="1"/>
  <c r="CQ395" i="1"/>
  <c r="P395" i="1" s="1"/>
  <c r="CP395" i="1" s="1"/>
  <c r="O395" i="1" s="1"/>
  <c r="CR395" i="1"/>
  <c r="Q395" i="1" s="1"/>
  <c r="CT395" i="1"/>
  <c r="S395" i="1" s="1"/>
  <c r="CY395" i="1" s="1"/>
  <c r="X395" i="1" s="1"/>
  <c r="CV395" i="1"/>
  <c r="FR395" i="1"/>
  <c r="GL395" i="1"/>
  <c r="GN395" i="1"/>
  <c r="GP395" i="1"/>
  <c r="GV395" i="1"/>
  <c r="GX395" i="1" s="1"/>
  <c r="C396" i="1"/>
  <c r="D396" i="1"/>
  <c r="I396" i="1"/>
  <c r="CX372" i="3" s="1"/>
  <c r="AB396" i="1"/>
  <c r="AC396" i="1"/>
  <c r="AD396" i="1"/>
  <c r="CR396" i="1" s="1"/>
  <c r="AE396" i="1"/>
  <c r="AF396" i="1"/>
  <c r="CT396" i="1" s="1"/>
  <c r="AG396" i="1"/>
  <c r="CU396" i="1" s="1"/>
  <c r="T396" i="1" s="1"/>
  <c r="AH396" i="1"/>
  <c r="AI396" i="1"/>
  <c r="AJ396" i="1"/>
  <c r="CX396" i="1" s="1"/>
  <c r="W396" i="1" s="1"/>
  <c r="CQ396" i="1"/>
  <c r="P396" i="1" s="1"/>
  <c r="CS396" i="1"/>
  <c r="R396" i="1" s="1"/>
  <c r="CV396" i="1"/>
  <c r="CW396" i="1"/>
  <c r="V396" i="1" s="1"/>
  <c r="FR396" i="1"/>
  <c r="GL396" i="1"/>
  <c r="GN396" i="1"/>
  <c r="GP396" i="1"/>
  <c r="GV396" i="1"/>
  <c r="C397" i="1"/>
  <c r="D397" i="1"/>
  <c r="AC397" i="1"/>
  <c r="AD397" i="1"/>
  <c r="AE397" i="1"/>
  <c r="CS397" i="1" s="1"/>
  <c r="R397" i="1" s="1"/>
  <c r="GK397" i="1" s="1"/>
  <c r="AF397" i="1"/>
  <c r="AG397" i="1"/>
  <c r="AH397" i="1"/>
  <c r="CV397" i="1" s="1"/>
  <c r="U397" i="1" s="1"/>
  <c r="AI397" i="1"/>
  <c r="AJ397" i="1"/>
  <c r="CX397" i="1" s="1"/>
  <c r="W397" i="1" s="1"/>
  <c r="CQ397" i="1"/>
  <c r="P397" i="1" s="1"/>
  <c r="CT397" i="1"/>
  <c r="S397" i="1" s="1"/>
  <c r="CZ397" i="1" s="1"/>
  <c r="Y397" i="1" s="1"/>
  <c r="CU397" i="1"/>
  <c r="T397" i="1" s="1"/>
  <c r="CW397" i="1"/>
  <c r="V397" i="1" s="1"/>
  <c r="FR397" i="1"/>
  <c r="GL397" i="1"/>
  <c r="GN397" i="1"/>
  <c r="GP397" i="1"/>
  <c r="CD420" i="1" s="1"/>
  <c r="CD389" i="1" s="1"/>
  <c r="GV397" i="1"/>
  <c r="GX397" i="1" s="1"/>
  <c r="C398" i="1"/>
  <c r="D398" i="1"/>
  <c r="V398" i="1"/>
  <c r="AC398" i="1"/>
  <c r="CQ398" i="1" s="1"/>
  <c r="P398" i="1" s="1"/>
  <c r="AD398" i="1"/>
  <c r="AE398" i="1"/>
  <c r="AF398" i="1"/>
  <c r="CT398" i="1" s="1"/>
  <c r="S398" i="1" s="1"/>
  <c r="AG398" i="1"/>
  <c r="AH398" i="1"/>
  <c r="CV398" i="1" s="1"/>
  <c r="U398" i="1" s="1"/>
  <c r="AI398" i="1"/>
  <c r="AJ398" i="1"/>
  <c r="CX398" i="1" s="1"/>
  <c r="W398" i="1" s="1"/>
  <c r="CR398" i="1"/>
  <c r="Q398" i="1" s="1"/>
  <c r="CS398" i="1"/>
  <c r="R398" i="1" s="1"/>
  <c r="GK398" i="1" s="1"/>
  <c r="CU398" i="1"/>
  <c r="T398" i="1" s="1"/>
  <c r="CW398" i="1"/>
  <c r="FR398" i="1"/>
  <c r="GL398" i="1"/>
  <c r="GN398" i="1"/>
  <c r="GP398" i="1"/>
  <c r="GV398" i="1"/>
  <c r="GX398" i="1"/>
  <c r="C399" i="1"/>
  <c r="D399" i="1"/>
  <c r="P399" i="1"/>
  <c r="AC399" i="1"/>
  <c r="AB399" i="1" s="1"/>
  <c r="AD399" i="1"/>
  <c r="CR399" i="1" s="1"/>
  <c r="Q399" i="1" s="1"/>
  <c r="AE399" i="1"/>
  <c r="AF399" i="1"/>
  <c r="CT399" i="1" s="1"/>
  <c r="S399" i="1" s="1"/>
  <c r="CZ399" i="1" s="1"/>
  <c r="Y399" i="1" s="1"/>
  <c r="AG399" i="1"/>
  <c r="AH399" i="1"/>
  <c r="CV399" i="1" s="1"/>
  <c r="U399" i="1" s="1"/>
  <c r="AI399" i="1"/>
  <c r="CW399" i="1" s="1"/>
  <c r="V399" i="1" s="1"/>
  <c r="AJ399" i="1"/>
  <c r="CQ399" i="1"/>
  <c r="CS399" i="1"/>
  <c r="R399" i="1" s="1"/>
  <c r="GK399" i="1" s="1"/>
  <c r="CU399" i="1"/>
  <c r="T399" i="1" s="1"/>
  <c r="CX399" i="1"/>
  <c r="W399" i="1" s="1"/>
  <c r="FR399" i="1"/>
  <c r="GL399" i="1"/>
  <c r="GN399" i="1"/>
  <c r="GP399" i="1"/>
  <c r="GV399" i="1"/>
  <c r="GX399" i="1"/>
  <c r="C400" i="1"/>
  <c r="D400" i="1"/>
  <c r="R400" i="1"/>
  <c r="AC400" i="1"/>
  <c r="AD400" i="1"/>
  <c r="CR400" i="1" s="1"/>
  <c r="Q400" i="1" s="1"/>
  <c r="AE400" i="1"/>
  <c r="AF400" i="1"/>
  <c r="CT400" i="1" s="1"/>
  <c r="S400" i="1" s="1"/>
  <c r="AG400" i="1"/>
  <c r="CU400" i="1" s="1"/>
  <c r="T400" i="1" s="1"/>
  <c r="AH400" i="1"/>
  <c r="AI400" i="1"/>
  <c r="AJ400" i="1"/>
  <c r="CX400" i="1" s="1"/>
  <c r="W400" i="1" s="1"/>
  <c r="CQ400" i="1"/>
  <c r="P400" i="1" s="1"/>
  <c r="CS400" i="1"/>
  <c r="CV400" i="1"/>
  <c r="U400" i="1" s="1"/>
  <c r="CW400" i="1"/>
  <c r="V400" i="1" s="1"/>
  <c r="FR400" i="1"/>
  <c r="GK400" i="1"/>
  <c r="GL400" i="1"/>
  <c r="GN400" i="1"/>
  <c r="GP400" i="1"/>
  <c r="GV400" i="1"/>
  <c r="GX400" i="1"/>
  <c r="I401" i="1"/>
  <c r="Q401" i="1" s="1"/>
  <c r="AC401" i="1"/>
  <c r="AD401" i="1"/>
  <c r="AE401" i="1"/>
  <c r="CS401" i="1" s="1"/>
  <c r="R401" i="1" s="1"/>
  <c r="GK401" i="1" s="1"/>
  <c r="AF401" i="1"/>
  <c r="CT401" i="1" s="1"/>
  <c r="S401" i="1" s="1"/>
  <c r="CY401" i="1" s="1"/>
  <c r="X401" i="1" s="1"/>
  <c r="AG401" i="1"/>
  <c r="AH401" i="1"/>
  <c r="AI401" i="1"/>
  <c r="CW401" i="1" s="1"/>
  <c r="V401" i="1" s="1"/>
  <c r="AJ401" i="1"/>
  <c r="CR401" i="1"/>
  <c r="CU401" i="1"/>
  <c r="T401" i="1" s="1"/>
  <c r="CV401" i="1"/>
  <c r="U401" i="1" s="1"/>
  <c r="CX401" i="1"/>
  <c r="FR401" i="1"/>
  <c r="GL401" i="1"/>
  <c r="GN401" i="1"/>
  <c r="GP401" i="1"/>
  <c r="GV401" i="1"/>
  <c r="GX401" i="1" s="1"/>
  <c r="I402" i="1"/>
  <c r="T402" i="1"/>
  <c r="AC402" i="1"/>
  <c r="AD402" i="1"/>
  <c r="AB402" i="1" s="1"/>
  <c r="AE402" i="1"/>
  <c r="CS402" i="1" s="1"/>
  <c r="R402" i="1" s="1"/>
  <c r="GK402" i="1" s="1"/>
  <c r="AF402" i="1"/>
  <c r="AG402" i="1"/>
  <c r="AH402" i="1"/>
  <c r="CV402" i="1" s="1"/>
  <c r="U402" i="1" s="1"/>
  <c r="AI402" i="1"/>
  <c r="AJ402" i="1"/>
  <c r="CX402" i="1" s="1"/>
  <c r="W402" i="1" s="1"/>
  <c r="CQ402" i="1"/>
  <c r="P402" i="1" s="1"/>
  <c r="CP402" i="1" s="1"/>
  <c r="O402" i="1" s="1"/>
  <c r="CR402" i="1"/>
  <c r="Q402" i="1" s="1"/>
  <c r="CT402" i="1"/>
  <c r="S402" i="1" s="1"/>
  <c r="CZ402" i="1" s="1"/>
  <c r="Y402" i="1" s="1"/>
  <c r="CU402" i="1"/>
  <c r="CW402" i="1"/>
  <c r="V402" i="1" s="1"/>
  <c r="CY402" i="1"/>
  <c r="X402" i="1" s="1"/>
  <c r="FR402" i="1"/>
  <c r="GL402" i="1"/>
  <c r="GN402" i="1"/>
  <c r="GP402" i="1"/>
  <c r="GV402" i="1"/>
  <c r="GX402" i="1" s="1"/>
  <c r="C403" i="1"/>
  <c r="D403" i="1"/>
  <c r="I403" i="1"/>
  <c r="R403" i="1"/>
  <c r="GK403" i="1" s="1"/>
  <c r="U403" i="1"/>
  <c r="AB403" i="1"/>
  <c r="AC403" i="1"/>
  <c r="AD403" i="1"/>
  <c r="AE403" i="1"/>
  <c r="CS403" i="1" s="1"/>
  <c r="AF403" i="1"/>
  <c r="AG403" i="1"/>
  <c r="CU403" i="1" s="1"/>
  <c r="T403" i="1" s="1"/>
  <c r="AH403" i="1"/>
  <c r="AI403" i="1"/>
  <c r="AJ403" i="1"/>
  <c r="CX403" i="1" s="1"/>
  <c r="W403" i="1" s="1"/>
  <c r="CQ403" i="1"/>
  <c r="P403" i="1" s="1"/>
  <c r="CR403" i="1"/>
  <c r="Q403" i="1" s="1"/>
  <c r="CT403" i="1"/>
  <c r="S403" i="1" s="1"/>
  <c r="CY403" i="1" s="1"/>
  <c r="X403" i="1" s="1"/>
  <c r="CV403" i="1"/>
  <c r="CW403" i="1"/>
  <c r="V403" i="1" s="1"/>
  <c r="CZ403" i="1"/>
  <c r="Y403" i="1" s="1"/>
  <c r="FR403" i="1"/>
  <c r="GL403" i="1"/>
  <c r="GN403" i="1"/>
  <c r="GP403" i="1"/>
  <c r="GV403" i="1"/>
  <c r="GX403" i="1" s="1"/>
  <c r="C404" i="1"/>
  <c r="D404" i="1"/>
  <c r="I404" i="1"/>
  <c r="GX404" i="1" s="1"/>
  <c r="V404" i="1"/>
  <c r="AC404" i="1"/>
  <c r="AD404" i="1"/>
  <c r="CR404" i="1" s="1"/>
  <c r="Q404" i="1" s="1"/>
  <c r="AE404" i="1"/>
  <c r="AF404" i="1"/>
  <c r="AB404" i="1" s="1"/>
  <c r="AG404" i="1"/>
  <c r="CU404" i="1" s="1"/>
  <c r="AH404" i="1"/>
  <c r="AI404" i="1"/>
  <c r="AJ404" i="1"/>
  <c r="CX404" i="1" s="1"/>
  <c r="CQ404" i="1"/>
  <c r="P404" i="1" s="1"/>
  <c r="CP404" i="1" s="1"/>
  <c r="O404" i="1" s="1"/>
  <c r="CS404" i="1"/>
  <c r="R404" i="1" s="1"/>
  <c r="GK404" i="1" s="1"/>
  <c r="CT404" i="1"/>
  <c r="S404" i="1" s="1"/>
  <c r="CV404" i="1"/>
  <c r="CW404" i="1"/>
  <c r="FR404" i="1"/>
  <c r="GL404" i="1"/>
  <c r="GN404" i="1"/>
  <c r="FT420" i="1" s="1"/>
  <c r="GP404" i="1"/>
  <c r="GV404" i="1"/>
  <c r="I405" i="1"/>
  <c r="T405" i="1" s="1"/>
  <c r="AC405" i="1"/>
  <c r="AB405" i="1" s="1"/>
  <c r="AD405" i="1"/>
  <c r="AE405" i="1"/>
  <c r="AF405" i="1"/>
  <c r="CT405" i="1" s="1"/>
  <c r="S405" i="1" s="1"/>
  <c r="CY405" i="1" s="1"/>
  <c r="X405" i="1" s="1"/>
  <c r="AG405" i="1"/>
  <c r="AH405" i="1"/>
  <c r="AI405" i="1"/>
  <c r="CW405" i="1" s="1"/>
  <c r="V405" i="1" s="1"/>
  <c r="AJ405" i="1"/>
  <c r="CR405" i="1"/>
  <c r="Q405" i="1" s="1"/>
  <c r="CS405" i="1"/>
  <c r="R405" i="1" s="1"/>
  <c r="GK405" i="1" s="1"/>
  <c r="CU405" i="1"/>
  <c r="CV405" i="1"/>
  <c r="U405" i="1" s="1"/>
  <c r="CX405" i="1"/>
  <c r="W405" i="1" s="1"/>
  <c r="FR405" i="1"/>
  <c r="GL405" i="1"/>
  <c r="GN405" i="1"/>
  <c r="GP405" i="1"/>
  <c r="GV405" i="1"/>
  <c r="GX405" i="1"/>
  <c r="AC406" i="1"/>
  <c r="AD406" i="1"/>
  <c r="AB406" i="1" s="1"/>
  <c r="AE406" i="1"/>
  <c r="CS406" i="1" s="1"/>
  <c r="AF406" i="1"/>
  <c r="AG406" i="1"/>
  <c r="AH406" i="1"/>
  <c r="CV406" i="1" s="1"/>
  <c r="AI406" i="1"/>
  <c r="AJ406" i="1"/>
  <c r="CX406" i="1" s="1"/>
  <c r="CQ406" i="1"/>
  <c r="CR406" i="1"/>
  <c r="CT406" i="1"/>
  <c r="CU406" i="1"/>
  <c r="CW406" i="1"/>
  <c r="FR406" i="1"/>
  <c r="GL406" i="1"/>
  <c r="GN406" i="1"/>
  <c r="GP406" i="1"/>
  <c r="GV406" i="1"/>
  <c r="I407" i="1"/>
  <c r="W407" i="1"/>
  <c r="AC407" i="1"/>
  <c r="AD407" i="1"/>
  <c r="CR407" i="1" s="1"/>
  <c r="Q407" i="1" s="1"/>
  <c r="AE407" i="1"/>
  <c r="AF407" i="1"/>
  <c r="AG407" i="1"/>
  <c r="CU407" i="1" s="1"/>
  <c r="T407" i="1" s="1"/>
  <c r="AH407" i="1"/>
  <c r="AI407" i="1"/>
  <c r="CW407" i="1" s="1"/>
  <c r="V407" i="1" s="1"/>
  <c r="AJ407" i="1"/>
  <c r="CQ407" i="1"/>
  <c r="P407" i="1" s="1"/>
  <c r="CS407" i="1"/>
  <c r="R407" i="1" s="1"/>
  <c r="GK407" i="1" s="1"/>
  <c r="CT407" i="1"/>
  <c r="S407" i="1" s="1"/>
  <c r="CV407" i="1"/>
  <c r="U407" i="1" s="1"/>
  <c r="CX407" i="1"/>
  <c r="FR407" i="1"/>
  <c r="GL407" i="1"/>
  <c r="GN407" i="1"/>
  <c r="GP407" i="1"/>
  <c r="GV407" i="1"/>
  <c r="GX407" i="1"/>
  <c r="AC408" i="1"/>
  <c r="CQ408" i="1" s="1"/>
  <c r="AD408" i="1"/>
  <c r="AE408" i="1"/>
  <c r="AF408" i="1"/>
  <c r="CT408" i="1" s="1"/>
  <c r="AG408" i="1"/>
  <c r="AH408" i="1"/>
  <c r="CV408" i="1" s="1"/>
  <c r="AI408" i="1"/>
  <c r="AJ408" i="1"/>
  <c r="CX408" i="1" s="1"/>
  <c r="CR408" i="1"/>
  <c r="CS408" i="1"/>
  <c r="CU408" i="1"/>
  <c r="CW408" i="1"/>
  <c r="FR408" i="1"/>
  <c r="GL408" i="1"/>
  <c r="GN408" i="1"/>
  <c r="GP408" i="1"/>
  <c r="GV408" i="1"/>
  <c r="C409" i="1"/>
  <c r="D409" i="1"/>
  <c r="I409" i="1"/>
  <c r="S409" i="1"/>
  <c r="CY409" i="1" s="1"/>
  <c r="X409" i="1" s="1"/>
  <c r="V409" i="1"/>
  <c r="AB409" i="1"/>
  <c r="AC409" i="1"/>
  <c r="CQ409" i="1" s="1"/>
  <c r="P409" i="1" s="1"/>
  <c r="CP409" i="1" s="1"/>
  <c r="O409" i="1" s="1"/>
  <c r="AD409" i="1"/>
  <c r="AE409" i="1"/>
  <c r="AF409" i="1"/>
  <c r="AG409" i="1"/>
  <c r="AH409" i="1"/>
  <c r="CV409" i="1" s="1"/>
  <c r="U409" i="1" s="1"/>
  <c r="AI409" i="1"/>
  <c r="AJ409" i="1"/>
  <c r="CX409" i="1" s="1"/>
  <c r="W409" i="1" s="1"/>
  <c r="CR409" i="1"/>
  <c r="Q409" i="1" s="1"/>
  <c r="CS409" i="1"/>
  <c r="R409" i="1" s="1"/>
  <c r="GK409" i="1" s="1"/>
  <c r="CT409" i="1"/>
  <c r="CU409" i="1"/>
  <c r="T409" i="1" s="1"/>
  <c r="CW409" i="1"/>
  <c r="CZ409" i="1"/>
  <c r="Y409" i="1" s="1"/>
  <c r="FR409" i="1"/>
  <c r="GL409" i="1"/>
  <c r="GN409" i="1"/>
  <c r="GP409" i="1"/>
  <c r="GV409" i="1"/>
  <c r="GX409" i="1"/>
  <c r="C410" i="1"/>
  <c r="D410" i="1"/>
  <c r="I410" i="1"/>
  <c r="R410" i="1"/>
  <c r="GK410" i="1" s="1"/>
  <c r="T410" i="1"/>
  <c r="U410" i="1"/>
  <c r="AC410" i="1"/>
  <c r="AB410" i="1" s="1"/>
  <c r="AD410" i="1"/>
  <c r="CR410" i="1" s="1"/>
  <c r="Q410" i="1" s="1"/>
  <c r="AE410" i="1"/>
  <c r="CS410" i="1" s="1"/>
  <c r="AF410" i="1"/>
  <c r="AG410" i="1"/>
  <c r="AH410" i="1"/>
  <c r="CV410" i="1" s="1"/>
  <c r="AI410" i="1"/>
  <c r="AJ410" i="1"/>
  <c r="CT410" i="1"/>
  <c r="S410" i="1" s="1"/>
  <c r="CU410" i="1"/>
  <c r="CW410" i="1"/>
  <c r="V410" i="1" s="1"/>
  <c r="CX410" i="1"/>
  <c r="W410" i="1" s="1"/>
  <c r="FR410" i="1"/>
  <c r="GL410" i="1"/>
  <c r="GN410" i="1"/>
  <c r="GP410" i="1"/>
  <c r="GV410" i="1"/>
  <c r="GX410" i="1" s="1"/>
  <c r="I411" i="1"/>
  <c r="T411" i="1" s="1"/>
  <c r="R411" i="1"/>
  <c r="S411" i="1"/>
  <c r="CZ411" i="1" s="1"/>
  <c r="Y411" i="1" s="1"/>
  <c r="AC411" i="1"/>
  <c r="AD411" i="1"/>
  <c r="AE411" i="1"/>
  <c r="AF411" i="1"/>
  <c r="AG411" i="1"/>
  <c r="CU411" i="1" s="1"/>
  <c r="AH411" i="1"/>
  <c r="AI411" i="1"/>
  <c r="CW411" i="1" s="1"/>
  <c r="V411" i="1" s="1"/>
  <c r="AJ411" i="1"/>
  <c r="CQ411" i="1"/>
  <c r="P411" i="1" s="1"/>
  <c r="CS411" i="1"/>
  <c r="CT411" i="1"/>
  <c r="CV411" i="1"/>
  <c r="CX411" i="1"/>
  <c r="W411" i="1" s="1"/>
  <c r="FR411" i="1"/>
  <c r="GK411" i="1"/>
  <c r="GL411" i="1"/>
  <c r="GN411" i="1"/>
  <c r="GP411" i="1"/>
  <c r="GV411" i="1"/>
  <c r="I412" i="1"/>
  <c r="AB412" i="1"/>
  <c r="AC412" i="1"/>
  <c r="CQ412" i="1" s="1"/>
  <c r="AD412" i="1"/>
  <c r="AE412" i="1"/>
  <c r="AF412" i="1"/>
  <c r="CT412" i="1" s="1"/>
  <c r="AG412" i="1"/>
  <c r="AH412" i="1"/>
  <c r="AI412" i="1"/>
  <c r="CW412" i="1" s="1"/>
  <c r="V412" i="1" s="1"/>
  <c r="AJ412" i="1"/>
  <c r="CR412" i="1"/>
  <c r="CS412" i="1"/>
  <c r="CU412" i="1"/>
  <c r="CV412" i="1"/>
  <c r="CX412" i="1"/>
  <c r="FR412" i="1"/>
  <c r="GL412" i="1"/>
  <c r="GN412" i="1"/>
  <c r="GP412" i="1"/>
  <c r="GV412" i="1"/>
  <c r="C413" i="1"/>
  <c r="D413" i="1"/>
  <c r="I413" i="1"/>
  <c r="S413" i="1"/>
  <c r="U413" i="1"/>
  <c r="V413" i="1"/>
  <c r="AC413" i="1"/>
  <c r="CQ413" i="1" s="1"/>
  <c r="P413" i="1" s="1"/>
  <c r="AD413" i="1"/>
  <c r="AE413" i="1"/>
  <c r="CS413" i="1" s="1"/>
  <c r="R413" i="1" s="1"/>
  <c r="GK413" i="1" s="1"/>
  <c r="AF413" i="1"/>
  <c r="CT413" i="1" s="1"/>
  <c r="AG413" i="1"/>
  <c r="AH413" i="1"/>
  <c r="CV413" i="1" s="1"/>
  <c r="AI413" i="1"/>
  <c r="AJ413" i="1"/>
  <c r="CR413" i="1"/>
  <c r="Q413" i="1" s="1"/>
  <c r="CU413" i="1"/>
  <c r="T413" i="1" s="1"/>
  <c r="CW413" i="1"/>
  <c r="CX413" i="1"/>
  <c r="W413" i="1" s="1"/>
  <c r="FR413" i="1"/>
  <c r="BY420" i="1" s="1"/>
  <c r="GL413" i="1"/>
  <c r="GN413" i="1"/>
  <c r="GP413" i="1"/>
  <c r="GV413" i="1"/>
  <c r="GX413" i="1" s="1"/>
  <c r="C414" i="1"/>
  <c r="D414" i="1"/>
  <c r="I414" i="1"/>
  <c r="I416" i="1" s="1"/>
  <c r="S416" i="1" s="1"/>
  <c r="T414" i="1"/>
  <c r="U414" i="1"/>
  <c r="AC414" i="1"/>
  <c r="AD414" i="1"/>
  <c r="AE414" i="1"/>
  <c r="CS414" i="1" s="1"/>
  <c r="R414" i="1" s="1"/>
  <c r="GK414" i="1" s="1"/>
  <c r="AF414" i="1"/>
  <c r="CT414" i="1" s="1"/>
  <c r="S414" i="1" s="1"/>
  <c r="CZ414" i="1" s="1"/>
  <c r="Y414" i="1" s="1"/>
  <c r="AG414" i="1"/>
  <c r="CU414" i="1" s="1"/>
  <c r="AH414" i="1"/>
  <c r="AI414" i="1"/>
  <c r="CW414" i="1" s="1"/>
  <c r="V414" i="1" s="1"/>
  <c r="AJ414" i="1"/>
  <c r="CX414" i="1" s="1"/>
  <c r="W414" i="1" s="1"/>
  <c r="CQ414" i="1"/>
  <c r="P414" i="1" s="1"/>
  <c r="CV414" i="1"/>
  <c r="FR414" i="1"/>
  <c r="GL414" i="1"/>
  <c r="GN414" i="1"/>
  <c r="GP414" i="1"/>
  <c r="GV414" i="1"/>
  <c r="GX414" i="1" s="1"/>
  <c r="I415" i="1"/>
  <c r="T415" i="1"/>
  <c r="AC415" i="1"/>
  <c r="AD415" i="1"/>
  <c r="CR415" i="1" s="1"/>
  <c r="Q415" i="1" s="1"/>
  <c r="AE415" i="1"/>
  <c r="CS415" i="1" s="1"/>
  <c r="R415" i="1" s="1"/>
  <c r="GK415" i="1" s="1"/>
  <c r="AF415" i="1"/>
  <c r="CT415" i="1" s="1"/>
  <c r="S415" i="1" s="1"/>
  <c r="AG415" i="1"/>
  <c r="AH415" i="1"/>
  <c r="CV415" i="1" s="1"/>
  <c r="U415" i="1" s="1"/>
  <c r="AI415" i="1"/>
  <c r="CW415" i="1" s="1"/>
  <c r="V415" i="1" s="1"/>
  <c r="AJ415" i="1"/>
  <c r="CU415" i="1"/>
  <c r="CX415" i="1"/>
  <c r="W415" i="1" s="1"/>
  <c r="FR415" i="1"/>
  <c r="GL415" i="1"/>
  <c r="GN415" i="1"/>
  <c r="GP415" i="1"/>
  <c r="GV415" i="1"/>
  <c r="GX415" i="1" s="1"/>
  <c r="AB416" i="1"/>
  <c r="AC416" i="1"/>
  <c r="CQ416" i="1" s="1"/>
  <c r="AD416" i="1"/>
  <c r="CR416" i="1" s="1"/>
  <c r="Q416" i="1" s="1"/>
  <c r="AE416" i="1"/>
  <c r="CS416" i="1" s="1"/>
  <c r="R416" i="1" s="1"/>
  <c r="GK416" i="1" s="1"/>
  <c r="AF416" i="1"/>
  <c r="AG416" i="1"/>
  <c r="CU416" i="1" s="1"/>
  <c r="AH416" i="1"/>
  <c r="CV416" i="1" s="1"/>
  <c r="AI416" i="1"/>
  <c r="AJ416" i="1"/>
  <c r="CX416" i="1" s="1"/>
  <c r="W416" i="1" s="1"/>
  <c r="CT416" i="1"/>
  <c r="CW416" i="1"/>
  <c r="V416" i="1" s="1"/>
  <c r="FR416" i="1"/>
  <c r="GL416" i="1"/>
  <c r="GN416" i="1"/>
  <c r="GP416" i="1"/>
  <c r="GV416" i="1"/>
  <c r="I417" i="1"/>
  <c r="Q417" i="1"/>
  <c r="R417" i="1"/>
  <c r="GK417" i="1" s="1"/>
  <c r="AB417" i="1"/>
  <c r="AC417" i="1"/>
  <c r="CQ417" i="1" s="1"/>
  <c r="P417" i="1" s="1"/>
  <c r="AD417" i="1"/>
  <c r="CR417" i="1" s="1"/>
  <c r="AE417" i="1"/>
  <c r="AF417" i="1"/>
  <c r="CT417" i="1" s="1"/>
  <c r="S417" i="1" s="1"/>
  <c r="AG417" i="1"/>
  <c r="CU417" i="1" s="1"/>
  <c r="T417" i="1" s="1"/>
  <c r="AH417" i="1"/>
  <c r="AI417" i="1"/>
  <c r="CW417" i="1" s="1"/>
  <c r="V417" i="1" s="1"/>
  <c r="AJ417" i="1"/>
  <c r="CX417" i="1" s="1"/>
  <c r="W417" i="1" s="1"/>
  <c r="CS417" i="1"/>
  <c r="CV417" i="1"/>
  <c r="U417" i="1" s="1"/>
  <c r="FR417" i="1"/>
  <c r="GL417" i="1"/>
  <c r="GN417" i="1"/>
  <c r="CB420" i="1" s="1"/>
  <c r="GP417" i="1"/>
  <c r="GV417" i="1"/>
  <c r="GX417" i="1"/>
  <c r="I418" i="1"/>
  <c r="Q418" i="1"/>
  <c r="AB418" i="1"/>
  <c r="AC418" i="1"/>
  <c r="CQ418" i="1" s="1"/>
  <c r="P418" i="1" s="1"/>
  <c r="CP418" i="1" s="1"/>
  <c r="O418" i="1" s="1"/>
  <c r="AD418" i="1"/>
  <c r="AE418" i="1"/>
  <c r="CS418" i="1" s="1"/>
  <c r="R418" i="1" s="1"/>
  <c r="GK418" i="1" s="1"/>
  <c r="AF418" i="1"/>
  <c r="CT418" i="1" s="1"/>
  <c r="S418" i="1" s="1"/>
  <c r="AG418" i="1"/>
  <c r="AH418" i="1"/>
  <c r="CV418" i="1" s="1"/>
  <c r="U418" i="1" s="1"/>
  <c r="AI418" i="1"/>
  <c r="CW418" i="1" s="1"/>
  <c r="V418" i="1" s="1"/>
  <c r="AJ418" i="1"/>
  <c r="CX418" i="1" s="1"/>
  <c r="W418" i="1" s="1"/>
  <c r="CR418" i="1"/>
  <c r="CU418" i="1"/>
  <c r="T418" i="1" s="1"/>
  <c r="FR418" i="1"/>
  <c r="GL418" i="1"/>
  <c r="GN418" i="1"/>
  <c r="GP418" i="1"/>
  <c r="GV418" i="1"/>
  <c r="GX418" i="1" s="1"/>
  <c r="B420" i="1"/>
  <c r="B389" i="1" s="1"/>
  <c r="C420" i="1"/>
  <c r="C389" i="1" s="1"/>
  <c r="D420" i="1"/>
  <c r="D389" i="1" s="1"/>
  <c r="F420" i="1"/>
  <c r="F389" i="1" s="1"/>
  <c r="G420" i="1"/>
  <c r="G389" i="1" s="1"/>
  <c r="BC420" i="1"/>
  <c r="BC389" i="1" s="1"/>
  <c r="BX420" i="1"/>
  <c r="BX389" i="1" s="1"/>
  <c r="BZ420" i="1"/>
  <c r="BZ389" i="1" s="1"/>
  <c r="CK420" i="1"/>
  <c r="CK389" i="1" s="1"/>
  <c r="CL420" i="1"/>
  <c r="CL389" i="1" s="1"/>
  <c r="FP420" i="1"/>
  <c r="FP389" i="1" s="1"/>
  <c r="FQ420" i="1"/>
  <c r="FQ389" i="1" s="1"/>
  <c r="GC420" i="1"/>
  <c r="GC389" i="1" s="1"/>
  <c r="GD420" i="1"/>
  <c r="GD389" i="1" s="1"/>
  <c r="D449" i="1"/>
  <c r="E451" i="1"/>
  <c r="Z451" i="1"/>
  <c r="AA451" i="1"/>
  <c r="AM451" i="1"/>
  <c r="AN451" i="1"/>
  <c r="BD451" i="1"/>
  <c r="BE451" i="1"/>
  <c r="BF451" i="1"/>
  <c r="BG451" i="1"/>
  <c r="BH451" i="1"/>
  <c r="BI451" i="1"/>
  <c r="BJ451" i="1"/>
  <c r="BK451" i="1"/>
  <c r="BL451" i="1"/>
  <c r="BM451" i="1"/>
  <c r="BN451" i="1"/>
  <c r="BO451" i="1"/>
  <c r="BP451" i="1"/>
  <c r="BQ451" i="1"/>
  <c r="BR451" i="1"/>
  <c r="BS451" i="1"/>
  <c r="BT451" i="1"/>
  <c r="BU451" i="1"/>
  <c r="BV451" i="1"/>
  <c r="BW451" i="1"/>
  <c r="CM451" i="1"/>
  <c r="CN451" i="1"/>
  <c r="CO451" i="1"/>
  <c r="CP451" i="1"/>
  <c r="CQ451" i="1"/>
  <c r="CR451" i="1"/>
  <c r="CS451" i="1"/>
  <c r="CT451" i="1"/>
  <c r="CU451" i="1"/>
  <c r="CV451" i="1"/>
  <c r="CW451" i="1"/>
  <c r="CX451" i="1"/>
  <c r="CY451" i="1"/>
  <c r="CZ451" i="1"/>
  <c r="DA451" i="1"/>
  <c r="DB451" i="1"/>
  <c r="DC451" i="1"/>
  <c r="DD451" i="1"/>
  <c r="DE451" i="1"/>
  <c r="DF451" i="1"/>
  <c r="DR451" i="1"/>
  <c r="DS451" i="1"/>
  <c r="EE451" i="1"/>
  <c r="EF451" i="1"/>
  <c r="EV451" i="1"/>
  <c r="EW451" i="1"/>
  <c r="EX451" i="1"/>
  <c r="EY451" i="1"/>
  <c r="EZ451" i="1"/>
  <c r="FA451" i="1"/>
  <c r="FB451" i="1"/>
  <c r="FC451" i="1"/>
  <c r="FD451" i="1"/>
  <c r="FE451" i="1"/>
  <c r="FF451" i="1"/>
  <c r="FG451" i="1"/>
  <c r="FH451" i="1"/>
  <c r="FI451" i="1"/>
  <c r="FJ451" i="1"/>
  <c r="FK451" i="1"/>
  <c r="FL451" i="1"/>
  <c r="FM451" i="1"/>
  <c r="FN451" i="1"/>
  <c r="FO451" i="1"/>
  <c r="GE451" i="1"/>
  <c r="GF451" i="1"/>
  <c r="GG451" i="1"/>
  <c r="GH451" i="1"/>
  <c r="GI451" i="1"/>
  <c r="GJ451" i="1"/>
  <c r="GK451" i="1"/>
  <c r="GL451" i="1"/>
  <c r="GM451" i="1"/>
  <c r="GN451" i="1"/>
  <c r="GO451" i="1"/>
  <c r="GP451" i="1"/>
  <c r="GQ451" i="1"/>
  <c r="GR451" i="1"/>
  <c r="GS451" i="1"/>
  <c r="GT451" i="1"/>
  <c r="GU451" i="1"/>
  <c r="GV451" i="1"/>
  <c r="GW451" i="1"/>
  <c r="GX451" i="1"/>
  <c r="C453" i="1"/>
  <c r="D453" i="1"/>
  <c r="I453" i="1"/>
  <c r="I455" i="1" s="1"/>
  <c r="U453" i="1"/>
  <c r="V453" i="1"/>
  <c r="AC453" i="1"/>
  <c r="CQ453" i="1" s="1"/>
  <c r="P453" i="1" s="1"/>
  <c r="AD453" i="1"/>
  <c r="AE453" i="1"/>
  <c r="CS453" i="1" s="1"/>
  <c r="R453" i="1" s="1"/>
  <c r="GK453" i="1" s="1"/>
  <c r="AF453" i="1"/>
  <c r="CT453" i="1" s="1"/>
  <c r="S453" i="1" s="1"/>
  <c r="CY453" i="1" s="1"/>
  <c r="X453" i="1" s="1"/>
  <c r="AG453" i="1"/>
  <c r="CU453" i="1" s="1"/>
  <c r="T453" i="1" s="1"/>
  <c r="AH453" i="1"/>
  <c r="CV453" i="1" s="1"/>
  <c r="AI453" i="1"/>
  <c r="AJ453" i="1"/>
  <c r="CX453" i="1" s="1"/>
  <c r="W453" i="1" s="1"/>
  <c r="CR453" i="1"/>
  <c r="Q453" i="1" s="1"/>
  <c r="CW453" i="1"/>
  <c r="FR453" i="1"/>
  <c r="GL453" i="1"/>
  <c r="GN453" i="1"/>
  <c r="GP453" i="1"/>
  <c r="GV453" i="1"/>
  <c r="GX453" i="1" s="1"/>
  <c r="C454" i="1"/>
  <c r="D454" i="1"/>
  <c r="I454" i="1"/>
  <c r="R454" i="1"/>
  <c r="GK454" i="1" s="1"/>
  <c r="S454" i="1"/>
  <c r="CY454" i="1" s="1"/>
  <c r="X454" i="1" s="1"/>
  <c r="AB454" i="1"/>
  <c r="AC454" i="1"/>
  <c r="CQ454" i="1" s="1"/>
  <c r="P454" i="1" s="1"/>
  <c r="AD454" i="1"/>
  <c r="AE454" i="1"/>
  <c r="CS454" i="1" s="1"/>
  <c r="AF454" i="1"/>
  <c r="AG454" i="1"/>
  <c r="CU454" i="1" s="1"/>
  <c r="T454" i="1" s="1"/>
  <c r="AH454" i="1"/>
  <c r="CV454" i="1" s="1"/>
  <c r="U454" i="1" s="1"/>
  <c r="AI454" i="1"/>
  <c r="AJ454" i="1"/>
  <c r="CX454" i="1" s="1"/>
  <c r="W454" i="1" s="1"/>
  <c r="CR454" i="1"/>
  <c r="Q454" i="1" s="1"/>
  <c r="CT454" i="1"/>
  <c r="CW454" i="1"/>
  <c r="V454" i="1" s="1"/>
  <c r="FR454" i="1"/>
  <c r="GL454" i="1"/>
  <c r="GN454" i="1"/>
  <c r="GP454" i="1"/>
  <c r="GV454" i="1"/>
  <c r="GX454" i="1" s="1"/>
  <c r="Q455" i="1"/>
  <c r="AB455" i="1"/>
  <c r="AC455" i="1"/>
  <c r="AD455" i="1"/>
  <c r="CR455" i="1" s="1"/>
  <c r="AE455" i="1"/>
  <c r="AF455" i="1"/>
  <c r="CT455" i="1" s="1"/>
  <c r="AG455" i="1"/>
  <c r="CU455" i="1" s="1"/>
  <c r="T455" i="1" s="1"/>
  <c r="AH455" i="1"/>
  <c r="AI455" i="1"/>
  <c r="CW455" i="1" s="1"/>
  <c r="AJ455" i="1"/>
  <c r="CX455" i="1" s="1"/>
  <c r="CQ455" i="1"/>
  <c r="CS455" i="1"/>
  <c r="CV455" i="1"/>
  <c r="U455" i="1" s="1"/>
  <c r="FR455" i="1"/>
  <c r="GL455" i="1"/>
  <c r="GN455" i="1"/>
  <c r="GP455" i="1"/>
  <c r="GV455" i="1"/>
  <c r="I456" i="1"/>
  <c r="Q456" i="1"/>
  <c r="AC456" i="1"/>
  <c r="AB456" i="1" s="1"/>
  <c r="AD456" i="1"/>
  <c r="AE456" i="1"/>
  <c r="CS456" i="1" s="1"/>
  <c r="R456" i="1" s="1"/>
  <c r="GK456" i="1" s="1"/>
  <c r="AF456" i="1"/>
  <c r="CT456" i="1" s="1"/>
  <c r="S456" i="1" s="1"/>
  <c r="AG456" i="1"/>
  <c r="AH456" i="1"/>
  <c r="CV456" i="1" s="1"/>
  <c r="U456" i="1" s="1"/>
  <c r="AI456" i="1"/>
  <c r="CW456" i="1" s="1"/>
  <c r="V456" i="1" s="1"/>
  <c r="AJ456" i="1"/>
  <c r="CR456" i="1"/>
  <c r="CU456" i="1"/>
  <c r="T456" i="1" s="1"/>
  <c r="CX456" i="1"/>
  <c r="W456" i="1" s="1"/>
  <c r="FR456" i="1"/>
  <c r="GL456" i="1"/>
  <c r="GN456" i="1"/>
  <c r="GP456" i="1"/>
  <c r="GV456" i="1"/>
  <c r="GX456" i="1" s="1"/>
  <c r="AC457" i="1"/>
  <c r="AD457" i="1"/>
  <c r="AB457" i="1" s="1"/>
  <c r="AE457" i="1"/>
  <c r="CS457" i="1" s="1"/>
  <c r="AF457" i="1"/>
  <c r="AG457" i="1"/>
  <c r="AH457" i="1"/>
  <c r="CV457" i="1" s="1"/>
  <c r="AI457" i="1"/>
  <c r="AJ457" i="1"/>
  <c r="CX457" i="1" s="1"/>
  <c r="CQ457" i="1"/>
  <c r="CT457" i="1"/>
  <c r="CU457" i="1"/>
  <c r="CW457" i="1"/>
  <c r="FR457" i="1"/>
  <c r="GL457" i="1"/>
  <c r="GN457" i="1"/>
  <c r="GP457" i="1"/>
  <c r="GV457" i="1"/>
  <c r="I458" i="1"/>
  <c r="AC458" i="1"/>
  <c r="AD458" i="1"/>
  <c r="CR458" i="1" s="1"/>
  <c r="Q458" i="1" s="1"/>
  <c r="AE458" i="1"/>
  <c r="AF458" i="1"/>
  <c r="CT458" i="1" s="1"/>
  <c r="S458" i="1" s="1"/>
  <c r="AG458" i="1"/>
  <c r="CU458" i="1" s="1"/>
  <c r="T458" i="1" s="1"/>
  <c r="AH458" i="1"/>
  <c r="AI458" i="1"/>
  <c r="CW458" i="1" s="1"/>
  <c r="V458" i="1" s="1"/>
  <c r="AJ458" i="1"/>
  <c r="CS458" i="1"/>
  <c r="R458" i="1" s="1"/>
  <c r="GK458" i="1" s="1"/>
  <c r="CV458" i="1"/>
  <c r="U458" i="1" s="1"/>
  <c r="CX458" i="1"/>
  <c r="W458" i="1" s="1"/>
  <c r="FR458" i="1"/>
  <c r="GL458" i="1"/>
  <c r="GN458" i="1"/>
  <c r="GP458" i="1"/>
  <c r="GV458" i="1"/>
  <c r="GX458" i="1"/>
  <c r="C459" i="1"/>
  <c r="D459" i="1"/>
  <c r="I459" i="1"/>
  <c r="I461" i="1" s="1"/>
  <c r="P459" i="1"/>
  <c r="CP459" i="1" s="1"/>
  <c r="O459" i="1" s="1"/>
  <c r="S459" i="1"/>
  <c r="CZ459" i="1" s="1"/>
  <c r="Y459" i="1" s="1"/>
  <c r="T459" i="1"/>
  <c r="X459" i="1"/>
  <c r="AC459" i="1"/>
  <c r="AB459" i="1" s="1"/>
  <c r="AD459" i="1"/>
  <c r="CR459" i="1" s="1"/>
  <c r="Q459" i="1" s="1"/>
  <c r="AE459" i="1"/>
  <c r="AF459" i="1"/>
  <c r="CT459" i="1" s="1"/>
  <c r="AG459" i="1"/>
  <c r="AH459" i="1"/>
  <c r="CV459" i="1" s="1"/>
  <c r="U459" i="1" s="1"/>
  <c r="AI459" i="1"/>
  <c r="CW459" i="1" s="1"/>
  <c r="V459" i="1" s="1"/>
  <c r="AJ459" i="1"/>
  <c r="CQ459" i="1"/>
  <c r="CS459" i="1"/>
  <c r="R459" i="1" s="1"/>
  <c r="GK459" i="1" s="1"/>
  <c r="CU459" i="1"/>
  <c r="CX459" i="1"/>
  <c r="W459" i="1" s="1"/>
  <c r="CY459" i="1"/>
  <c r="FR459" i="1"/>
  <c r="GL459" i="1"/>
  <c r="GN459" i="1"/>
  <c r="GP459" i="1"/>
  <c r="GV459" i="1"/>
  <c r="GX459" i="1"/>
  <c r="C460" i="1"/>
  <c r="D460" i="1"/>
  <c r="I460" i="1"/>
  <c r="AC460" i="1"/>
  <c r="AB460" i="1" s="1"/>
  <c r="AD460" i="1"/>
  <c r="AE460" i="1"/>
  <c r="CS460" i="1" s="1"/>
  <c r="R460" i="1" s="1"/>
  <c r="GK460" i="1" s="1"/>
  <c r="AF460" i="1"/>
  <c r="CT460" i="1" s="1"/>
  <c r="S460" i="1" s="1"/>
  <c r="CY460" i="1" s="1"/>
  <c r="X460" i="1" s="1"/>
  <c r="AG460" i="1"/>
  <c r="AH460" i="1"/>
  <c r="AI460" i="1"/>
  <c r="CW460" i="1" s="1"/>
  <c r="V460" i="1" s="1"/>
  <c r="AJ460" i="1"/>
  <c r="CR460" i="1"/>
  <c r="Q460" i="1" s="1"/>
  <c r="CU460" i="1"/>
  <c r="T460" i="1" s="1"/>
  <c r="CV460" i="1"/>
  <c r="U460" i="1" s="1"/>
  <c r="CX460" i="1"/>
  <c r="W460" i="1" s="1"/>
  <c r="FR460" i="1"/>
  <c r="GL460" i="1"/>
  <c r="GN460" i="1"/>
  <c r="GP460" i="1"/>
  <c r="GV460" i="1"/>
  <c r="GX460" i="1" s="1"/>
  <c r="AC461" i="1"/>
  <c r="AD461" i="1"/>
  <c r="AE461" i="1"/>
  <c r="CS461" i="1" s="1"/>
  <c r="R461" i="1" s="1"/>
  <c r="GK461" i="1" s="1"/>
  <c r="AF461" i="1"/>
  <c r="AG461" i="1"/>
  <c r="AH461" i="1"/>
  <c r="CV461" i="1" s="1"/>
  <c r="U461" i="1" s="1"/>
  <c r="AI461" i="1"/>
  <c r="AJ461" i="1"/>
  <c r="CX461" i="1" s="1"/>
  <c r="W461" i="1" s="1"/>
  <c r="CQ461" i="1"/>
  <c r="P461" i="1" s="1"/>
  <c r="CT461" i="1"/>
  <c r="S461" i="1" s="1"/>
  <c r="CZ461" i="1" s="1"/>
  <c r="Y461" i="1" s="1"/>
  <c r="CU461" i="1"/>
  <c r="T461" i="1" s="1"/>
  <c r="CW461" i="1"/>
  <c r="V461" i="1" s="1"/>
  <c r="FR461" i="1"/>
  <c r="GL461" i="1"/>
  <c r="GN461" i="1"/>
  <c r="GP461" i="1"/>
  <c r="GV461" i="1"/>
  <c r="GX461" i="1" s="1"/>
  <c r="I462" i="1"/>
  <c r="GX462" i="1" s="1"/>
  <c r="W462" i="1"/>
  <c r="AC462" i="1"/>
  <c r="AD462" i="1"/>
  <c r="CR462" i="1" s="1"/>
  <c r="Q462" i="1" s="1"/>
  <c r="AE462" i="1"/>
  <c r="AF462" i="1"/>
  <c r="AG462" i="1"/>
  <c r="CU462" i="1" s="1"/>
  <c r="AH462" i="1"/>
  <c r="AI462" i="1"/>
  <c r="CW462" i="1" s="1"/>
  <c r="V462" i="1" s="1"/>
  <c r="AJ462" i="1"/>
  <c r="CS462" i="1"/>
  <c r="R462" i="1" s="1"/>
  <c r="GK462" i="1" s="1"/>
  <c r="CT462" i="1"/>
  <c r="S462" i="1" s="1"/>
  <c r="CV462" i="1"/>
  <c r="U462" i="1" s="1"/>
  <c r="CX462" i="1"/>
  <c r="FR462" i="1"/>
  <c r="GL462" i="1"/>
  <c r="GN462" i="1"/>
  <c r="GP462" i="1"/>
  <c r="GV462" i="1"/>
  <c r="I463" i="1"/>
  <c r="V463" i="1"/>
  <c r="AB463" i="1"/>
  <c r="AC463" i="1"/>
  <c r="CQ463" i="1" s="1"/>
  <c r="P463" i="1" s="1"/>
  <c r="AD463" i="1"/>
  <c r="AE463" i="1"/>
  <c r="AF463" i="1"/>
  <c r="CT463" i="1" s="1"/>
  <c r="S463" i="1" s="1"/>
  <c r="CY463" i="1" s="1"/>
  <c r="X463" i="1" s="1"/>
  <c r="AG463" i="1"/>
  <c r="AH463" i="1"/>
  <c r="CV463" i="1" s="1"/>
  <c r="U463" i="1" s="1"/>
  <c r="AI463" i="1"/>
  <c r="AJ463" i="1"/>
  <c r="CX463" i="1" s="1"/>
  <c r="W463" i="1" s="1"/>
  <c r="CR463" i="1"/>
  <c r="Q463" i="1" s="1"/>
  <c r="CS463" i="1"/>
  <c r="R463" i="1" s="1"/>
  <c r="GK463" i="1" s="1"/>
  <c r="CU463" i="1"/>
  <c r="T463" i="1" s="1"/>
  <c r="CW463" i="1"/>
  <c r="FR463" i="1"/>
  <c r="GL463" i="1"/>
  <c r="GN463" i="1"/>
  <c r="GP463" i="1"/>
  <c r="GV463" i="1"/>
  <c r="GX463" i="1" s="1"/>
  <c r="I464" i="1"/>
  <c r="U464" i="1"/>
  <c r="W464" i="1"/>
  <c r="Y464" i="1"/>
  <c r="AC464" i="1"/>
  <c r="AB464" i="1" s="1"/>
  <c r="AD464" i="1"/>
  <c r="AE464" i="1"/>
  <c r="CS464" i="1" s="1"/>
  <c r="R464" i="1" s="1"/>
  <c r="GK464" i="1" s="1"/>
  <c r="AF464" i="1"/>
  <c r="AG464" i="1"/>
  <c r="CU464" i="1" s="1"/>
  <c r="T464" i="1" s="1"/>
  <c r="AH464" i="1"/>
  <c r="AI464" i="1"/>
  <c r="CW464" i="1" s="1"/>
  <c r="V464" i="1" s="1"/>
  <c r="AJ464" i="1"/>
  <c r="CQ464" i="1"/>
  <c r="P464" i="1" s="1"/>
  <c r="CR464" i="1"/>
  <c r="Q464" i="1" s="1"/>
  <c r="CT464" i="1"/>
  <c r="S464" i="1" s="1"/>
  <c r="CV464" i="1"/>
  <c r="CX464" i="1"/>
  <c r="CY464" i="1"/>
  <c r="X464" i="1" s="1"/>
  <c r="CZ464" i="1"/>
  <c r="FR464" i="1"/>
  <c r="GL464" i="1"/>
  <c r="GN464" i="1"/>
  <c r="GP464" i="1"/>
  <c r="GV464" i="1"/>
  <c r="GX464" i="1" s="1"/>
  <c r="C465" i="1"/>
  <c r="D465" i="1"/>
  <c r="I465" i="1"/>
  <c r="AB465" i="1"/>
  <c r="AC465" i="1"/>
  <c r="AD465" i="1"/>
  <c r="CR465" i="1" s="1"/>
  <c r="Q465" i="1" s="1"/>
  <c r="AE465" i="1"/>
  <c r="AF465" i="1"/>
  <c r="CT465" i="1" s="1"/>
  <c r="AG465" i="1"/>
  <c r="AH465" i="1"/>
  <c r="AI465" i="1"/>
  <c r="AJ465" i="1"/>
  <c r="CX465" i="1" s="1"/>
  <c r="CQ465" i="1"/>
  <c r="CS465" i="1"/>
  <c r="R465" i="1" s="1"/>
  <c r="GK465" i="1" s="1"/>
  <c r="CU465" i="1"/>
  <c r="CV465" i="1"/>
  <c r="CW465" i="1"/>
  <c r="V465" i="1" s="1"/>
  <c r="FR465" i="1"/>
  <c r="GL465" i="1"/>
  <c r="GN465" i="1"/>
  <c r="GP465" i="1"/>
  <c r="GV465" i="1"/>
  <c r="C466" i="1"/>
  <c r="D466" i="1"/>
  <c r="I466" i="1"/>
  <c r="S466" i="1"/>
  <c r="W466" i="1"/>
  <c r="AC466" i="1"/>
  <c r="AD466" i="1"/>
  <c r="AE466" i="1"/>
  <c r="AF466" i="1"/>
  <c r="AG466" i="1"/>
  <c r="CU466" i="1" s="1"/>
  <c r="T466" i="1" s="1"/>
  <c r="AH466" i="1"/>
  <c r="AI466" i="1"/>
  <c r="CW466" i="1" s="1"/>
  <c r="V466" i="1" s="1"/>
  <c r="AJ466" i="1"/>
  <c r="CR466" i="1"/>
  <c r="CS466" i="1"/>
  <c r="R466" i="1" s="1"/>
  <c r="CT466" i="1"/>
  <c r="CV466" i="1"/>
  <c r="U466" i="1" s="1"/>
  <c r="CX466" i="1"/>
  <c r="FR466" i="1"/>
  <c r="GK466" i="1"/>
  <c r="GL466" i="1"/>
  <c r="GN466" i="1"/>
  <c r="GP466" i="1"/>
  <c r="GV466" i="1"/>
  <c r="GX466" i="1"/>
  <c r="AC467" i="1"/>
  <c r="AD467" i="1"/>
  <c r="AE467" i="1"/>
  <c r="AF467" i="1"/>
  <c r="CT467" i="1" s="1"/>
  <c r="AG467" i="1"/>
  <c r="AH467" i="1"/>
  <c r="CV467" i="1" s="1"/>
  <c r="AI467" i="1"/>
  <c r="AJ467" i="1"/>
  <c r="CX467" i="1" s="1"/>
  <c r="CQ467" i="1"/>
  <c r="CR467" i="1"/>
  <c r="CS467" i="1"/>
  <c r="CU467" i="1"/>
  <c r="CW467" i="1"/>
  <c r="FR467" i="1"/>
  <c r="GL467" i="1"/>
  <c r="GN467" i="1"/>
  <c r="GP467" i="1"/>
  <c r="GV467" i="1"/>
  <c r="AC468" i="1"/>
  <c r="AD468" i="1"/>
  <c r="AE468" i="1"/>
  <c r="CS468" i="1" s="1"/>
  <c r="AF468" i="1"/>
  <c r="AG468" i="1"/>
  <c r="CU468" i="1" s="1"/>
  <c r="AH468" i="1"/>
  <c r="AI468" i="1"/>
  <c r="CW468" i="1" s="1"/>
  <c r="AJ468" i="1"/>
  <c r="CQ468" i="1"/>
  <c r="CR468" i="1"/>
  <c r="CT468" i="1"/>
  <c r="CV468" i="1"/>
  <c r="CX468" i="1"/>
  <c r="FR468" i="1"/>
  <c r="GL468" i="1"/>
  <c r="GN468" i="1"/>
  <c r="GP468" i="1"/>
  <c r="GV468" i="1"/>
  <c r="AC469" i="1"/>
  <c r="AB469" i="1" s="1"/>
  <c r="AD469" i="1"/>
  <c r="CR469" i="1" s="1"/>
  <c r="AE469" i="1"/>
  <c r="AF469" i="1"/>
  <c r="CT469" i="1" s="1"/>
  <c r="AG469" i="1"/>
  <c r="AH469" i="1"/>
  <c r="CV469" i="1" s="1"/>
  <c r="AI469" i="1"/>
  <c r="AJ469" i="1"/>
  <c r="CS469" i="1"/>
  <c r="CU469" i="1"/>
  <c r="CW469" i="1"/>
  <c r="CX469" i="1"/>
  <c r="FR469" i="1"/>
  <c r="GL469" i="1"/>
  <c r="GN469" i="1"/>
  <c r="GP469" i="1"/>
  <c r="CD482" i="1" s="1"/>
  <c r="GV469" i="1"/>
  <c r="AC470" i="1"/>
  <c r="CQ470" i="1" s="1"/>
  <c r="AD470" i="1"/>
  <c r="AE470" i="1"/>
  <c r="CS470" i="1" s="1"/>
  <c r="AF470" i="1"/>
  <c r="AG470" i="1"/>
  <c r="CU470" i="1" s="1"/>
  <c r="AH470" i="1"/>
  <c r="AI470" i="1"/>
  <c r="AJ470" i="1"/>
  <c r="CX470" i="1" s="1"/>
  <c r="CR470" i="1"/>
  <c r="CT470" i="1"/>
  <c r="CV470" i="1"/>
  <c r="CW470" i="1"/>
  <c r="FR470" i="1"/>
  <c r="GL470" i="1"/>
  <c r="GN470" i="1"/>
  <c r="GP470" i="1"/>
  <c r="GV470" i="1"/>
  <c r="C471" i="1"/>
  <c r="D471" i="1"/>
  <c r="I471" i="1"/>
  <c r="P471" i="1"/>
  <c r="CP471" i="1" s="1"/>
  <c r="O471" i="1" s="1"/>
  <c r="W471" i="1"/>
  <c r="AC471" i="1"/>
  <c r="AD471" i="1"/>
  <c r="CR471" i="1" s="1"/>
  <c r="Q471" i="1" s="1"/>
  <c r="AE471" i="1"/>
  <c r="AF471" i="1"/>
  <c r="AG471" i="1"/>
  <c r="CU471" i="1" s="1"/>
  <c r="T471" i="1" s="1"/>
  <c r="AH471" i="1"/>
  <c r="CV471" i="1" s="1"/>
  <c r="U471" i="1" s="1"/>
  <c r="AI471" i="1"/>
  <c r="AJ471" i="1"/>
  <c r="CQ471" i="1"/>
  <c r="CS471" i="1"/>
  <c r="R471" i="1" s="1"/>
  <c r="GK471" i="1" s="1"/>
  <c r="CT471" i="1"/>
  <c r="S471" i="1" s="1"/>
  <c r="CZ471" i="1" s="1"/>
  <c r="Y471" i="1" s="1"/>
  <c r="CW471" i="1"/>
  <c r="V471" i="1" s="1"/>
  <c r="CX471" i="1"/>
  <c r="FR471" i="1"/>
  <c r="GL471" i="1"/>
  <c r="GN471" i="1"/>
  <c r="GP471" i="1"/>
  <c r="GV471" i="1"/>
  <c r="GX471" i="1"/>
  <c r="C472" i="1"/>
  <c r="D472" i="1"/>
  <c r="I472" i="1"/>
  <c r="Q472" i="1"/>
  <c r="T472" i="1"/>
  <c r="U472" i="1"/>
  <c r="Y472" i="1"/>
  <c r="AC472" i="1"/>
  <c r="AB472" i="1" s="1"/>
  <c r="AD472" i="1"/>
  <c r="AE472" i="1"/>
  <c r="CS472" i="1" s="1"/>
  <c r="R472" i="1" s="1"/>
  <c r="GK472" i="1" s="1"/>
  <c r="AF472" i="1"/>
  <c r="CT472" i="1" s="1"/>
  <c r="S472" i="1" s="1"/>
  <c r="AG472" i="1"/>
  <c r="AH472" i="1"/>
  <c r="AI472" i="1"/>
  <c r="CW472" i="1" s="1"/>
  <c r="V472" i="1" s="1"/>
  <c r="AJ472" i="1"/>
  <c r="CQ472" i="1"/>
  <c r="P472" i="1" s="1"/>
  <c r="CR472" i="1"/>
  <c r="CU472" i="1"/>
  <c r="CV472" i="1"/>
  <c r="CX472" i="1"/>
  <c r="W472" i="1" s="1"/>
  <c r="CY472" i="1"/>
  <c r="X472" i="1" s="1"/>
  <c r="CZ472" i="1"/>
  <c r="FR472" i="1"/>
  <c r="GL472" i="1"/>
  <c r="GN472" i="1"/>
  <c r="GP472" i="1"/>
  <c r="GV472" i="1"/>
  <c r="GX472" i="1" s="1"/>
  <c r="I473" i="1"/>
  <c r="S473" i="1"/>
  <c r="CZ473" i="1" s="1"/>
  <c r="Y473" i="1" s="1"/>
  <c r="AC473" i="1"/>
  <c r="AB473" i="1" s="1"/>
  <c r="AD473" i="1"/>
  <c r="CR473" i="1" s="1"/>
  <c r="Q473" i="1" s="1"/>
  <c r="AE473" i="1"/>
  <c r="AF473" i="1"/>
  <c r="CT473" i="1" s="1"/>
  <c r="AG473" i="1"/>
  <c r="AH473" i="1"/>
  <c r="CV473" i="1" s="1"/>
  <c r="U473" i="1" s="1"/>
  <c r="AI473" i="1"/>
  <c r="AJ473" i="1"/>
  <c r="CS473" i="1"/>
  <c r="R473" i="1" s="1"/>
  <c r="GK473" i="1" s="1"/>
  <c r="CU473" i="1"/>
  <c r="T473" i="1" s="1"/>
  <c r="CW473" i="1"/>
  <c r="V473" i="1" s="1"/>
  <c r="CX473" i="1"/>
  <c r="W473" i="1" s="1"/>
  <c r="FR473" i="1"/>
  <c r="GL473" i="1"/>
  <c r="GN473" i="1"/>
  <c r="GP473" i="1"/>
  <c r="GV473" i="1"/>
  <c r="GX473" i="1"/>
  <c r="I474" i="1"/>
  <c r="AC474" i="1"/>
  <c r="CQ474" i="1" s="1"/>
  <c r="P474" i="1" s="1"/>
  <c r="AD474" i="1"/>
  <c r="AE474" i="1"/>
  <c r="CS474" i="1" s="1"/>
  <c r="R474" i="1" s="1"/>
  <c r="GK474" i="1" s="1"/>
  <c r="AF474" i="1"/>
  <c r="AG474" i="1"/>
  <c r="CU474" i="1" s="1"/>
  <c r="T474" i="1" s="1"/>
  <c r="AH474" i="1"/>
  <c r="AI474" i="1"/>
  <c r="AJ474" i="1"/>
  <c r="CX474" i="1" s="1"/>
  <c r="W474" i="1" s="1"/>
  <c r="CR474" i="1"/>
  <c r="Q474" i="1" s="1"/>
  <c r="CP474" i="1" s="1"/>
  <c r="O474" i="1" s="1"/>
  <c r="CT474" i="1"/>
  <c r="S474" i="1" s="1"/>
  <c r="CV474" i="1"/>
  <c r="U474" i="1" s="1"/>
  <c r="CW474" i="1"/>
  <c r="V474" i="1" s="1"/>
  <c r="FR474" i="1"/>
  <c r="GL474" i="1"/>
  <c r="GN474" i="1"/>
  <c r="GP474" i="1"/>
  <c r="GV474" i="1"/>
  <c r="GX474" i="1"/>
  <c r="C475" i="1"/>
  <c r="D475" i="1"/>
  <c r="I475" i="1"/>
  <c r="AC475" i="1"/>
  <c r="AB475" i="1" s="1"/>
  <c r="AD475" i="1"/>
  <c r="CR475" i="1" s="1"/>
  <c r="Q475" i="1" s="1"/>
  <c r="AE475" i="1"/>
  <c r="CS475" i="1" s="1"/>
  <c r="R475" i="1" s="1"/>
  <c r="AF475" i="1"/>
  <c r="AG475" i="1"/>
  <c r="AH475" i="1"/>
  <c r="CV475" i="1" s="1"/>
  <c r="U475" i="1" s="1"/>
  <c r="AI475" i="1"/>
  <c r="AJ475" i="1"/>
  <c r="CQ475" i="1"/>
  <c r="P475" i="1" s="1"/>
  <c r="CP475" i="1" s="1"/>
  <c r="O475" i="1" s="1"/>
  <c r="CT475" i="1"/>
  <c r="S475" i="1" s="1"/>
  <c r="CY475" i="1" s="1"/>
  <c r="X475" i="1" s="1"/>
  <c r="CU475" i="1"/>
  <c r="T475" i="1" s="1"/>
  <c r="CW475" i="1"/>
  <c r="V475" i="1" s="1"/>
  <c r="CX475" i="1"/>
  <c r="W475" i="1" s="1"/>
  <c r="FR475" i="1"/>
  <c r="GK475" i="1"/>
  <c r="GL475" i="1"/>
  <c r="GN475" i="1"/>
  <c r="GP475" i="1"/>
  <c r="GV475" i="1"/>
  <c r="GX475" i="1"/>
  <c r="C476" i="1"/>
  <c r="D476" i="1"/>
  <c r="I476" i="1"/>
  <c r="W476" i="1"/>
  <c r="AC476" i="1"/>
  <c r="AB476" i="1" s="1"/>
  <c r="AD476" i="1"/>
  <c r="AE476" i="1"/>
  <c r="CS476" i="1" s="1"/>
  <c r="R476" i="1" s="1"/>
  <c r="GK476" i="1" s="1"/>
  <c r="AF476" i="1"/>
  <c r="AG476" i="1"/>
  <c r="AH476" i="1"/>
  <c r="CV476" i="1" s="1"/>
  <c r="U476" i="1" s="1"/>
  <c r="AI476" i="1"/>
  <c r="CW476" i="1" s="1"/>
  <c r="V476" i="1" s="1"/>
  <c r="AJ476" i="1"/>
  <c r="CR476" i="1"/>
  <c r="Q476" i="1" s="1"/>
  <c r="CT476" i="1"/>
  <c r="S476" i="1" s="1"/>
  <c r="CU476" i="1"/>
  <c r="T476" i="1" s="1"/>
  <c r="CX476" i="1"/>
  <c r="FR476" i="1"/>
  <c r="GL476" i="1"/>
  <c r="FR482" i="1" s="1"/>
  <c r="GN476" i="1"/>
  <c r="GP476" i="1"/>
  <c r="GV476" i="1"/>
  <c r="GX476" i="1" s="1"/>
  <c r="I477" i="1"/>
  <c r="V477" i="1"/>
  <c r="AC477" i="1"/>
  <c r="AD477" i="1"/>
  <c r="AB477" i="1" s="1"/>
  <c r="AE477" i="1"/>
  <c r="AF477" i="1"/>
  <c r="AG477" i="1"/>
  <c r="CU477" i="1" s="1"/>
  <c r="T477" i="1" s="1"/>
  <c r="AH477" i="1"/>
  <c r="CV477" i="1" s="1"/>
  <c r="U477" i="1" s="1"/>
  <c r="AI477" i="1"/>
  <c r="AJ477" i="1"/>
  <c r="CX477" i="1" s="1"/>
  <c r="W477" i="1" s="1"/>
  <c r="CQ477" i="1"/>
  <c r="P477" i="1" s="1"/>
  <c r="CS477" i="1"/>
  <c r="R477" i="1" s="1"/>
  <c r="GK477" i="1" s="1"/>
  <c r="CT477" i="1"/>
  <c r="S477" i="1" s="1"/>
  <c r="CW477" i="1"/>
  <c r="FR477" i="1"/>
  <c r="BY482" i="1" s="1"/>
  <c r="GL477" i="1"/>
  <c r="GN477" i="1"/>
  <c r="GP477" i="1"/>
  <c r="GV477" i="1"/>
  <c r="GX477" i="1"/>
  <c r="I478" i="1"/>
  <c r="U478" i="1" s="1"/>
  <c r="AC478" i="1"/>
  <c r="AB478" i="1" s="1"/>
  <c r="AD478" i="1"/>
  <c r="AE478" i="1"/>
  <c r="AF478" i="1"/>
  <c r="CT478" i="1" s="1"/>
  <c r="S478" i="1" s="1"/>
  <c r="AG478" i="1"/>
  <c r="CU478" i="1" s="1"/>
  <c r="T478" i="1" s="1"/>
  <c r="AH478" i="1"/>
  <c r="AI478" i="1"/>
  <c r="CW478" i="1" s="1"/>
  <c r="V478" i="1" s="1"/>
  <c r="AJ478" i="1"/>
  <c r="CR478" i="1"/>
  <c r="Q478" i="1" s="1"/>
  <c r="CS478" i="1"/>
  <c r="R478" i="1" s="1"/>
  <c r="GK478" i="1" s="1"/>
  <c r="CV478" i="1"/>
  <c r="CX478" i="1"/>
  <c r="W478" i="1" s="1"/>
  <c r="FR478" i="1"/>
  <c r="FQ482" i="1" s="1"/>
  <c r="GL478" i="1"/>
  <c r="GN478" i="1"/>
  <c r="GP478" i="1"/>
  <c r="GV478" i="1"/>
  <c r="GX478" i="1"/>
  <c r="I479" i="1"/>
  <c r="T479" i="1"/>
  <c r="AC479" i="1"/>
  <c r="AD479" i="1"/>
  <c r="AB479" i="1" s="1"/>
  <c r="AE479" i="1"/>
  <c r="CS479" i="1" s="1"/>
  <c r="R479" i="1" s="1"/>
  <c r="GK479" i="1" s="1"/>
  <c r="AF479" i="1"/>
  <c r="CT479" i="1" s="1"/>
  <c r="S479" i="1" s="1"/>
  <c r="AG479" i="1"/>
  <c r="AH479" i="1"/>
  <c r="CV479" i="1" s="1"/>
  <c r="U479" i="1" s="1"/>
  <c r="AI479" i="1"/>
  <c r="AJ479" i="1"/>
  <c r="CX479" i="1" s="1"/>
  <c r="W479" i="1" s="1"/>
  <c r="CQ479" i="1"/>
  <c r="P479" i="1" s="1"/>
  <c r="CR479" i="1"/>
  <c r="Q479" i="1" s="1"/>
  <c r="CU479" i="1"/>
  <c r="CW479" i="1"/>
  <c r="V479" i="1" s="1"/>
  <c r="FR479" i="1"/>
  <c r="GL479" i="1"/>
  <c r="GN479" i="1"/>
  <c r="CB482" i="1" s="1"/>
  <c r="GP479" i="1"/>
  <c r="GV479" i="1"/>
  <c r="GX479" i="1" s="1"/>
  <c r="I480" i="1"/>
  <c r="S480" i="1"/>
  <c r="CZ480" i="1" s="1"/>
  <c r="Y480" i="1" s="1"/>
  <c r="AC480" i="1"/>
  <c r="AB480" i="1" s="1"/>
  <c r="AD480" i="1"/>
  <c r="CR480" i="1" s="1"/>
  <c r="Q480" i="1" s="1"/>
  <c r="AE480" i="1"/>
  <c r="CS480" i="1" s="1"/>
  <c r="R480" i="1" s="1"/>
  <c r="GK480" i="1" s="1"/>
  <c r="AF480" i="1"/>
  <c r="AG480" i="1"/>
  <c r="CU480" i="1" s="1"/>
  <c r="T480" i="1" s="1"/>
  <c r="AH480" i="1"/>
  <c r="AI480" i="1"/>
  <c r="CW480" i="1" s="1"/>
  <c r="V480" i="1" s="1"/>
  <c r="AJ480" i="1"/>
  <c r="CQ480" i="1"/>
  <c r="P480" i="1" s="1"/>
  <c r="CP480" i="1" s="1"/>
  <c r="O480" i="1" s="1"/>
  <c r="CT480" i="1"/>
  <c r="CV480" i="1"/>
  <c r="U480" i="1" s="1"/>
  <c r="CX480" i="1"/>
  <c r="W480" i="1" s="1"/>
  <c r="CY480" i="1"/>
  <c r="X480" i="1" s="1"/>
  <c r="FR480" i="1"/>
  <c r="GL480" i="1"/>
  <c r="GN480" i="1"/>
  <c r="GP480" i="1"/>
  <c r="GV480" i="1"/>
  <c r="GX480" i="1" s="1"/>
  <c r="B482" i="1"/>
  <c r="B451" i="1" s="1"/>
  <c r="C482" i="1"/>
  <c r="C451" i="1" s="1"/>
  <c r="D482" i="1"/>
  <c r="D451" i="1" s="1"/>
  <c r="F482" i="1"/>
  <c r="F451" i="1" s="1"/>
  <c r="G482" i="1"/>
  <c r="G451" i="1" s="1"/>
  <c r="AQ482" i="1"/>
  <c r="AQ451" i="1" s="1"/>
  <c r="BX482" i="1"/>
  <c r="BX451" i="1" s="1"/>
  <c r="BZ482" i="1"/>
  <c r="BZ451" i="1" s="1"/>
  <c r="CK482" i="1"/>
  <c r="CK451" i="1" s="1"/>
  <c r="CL482" i="1"/>
  <c r="CL451" i="1" s="1"/>
  <c r="EM482" i="1"/>
  <c r="EM451" i="1" s="1"/>
  <c r="ET482" i="1"/>
  <c r="ET451" i="1" s="1"/>
  <c r="FP482" i="1"/>
  <c r="FP451" i="1" s="1"/>
  <c r="FT482" i="1"/>
  <c r="EK482" i="1" s="1"/>
  <c r="FV482" i="1"/>
  <c r="FV451" i="1" s="1"/>
  <c r="GC482" i="1"/>
  <c r="GC451" i="1" s="1"/>
  <c r="GD482" i="1"/>
  <c r="GD451" i="1" s="1"/>
  <c r="F492" i="1"/>
  <c r="P495" i="1"/>
  <c r="B511" i="1"/>
  <c r="B177" i="1" s="1"/>
  <c r="C511" i="1"/>
  <c r="C177" i="1" s="1"/>
  <c r="D511" i="1"/>
  <c r="D177" i="1" s="1"/>
  <c r="F511" i="1"/>
  <c r="F177" i="1" s="1"/>
  <c r="G511" i="1"/>
  <c r="G177" i="1" s="1"/>
  <c r="D540" i="1"/>
  <c r="E542" i="1"/>
  <c r="G542" i="1"/>
  <c r="Z542" i="1"/>
  <c r="AA542" i="1"/>
  <c r="AM542" i="1"/>
  <c r="AN542" i="1"/>
  <c r="BD542" i="1"/>
  <c r="BE542" i="1"/>
  <c r="BF542" i="1"/>
  <c r="BG542" i="1"/>
  <c r="BH542" i="1"/>
  <c r="BI542" i="1"/>
  <c r="BJ542" i="1"/>
  <c r="BK542" i="1"/>
  <c r="BL542" i="1"/>
  <c r="BM542" i="1"/>
  <c r="BN542" i="1"/>
  <c r="BO542" i="1"/>
  <c r="BP542" i="1"/>
  <c r="BQ542" i="1"/>
  <c r="BR542" i="1"/>
  <c r="BS542" i="1"/>
  <c r="BT542" i="1"/>
  <c r="BU542" i="1"/>
  <c r="BV542" i="1"/>
  <c r="BW542" i="1"/>
  <c r="BX542" i="1"/>
  <c r="BZ542" i="1"/>
  <c r="CM542" i="1"/>
  <c r="CN542" i="1"/>
  <c r="CO542" i="1"/>
  <c r="CP542" i="1"/>
  <c r="CQ542" i="1"/>
  <c r="CR542" i="1"/>
  <c r="CS542" i="1"/>
  <c r="CT542" i="1"/>
  <c r="CU542" i="1"/>
  <c r="CV542" i="1"/>
  <c r="CW542" i="1"/>
  <c r="CX542" i="1"/>
  <c r="CY542" i="1"/>
  <c r="CZ542" i="1"/>
  <c r="DA542" i="1"/>
  <c r="DB542" i="1"/>
  <c r="DC542" i="1"/>
  <c r="DD542" i="1"/>
  <c r="DE542" i="1"/>
  <c r="DF542" i="1"/>
  <c r="DR542" i="1"/>
  <c r="DS542" i="1"/>
  <c r="EE542" i="1"/>
  <c r="EF542" i="1"/>
  <c r="EV542" i="1"/>
  <c r="EW542" i="1"/>
  <c r="EX542" i="1"/>
  <c r="EY542" i="1"/>
  <c r="EZ542" i="1"/>
  <c r="FA542" i="1"/>
  <c r="FB542" i="1"/>
  <c r="FC542" i="1"/>
  <c r="FD542" i="1"/>
  <c r="FE542" i="1"/>
  <c r="FF542" i="1"/>
  <c r="FG542" i="1"/>
  <c r="FH542" i="1"/>
  <c r="FI542" i="1"/>
  <c r="FJ542" i="1"/>
  <c r="FK542" i="1"/>
  <c r="FL542" i="1"/>
  <c r="FM542" i="1"/>
  <c r="FN542" i="1"/>
  <c r="FO542" i="1"/>
  <c r="GE542" i="1"/>
  <c r="GF542" i="1"/>
  <c r="GG542" i="1"/>
  <c r="GH542" i="1"/>
  <c r="GI542" i="1"/>
  <c r="GJ542" i="1"/>
  <c r="GK542" i="1"/>
  <c r="GL542" i="1"/>
  <c r="GM542" i="1"/>
  <c r="GN542" i="1"/>
  <c r="GO542" i="1"/>
  <c r="GP542" i="1"/>
  <c r="GQ542" i="1"/>
  <c r="GR542" i="1"/>
  <c r="GS542" i="1"/>
  <c r="GT542" i="1"/>
  <c r="GU542" i="1"/>
  <c r="GV542" i="1"/>
  <c r="GW542" i="1"/>
  <c r="GX542" i="1"/>
  <c r="AC544" i="1"/>
  <c r="AD544" i="1"/>
  <c r="AB544" i="1" s="1"/>
  <c r="AE544" i="1"/>
  <c r="AF544" i="1"/>
  <c r="AG544" i="1"/>
  <c r="CU544" i="1" s="1"/>
  <c r="T544" i="1" s="1"/>
  <c r="AH544" i="1"/>
  <c r="CV544" i="1" s="1"/>
  <c r="U544" i="1" s="1"/>
  <c r="AI544" i="1"/>
  <c r="CW544" i="1" s="1"/>
  <c r="V544" i="1" s="1"/>
  <c r="AJ544" i="1"/>
  <c r="CX544" i="1" s="1"/>
  <c r="W544" i="1" s="1"/>
  <c r="CQ544" i="1"/>
  <c r="P544" i="1" s="1"/>
  <c r="CS544" i="1"/>
  <c r="R544" i="1" s="1"/>
  <c r="CT544" i="1"/>
  <c r="S544" i="1" s="1"/>
  <c r="GL544" i="1"/>
  <c r="GN544" i="1"/>
  <c r="GO544" i="1"/>
  <c r="GP544" i="1"/>
  <c r="GV544" i="1"/>
  <c r="GX544" i="1"/>
  <c r="AC545" i="1"/>
  <c r="AD545" i="1"/>
  <c r="AB545" i="1" s="1"/>
  <c r="AE545" i="1"/>
  <c r="AF545" i="1"/>
  <c r="CT545" i="1" s="1"/>
  <c r="S545" i="1" s="1"/>
  <c r="AG545" i="1"/>
  <c r="CU545" i="1" s="1"/>
  <c r="T545" i="1" s="1"/>
  <c r="AH545" i="1"/>
  <c r="CV545" i="1" s="1"/>
  <c r="U545" i="1" s="1"/>
  <c r="AI545" i="1"/>
  <c r="CW545" i="1" s="1"/>
  <c r="V545" i="1" s="1"/>
  <c r="AJ545" i="1"/>
  <c r="CX545" i="1" s="1"/>
  <c r="W545" i="1" s="1"/>
  <c r="CQ545" i="1"/>
  <c r="P545" i="1" s="1"/>
  <c r="DU555" i="1" s="1"/>
  <c r="CS545" i="1"/>
  <c r="R545" i="1" s="1"/>
  <c r="GK545" i="1" s="1"/>
  <c r="GL545" i="1"/>
  <c r="GN545" i="1"/>
  <c r="GO545" i="1"/>
  <c r="GP545" i="1"/>
  <c r="FV555" i="1" s="1"/>
  <c r="FV542" i="1" s="1"/>
  <c r="GV545" i="1"/>
  <c r="GX545" i="1"/>
  <c r="V546" i="1"/>
  <c r="AC546" i="1"/>
  <c r="AD546" i="1"/>
  <c r="AE546" i="1"/>
  <c r="AF546" i="1"/>
  <c r="CT546" i="1" s="1"/>
  <c r="S546" i="1" s="1"/>
  <c r="AG546" i="1"/>
  <c r="CU546" i="1" s="1"/>
  <c r="T546" i="1" s="1"/>
  <c r="AG555" i="1" s="1"/>
  <c r="AH546" i="1"/>
  <c r="CV546" i="1" s="1"/>
  <c r="U546" i="1" s="1"/>
  <c r="AI546" i="1"/>
  <c r="AJ546" i="1"/>
  <c r="CX546" i="1" s="1"/>
  <c r="W546" i="1" s="1"/>
  <c r="AJ555" i="1" s="1"/>
  <c r="CQ546" i="1"/>
  <c r="P546" i="1" s="1"/>
  <c r="CS546" i="1"/>
  <c r="R546" i="1" s="1"/>
  <c r="GK546" i="1" s="1"/>
  <c r="CW546" i="1"/>
  <c r="FR546" i="1"/>
  <c r="GL546" i="1"/>
  <c r="GN546" i="1"/>
  <c r="GO546" i="1"/>
  <c r="GP546" i="1"/>
  <c r="GV546" i="1"/>
  <c r="GX546" i="1"/>
  <c r="V547" i="1"/>
  <c r="AC547" i="1"/>
  <c r="AD547" i="1"/>
  <c r="AB547" i="1" s="1"/>
  <c r="AE547" i="1"/>
  <c r="AF547" i="1"/>
  <c r="CT547" i="1" s="1"/>
  <c r="S547" i="1" s="1"/>
  <c r="AG547" i="1"/>
  <c r="CU547" i="1" s="1"/>
  <c r="T547" i="1" s="1"/>
  <c r="AH547" i="1"/>
  <c r="CV547" i="1" s="1"/>
  <c r="U547" i="1" s="1"/>
  <c r="AI547" i="1"/>
  <c r="AJ547" i="1"/>
  <c r="CX547" i="1" s="1"/>
  <c r="W547" i="1" s="1"/>
  <c r="CQ547" i="1"/>
  <c r="P547" i="1" s="1"/>
  <c r="CS547" i="1"/>
  <c r="R547" i="1" s="1"/>
  <c r="GK547" i="1" s="1"/>
  <c r="CW547" i="1"/>
  <c r="FR547" i="1"/>
  <c r="GL547" i="1"/>
  <c r="GN547" i="1"/>
  <c r="GO547" i="1"/>
  <c r="GP547" i="1"/>
  <c r="GV547" i="1"/>
  <c r="GX547" i="1"/>
  <c r="V548" i="1"/>
  <c r="AC548" i="1"/>
  <c r="AD548" i="1"/>
  <c r="AB548" i="1" s="1"/>
  <c r="AE548" i="1"/>
  <c r="AF548" i="1"/>
  <c r="AG548" i="1"/>
  <c r="CU548" i="1" s="1"/>
  <c r="T548" i="1" s="1"/>
  <c r="AH548" i="1"/>
  <c r="CV548" i="1" s="1"/>
  <c r="U548" i="1" s="1"/>
  <c r="AI548" i="1"/>
  <c r="AJ548" i="1"/>
  <c r="CX548" i="1" s="1"/>
  <c r="W548" i="1" s="1"/>
  <c r="CQ548" i="1"/>
  <c r="P548" i="1" s="1"/>
  <c r="FR548" i="1" s="1"/>
  <c r="CS548" i="1"/>
  <c r="R548" i="1" s="1"/>
  <c r="CT548" i="1"/>
  <c r="S548" i="1" s="1"/>
  <c r="CW548" i="1"/>
  <c r="GK548" i="1"/>
  <c r="GL548" i="1"/>
  <c r="GN548" i="1"/>
  <c r="GO548" i="1"/>
  <c r="GP548" i="1"/>
  <c r="GV548" i="1"/>
  <c r="GX548" i="1"/>
  <c r="V549" i="1"/>
  <c r="AC549" i="1"/>
  <c r="AD549" i="1"/>
  <c r="AE549" i="1"/>
  <c r="AF549" i="1"/>
  <c r="AG549" i="1"/>
  <c r="CU549" i="1" s="1"/>
  <c r="T549" i="1" s="1"/>
  <c r="AH549" i="1"/>
  <c r="CV549" i="1" s="1"/>
  <c r="U549" i="1" s="1"/>
  <c r="AI549" i="1"/>
  <c r="AJ549" i="1"/>
  <c r="CX549" i="1" s="1"/>
  <c r="W549" i="1" s="1"/>
  <c r="CQ549" i="1"/>
  <c r="P549" i="1" s="1"/>
  <c r="FR549" i="1" s="1"/>
  <c r="CS549" i="1"/>
  <c r="R549" i="1" s="1"/>
  <c r="GK549" i="1" s="1"/>
  <c r="CT549" i="1"/>
  <c r="S549" i="1" s="1"/>
  <c r="CW549" i="1"/>
  <c r="GL549" i="1"/>
  <c r="GN549" i="1"/>
  <c r="GO549" i="1"/>
  <c r="GP549" i="1"/>
  <c r="GV549" i="1"/>
  <c r="GX549" i="1"/>
  <c r="V550" i="1"/>
  <c r="W550" i="1"/>
  <c r="AC550" i="1"/>
  <c r="AD550" i="1"/>
  <c r="AE550" i="1"/>
  <c r="AF550" i="1"/>
  <c r="CT550" i="1" s="1"/>
  <c r="S550" i="1" s="1"/>
  <c r="AG550" i="1"/>
  <c r="CU550" i="1" s="1"/>
  <c r="T550" i="1" s="1"/>
  <c r="AH550" i="1"/>
  <c r="CV550" i="1" s="1"/>
  <c r="U550" i="1" s="1"/>
  <c r="AI550" i="1"/>
  <c r="AJ550" i="1"/>
  <c r="CX550" i="1" s="1"/>
  <c r="CQ550" i="1"/>
  <c r="P550" i="1" s="1"/>
  <c r="CS550" i="1"/>
  <c r="R550" i="1" s="1"/>
  <c r="GK550" i="1" s="1"/>
  <c r="CW550" i="1"/>
  <c r="FR550" i="1"/>
  <c r="GL550" i="1"/>
  <c r="GN550" i="1"/>
  <c r="GO550" i="1"/>
  <c r="GP550" i="1"/>
  <c r="GV550" i="1"/>
  <c r="GX550" i="1"/>
  <c r="V551" i="1"/>
  <c r="AC551" i="1"/>
  <c r="AD551" i="1"/>
  <c r="AE551" i="1"/>
  <c r="AF551" i="1"/>
  <c r="CT551" i="1" s="1"/>
  <c r="S551" i="1" s="1"/>
  <c r="AG551" i="1"/>
  <c r="CU551" i="1" s="1"/>
  <c r="T551" i="1" s="1"/>
  <c r="AH551" i="1"/>
  <c r="CV551" i="1" s="1"/>
  <c r="U551" i="1" s="1"/>
  <c r="AI551" i="1"/>
  <c r="AJ551" i="1"/>
  <c r="CX551" i="1" s="1"/>
  <c r="W551" i="1" s="1"/>
  <c r="CQ551" i="1"/>
  <c r="P551" i="1" s="1"/>
  <c r="FR551" i="1" s="1"/>
  <c r="CS551" i="1"/>
  <c r="R551" i="1" s="1"/>
  <c r="CW551" i="1"/>
  <c r="GK551" i="1"/>
  <c r="GL551" i="1"/>
  <c r="GN551" i="1"/>
  <c r="GO551" i="1"/>
  <c r="GP551" i="1"/>
  <c r="GV551" i="1"/>
  <c r="GX551" i="1"/>
  <c r="V552" i="1"/>
  <c r="AC552" i="1"/>
  <c r="AD552" i="1"/>
  <c r="AB552" i="1" s="1"/>
  <c r="AE552" i="1"/>
  <c r="AF552" i="1"/>
  <c r="CT552" i="1" s="1"/>
  <c r="S552" i="1" s="1"/>
  <c r="AG552" i="1"/>
  <c r="CU552" i="1" s="1"/>
  <c r="T552" i="1" s="1"/>
  <c r="AH552" i="1"/>
  <c r="CV552" i="1" s="1"/>
  <c r="U552" i="1" s="1"/>
  <c r="AI552" i="1"/>
  <c r="AJ552" i="1"/>
  <c r="CX552" i="1" s="1"/>
  <c r="W552" i="1" s="1"/>
  <c r="CQ552" i="1"/>
  <c r="P552" i="1" s="1"/>
  <c r="CS552" i="1"/>
  <c r="R552" i="1" s="1"/>
  <c r="GK552" i="1" s="1"/>
  <c r="CW552" i="1"/>
  <c r="FR552" i="1"/>
  <c r="GL552" i="1"/>
  <c r="GN552" i="1"/>
  <c r="GO552" i="1"/>
  <c r="GP552" i="1"/>
  <c r="GV552" i="1"/>
  <c r="GX552" i="1"/>
  <c r="T553" i="1"/>
  <c r="V553" i="1"/>
  <c r="AC553" i="1"/>
  <c r="AD553" i="1"/>
  <c r="AE553" i="1"/>
  <c r="AF553" i="1"/>
  <c r="CT553" i="1" s="1"/>
  <c r="S553" i="1" s="1"/>
  <c r="AG553" i="1"/>
  <c r="CU553" i="1" s="1"/>
  <c r="AH553" i="1"/>
  <c r="CV553" i="1" s="1"/>
  <c r="U553" i="1" s="1"/>
  <c r="AI553" i="1"/>
  <c r="AJ553" i="1"/>
  <c r="CX553" i="1" s="1"/>
  <c r="W553" i="1" s="1"/>
  <c r="CQ553" i="1"/>
  <c r="P553" i="1" s="1"/>
  <c r="CS553" i="1"/>
  <c r="R553" i="1" s="1"/>
  <c r="GK553" i="1" s="1"/>
  <c r="CW553" i="1"/>
  <c r="FR553" i="1"/>
  <c r="GL553" i="1"/>
  <c r="GN553" i="1"/>
  <c r="GO553" i="1"/>
  <c r="GP553" i="1"/>
  <c r="GV553" i="1"/>
  <c r="GX553" i="1"/>
  <c r="B555" i="1"/>
  <c r="B542" i="1" s="1"/>
  <c r="C555" i="1"/>
  <c r="C542" i="1" s="1"/>
  <c r="D555" i="1"/>
  <c r="D542" i="1" s="1"/>
  <c r="F555" i="1"/>
  <c r="F542" i="1" s="1"/>
  <c r="G555" i="1"/>
  <c r="AI555" i="1"/>
  <c r="AO555" i="1"/>
  <c r="AO542" i="1" s="1"/>
  <c r="AQ555" i="1"/>
  <c r="AQ542" i="1" s="1"/>
  <c r="AS555" i="1"/>
  <c r="BB555" i="1"/>
  <c r="BX555" i="1"/>
  <c r="BZ555" i="1"/>
  <c r="CB555" i="1"/>
  <c r="CB542" i="1" s="1"/>
  <c r="CC555" i="1"/>
  <c r="CC542" i="1" s="1"/>
  <c r="CD555" i="1"/>
  <c r="CG555" i="1"/>
  <c r="AX555" i="1" s="1"/>
  <c r="AX542" i="1" s="1"/>
  <c r="CK555" i="1"/>
  <c r="CK542" i="1" s="1"/>
  <c r="CL555" i="1"/>
  <c r="EG555" i="1"/>
  <c r="EK555" i="1"/>
  <c r="EK542" i="1" s="1"/>
  <c r="EM555" i="1"/>
  <c r="EM542" i="1" s="1"/>
  <c r="EU555" i="1"/>
  <c r="FP555" i="1"/>
  <c r="FP542" i="1" s="1"/>
  <c r="FR555" i="1"/>
  <c r="FY555" i="1" s="1"/>
  <c r="FT555" i="1"/>
  <c r="FT542" i="1" s="1"/>
  <c r="FU555" i="1"/>
  <c r="FU542" i="1" s="1"/>
  <c r="GC555" i="1"/>
  <c r="GC542" i="1" s="1"/>
  <c r="GD555" i="1"/>
  <c r="GD542" i="1" s="1"/>
  <c r="F559" i="1"/>
  <c r="F562" i="1"/>
  <c r="P572" i="1"/>
  <c r="D584" i="1"/>
  <c r="E586" i="1"/>
  <c r="G586" i="1"/>
  <c r="Z586" i="1"/>
  <c r="AA586" i="1"/>
  <c r="AM586" i="1"/>
  <c r="AN586" i="1"/>
  <c r="BD586" i="1"/>
  <c r="BE586" i="1"/>
  <c r="BF586" i="1"/>
  <c r="BG586" i="1"/>
  <c r="BH586" i="1"/>
  <c r="BI586" i="1"/>
  <c r="BJ586" i="1"/>
  <c r="BK586" i="1"/>
  <c r="BL586" i="1"/>
  <c r="BM586" i="1"/>
  <c r="BN586" i="1"/>
  <c r="BO586" i="1"/>
  <c r="BP586" i="1"/>
  <c r="BQ586" i="1"/>
  <c r="BR586" i="1"/>
  <c r="BS586" i="1"/>
  <c r="BT586" i="1"/>
  <c r="BU586" i="1"/>
  <c r="BV586" i="1"/>
  <c r="BW586" i="1"/>
  <c r="BX586" i="1"/>
  <c r="CM586" i="1"/>
  <c r="CN586" i="1"/>
  <c r="CO586" i="1"/>
  <c r="CP586" i="1"/>
  <c r="CQ586" i="1"/>
  <c r="CR586" i="1"/>
  <c r="CS586" i="1"/>
  <c r="CT586" i="1"/>
  <c r="CU586" i="1"/>
  <c r="CV586" i="1"/>
  <c r="CW586" i="1"/>
  <c r="CX586" i="1"/>
  <c r="CY586" i="1"/>
  <c r="CZ586" i="1"/>
  <c r="DA586" i="1"/>
  <c r="DB586" i="1"/>
  <c r="DC586" i="1"/>
  <c r="DD586" i="1"/>
  <c r="DE586" i="1"/>
  <c r="DF586" i="1"/>
  <c r="DR586" i="1"/>
  <c r="DS586" i="1"/>
  <c r="EE586" i="1"/>
  <c r="EF586" i="1"/>
  <c r="EV586" i="1"/>
  <c r="EW586" i="1"/>
  <c r="EX586" i="1"/>
  <c r="EY586" i="1"/>
  <c r="EZ586" i="1"/>
  <c r="FA586" i="1"/>
  <c r="FB586" i="1"/>
  <c r="FC586" i="1"/>
  <c r="FD586" i="1"/>
  <c r="FE586" i="1"/>
  <c r="FF586" i="1"/>
  <c r="FG586" i="1"/>
  <c r="FH586" i="1"/>
  <c r="FI586" i="1"/>
  <c r="FJ586" i="1"/>
  <c r="FK586" i="1"/>
  <c r="FL586" i="1"/>
  <c r="FM586" i="1"/>
  <c r="FN586" i="1"/>
  <c r="FO586" i="1"/>
  <c r="GE586" i="1"/>
  <c r="GF586" i="1"/>
  <c r="GG586" i="1"/>
  <c r="GH586" i="1"/>
  <c r="GI586" i="1"/>
  <c r="GJ586" i="1"/>
  <c r="GK586" i="1"/>
  <c r="GL586" i="1"/>
  <c r="GM586" i="1"/>
  <c r="GN586" i="1"/>
  <c r="GO586" i="1"/>
  <c r="GP586" i="1"/>
  <c r="GQ586" i="1"/>
  <c r="GR586" i="1"/>
  <c r="GS586" i="1"/>
  <c r="GT586" i="1"/>
  <c r="GU586" i="1"/>
  <c r="GV586" i="1"/>
  <c r="GW586" i="1"/>
  <c r="GX586" i="1"/>
  <c r="C588" i="1"/>
  <c r="D588" i="1"/>
  <c r="T588" i="1"/>
  <c r="U588" i="1"/>
  <c r="AB588" i="1"/>
  <c r="AC588" i="1"/>
  <c r="AD588" i="1"/>
  <c r="AE588" i="1"/>
  <c r="CS588" i="1" s="1"/>
  <c r="R588" i="1" s="1"/>
  <c r="AF588" i="1"/>
  <c r="CT588" i="1" s="1"/>
  <c r="S588" i="1" s="1"/>
  <c r="CY588" i="1" s="1"/>
  <c r="X588" i="1" s="1"/>
  <c r="AG588" i="1"/>
  <c r="AH588" i="1"/>
  <c r="CV588" i="1" s="1"/>
  <c r="AI588" i="1"/>
  <c r="AJ588" i="1"/>
  <c r="CX588" i="1" s="1"/>
  <c r="W588" i="1" s="1"/>
  <c r="CQ588" i="1"/>
  <c r="P588" i="1" s="1"/>
  <c r="CR588" i="1"/>
  <c r="Q588" i="1" s="1"/>
  <c r="CU588" i="1"/>
  <c r="CW588" i="1"/>
  <c r="V588" i="1" s="1"/>
  <c r="FR588" i="1"/>
  <c r="GL588" i="1"/>
  <c r="GO588" i="1"/>
  <c r="GP588" i="1"/>
  <c r="GV588" i="1"/>
  <c r="GX588" i="1" s="1"/>
  <c r="CJ595" i="1" s="1"/>
  <c r="C589" i="1"/>
  <c r="D589" i="1"/>
  <c r="P589" i="1"/>
  <c r="Q589" i="1"/>
  <c r="R589" i="1"/>
  <c r="GK589" i="1" s="1"/>
  <c r="AB589" i="1"/>
  <c r="AC589" i="1"/>
  <c r="CQ589" i="1" s="1"/>
  <c r="AD589" i="1"/>
  <c r="CR589" i="1" s="1"/>
  <c r="AE589" i="1"/>
  <c r="AF589" i="1"/>
  <c r="CT589" i="1" s="1"/>
  <c r="S589" i="1" s="1"/>
  <c r="AG589" i="1"/>
  <c r="AH589" i="1"/>
  <c r="AI589" i="1"/>
  <c r="CW589" i="1" s="1"/>
  <c r="V589" i="1" s="1"/>
  <c r="EA595" i="1" s="1"/>
  <c r="AJ589" i="1"/>
  <c r="CS589" i="1"/>
  <c r="CU589" i="1"/>
  <c r="T589" i="1" s="1"/>
  <c r="CV589" i="1"/>
  <c r="U589" i="1" s="1"/>
  <c r="CX589" i="1"/>
  <c r="W589" i="1" s="1"/>
  <c r="FR589" i="1"/>
  <c r="GL589" i="1"/>
  <c r="GO589" i="1"/>
  <c r="FU595" i="1" s="1"/>
  <c r="GP589" i="1"/>
  <c r="GV589" i="1"/>
  <c r="GX589" i="1"/>
  <c r="C590" i="1"/>
  <c r="D590" i="1"/>
  <c r="P590" i="1"/>
  <c r="W590" i="1"/>
  <c r="AC590" i="1"/>
  <c r="AD590" i="1"/>
  <c r="AE590" i="1"/>
  <c r="AF590" i="1"/>
  <c r="AG590" i="1"/>
  <c r="AH590" i="1"/>
  <c r="CV590" i="1" s="1"/>
  <c r="U590" i="1" s="1"/>
  <c r="AH595" i="1" s="1"/>
  <c r="AI590" i="1"/>
  <c r="CW590" i="1" s="1"/>
  <c r="V590" i="1" s="1"/>
  <c r="AJ590" i="1"/>
  <c r="CX590" i="1" s="1"/>
  <c r="CQ590" i="1"/>
  <c r="CS590" i="1"/>
  <c r="R590" i="1" s="1"/>
  <c r="GK590" i="1" s="1"/>
  <c r="CT590" i="1"/>
  <c r="S590" i="1" s="1"/>
  <c r="CZ590" i="1" s="1"/>
  <c r="Y590" i="1" s="1"/>
  <c r="CU590" i="1"/>
  <c r="T590" i="1" s="1"/>
  <c r="FR590" i="1"/>
  <c r="GL590" i="1"/>
  <c r="GN590" i="1"/>
  <c r="GO590" i="1"/>
  <c r="GV590" i="1"/>
  <c r="GX590" i="1"/>
  <c r="C591" i="1"/>
  <c r="D591" i="1"/>
  <c r="W591" i="1"/>
  <c r="AC591" i="1"/>
  <c r="AD591" i="1"/>
  <c r="CR591" i="1" s="1"/>
  <c r="Q591" i="1" s="1"/>
  <c r="AE591" i="1"/>
  <c r="CS591" i="1" s="1"/>
  <c r="R591" i="1" s="1"/>
  <c r="AF591" i="1"/>
  <c r="AG591" i="1"/>
  <c r="AH591" i="1"/>
  <c r="CV591" i="1" s="1"/>
  <c r="U591" i="1" s="1"/>
  <c r="AI591" i="1"/>
  <c r="CW591" i="1" s="1"/>
  <c r="V591" i="1" s="1"/>
  <c r="AJ591" i="1"/>
  <c r="CQ591" i="1"/>
  <c r="P591" i="1" s="1"/>
  <c r="CT591" i="1"/>
  <c r="S591" i="1" s="1"/>
  <c r="CZ591" i="1" s="1"/>
  <c r="Y591" i="1" s="1"/>
  <c r="CU591" i="1"/>
  <c r="T591" i="1" s="1"/>
  <c r="CX591" i="1"/>
  <c r="CY591" i="1"/>
  <c r="X591" i="1" s="1"/>
  <c r="FR591" i="1"/>
  <c r="GL591" i="1"/>
  <c r="FR595" i="1" s="1"/>
  <c r="GN591" i="1"/>
  <c r="GO591" i="1"/>
  <c r="GV591" i="1"/>
  <c r="GX591" i="1" s="1"/>
  <c r="C592" i="1"/>
  <c r="D592" i="1"/>
  <c r="U592" i="1"/>
  <c r="AB592" i="1"/>
  <c r="AC592" i="1"/>
  <c r="CQ592" i="1" s="1"/>
  <c r="P592" i="1" s="1"/>
  <c r="AD592" i="1"/>
  <c r="AE592" i="1"/>
  <c r="AF592" i="1"/>
  <c r="CT592" i="1" s="1"/>
  <c r="S592" i="1" s="1"/>
  <c r="AG592" i="1"/>
  <c r="CU592" i="1" s="1"/>
  <c r="T592" i="1" s="1"/>
  <c r="AH592" i="1"/>
  <c r="AI592" i="1"/>
  <c r="AJ592" i="1"/>
  <c r="CX592" i="1" s="1"/>
  <c r="W592" i="1" s="1"/>
  <c r="CR592" i="1"/>
  <c r="Q592" i="1" s="1"/>
  <c r="CS592" i="1"/>
  <c r="R592" i="1" s="1"/>
  <c r="GK592" i="1" s="1"/>
  <c r="CV592" i="1"/>
  <c r="CW592" i="1"/>
  <c r="V592" i="1" s="1"/>
  <c r="FR592" i="1"/>
  <c r="BY595" i="1" s="1"/>
  <c r="GL592" i="1"/>
  <c r="GN592" i="1"/>
  <c r="GO592" i="1"/>
  <c r="GV592" i="1"/>
  <c r="GX592" i="1"/>
  <c r="C593" i="1"/>
  <c r="D593" i="1"/>
  <c r="S593" i="1"/>
  <c r="AC593" i="1"/>
  <c r="AB593" i="1" s="1"/>
  <c r="AD593" i="1"/>
  <c r="CR593" i="1" s="1"/>
  <c r="Q593" i="1" s="1"/>
  <c r="AE593" i="1"/>
  <c r="CS593" i="1" s="1"/>
  <c r="R593" i="1" s="1"/>
  <c r="GK593" i="1" s="1"/>
  <c r="AF593" i="1"/>
  <c r="AG593" i="1"/>
  <c r="AH593" i="1"/>
  <c r="CV593" i="1" s="1"/>
  <c r="U593" i="1" s="1"/>
  <c r="AI593" i="1"/>
  <c r="CW593" i="1" s="1"/>
  <c r="V593" i="1" s="1"/>
  <c r="AJ593" i="1"/>
  <c r="CQ593" i="1"/>
  <c r="P593" i="1" s="1"/>
  <c r="CT593" i="1"/>
  <c r="CU593" i="1"/>
  <c r="T593" i="1" s="1"/>
  <c r="CX593" i="1"/>
  <c r="W593" i="1" s="1"/>
  <c r="EB595" i="1" s="1"/>
  <c r="CY593" i="1"/>
  <c r="X593" i="1" s="1"/>
  <c r="CZ593" i="1"/>
  <c r="Y593" i="1" s="1"/>
  <c r="FR593" i="1"/>
  <c r="GL593" i="1"/>
  <c r="GN593" i="1"/>
  <c r="GO593" i="1"/>
  <c r="GV593" i="1"/>
  <c r="GX593" i="1" s="1"/>
  <c r="B595" i="1"/>
  <c r="B586" i="1" s="1"/>
  <c r="C595" i="1"/>
  <c r="C586" i="1" s="1"/>
  <c r="D595" i="1"/>
  <c r="D586" i="1" s="1"/>
  <c r="F595" i="1"/>
  <c r="F586" i="1" s="1"/>
  <c r="G595" i="1"/>
  <c r="AQ595" i="1"/>
  <c r="AQ586" i="1" s="1"/>
  <c r="AT595" i="1"/>
  <c r="AT586" i="1" s="1"/>
  <c r="BB595" i="1"/>
  <c r="BB586" i="1" s="1"/>
  <c r="BC595" i="1"/>
  <c r="BC586" i="1" s="1"/>
  <c r="BX595" i="1"/>
  <c r="AO595" i="1" s="1"/>
  <c r="BZ595" i="1"/>
  <c r="BZ586" i="1" s="1"/>
  <c r="CC595" i="1"/>
  <c r="CC586" i="1" s="1"/>
  <c r="CK595" i="1"/>
  <c r="CK586" i="1" s="1"/>
  <c r="CL595" i="1"/>
  <c r="CL586" i="1" s="1"/>
  <c r="EH595" i="1"/>
  <c r="EH586" i="1" s="1"/>
  <c r="ET595" i="1"/>
  <c r="ET586" i="1" s="1"/>
  <c r="EU595" i="1"/>
  <c r="P611" i="1" s="1"/>
  <c r="FP595" i="1"/>
  <c r="FP586" i="1" s="1"/>
  <c r="FQ595" i="1"/>
  <c r="FQ586" i="1" s="1"/>
  <c r="GC595" i="1"/>
  <c r="GC586" i="1" s="1"/>
  <c r="GD595" i="1"/>
  <c r="GD586" i="1" s="1"/>
  <c r="P604" i="1"/>
  <c r="F605" i="1"/>
  <c r="F608" i="1"/>
  <c r="P608" i="1"/>
  <c r="F611" i="1"/>
  <c r="F613" i="1"/>
  <c r="B624" i="1"/>
  <c r="B22" i="1" s="1"/>
  <c r="C624" i="1"/>
  <c r="C22" i="1" s="1"/>
  <c r="D624" i="1"/>
  <c r="D22" i="1" s="1"/>
  <c r="F624" i="1"/>
  <c r="F22" i="1" s="1"/>
  <c r="G624" i="1"/>
  <c r="G22" i="1" s="1"/>
  <c r="B653" i="1"/>
  <c r="B18" i="1" s="1"/>
  <c r="C653" i="1"/>
  <c r="C18" i="1" s="1"/>
  <c r="D653" i="1"/>
  <c r="D18" i="1" s="1"/>
  <c r="F653" i="1"/>
  <c r="F18" i="1" s="1"/>
  <c r="G653" i="1"/>
  <c r="G18" i="1" l="1"/>
  <c r="AH599" i="5"/>
  <c r="A164" i="7"/>
  <c r="A599" i="5"/>
  <c r="A3" i="7"/>
  <c r="BY586" i="1"/>
  <c r="AP595" i="1"/>
  <c r="CI595" i="1"/>
  <c r="DY595" i="1"/>
  <c r="GK591" i="1"/>
  <c r="DW595" i="1"/>
  <c r="DV595" i="1"/>
  <c r="CY547" i="1"/>
  <c r="X547" i="1" s="1"/>
  <c r="CZ547" i="1"/>
  <c r="Y547" i="1" s="1"/>
  <c r="DX555" i="1"/>
  <c r="FU586" i="1"/>
  <c r="EL595" i="1"/>
  <c r="AJ542" i="1"/>
  <c r="W555" i="1"/>
  <c r="CY592" i="1"/>
  <c r="X592" i="1" s="1"/>
  <c r="CZ592" i="1"/>
  <c r="Y592" i="1" s="1"/>
  <c r="GB595" i="1"/>
  <c r="CP589" i="1"/>
  <c r="O589" i="1" s="1"/>
  <c r="AI595" i="1"/>
  <c r="DU595" i="1"/>
  <c r="CP591" i="1"/>
  <c r="O591" i="1" s="1"/>
  <c r="AH586" i="1"/>
  <c r="U595" i="1"/>
  <c r="CY589" i="1"/>
  <c r="X589" i="1" s="1"/>
  <c r="EC595" i="1" s="1"/>
  <c r="CZ589" i="1"/>
  <c r="Y589" i="1" s="1"/>
  <c r="ED595" i="1" s="1"/>
  <c r="DX595" i="1"/>
  <c r="GK588" i="1"/>
  <c r="AE595" i="1"/>
  <c r="CY551" i="1"/>
  <c r="X551" i="1" s="1"/>
  <c r="CZ551" i="1"/>
  <c r="Y551" i="1" s="1"/>
  <c r="AG542" i="1"/>
  <c r="T555" i="1"/>
  <c r="CP593" i="1"/>
  <c r="O593" i="1" s="1"/>
  <c r="AO586" i="1"/>
  <c r="F599" i="1"/>
  <c r="CZ553" i="1"/>
  <c r="Y553" i="1" s="1"/>
  <c r="CY553" i="1"/>
  <c r="X553" i="1" s="1"/>
  <c r="DO595" i="1"/>
  <c r="EB586" i="1"/>
  <c r="AC595" i="1"/>
  <c r="CP592" i="1"/>
  <c r="O592" i="1" s="1"/>
  <c r="FR586" i="1"/>
  <c r="EI595" i="1"/>
  <c r="GA595" i="1"/>
  <c r="AG595" i="1"/>
  <c r="CJ586" i="1"/>
  <c r="BA595" i="1"/>
  <c r="EA586" i="1"/>
  <c r="DN595" i="1"/>
  <c r="DZ595" i="1"/>
  <c r="AJ595" i="1"/>
  <c r="FY542" i="1"/>
  <c r="EP555" i="1"/>
  <c r="CY550" i="1"/>
  <c r="X550" i="1" s="1"/>
  <c r="CZ550" i="1"/>
  <c r="Y550" i="1" s="1"/>
  <c r="CY552" i="1"/>
  <c r="X552" i="1" s="1"/>
  <c r="CZ552" i="1"/>
  <c r="Y552" i="1" s="1"/>
  <c r="DH555" i="1"/>
  <c r="DU542" i="1"/>
  <c r="FX555" i="1"/>
  <c r="FW555" i="1"/>
  <c r="AI542" i="1"/>
  <c r="V555" i="1"/>
  <c r="AB553" i="1"/>
  <c r="CR553" i="1"/>
  <c r="Q553" i="1" s="1"/>
  <c r="DW555" i="1"/>
  <c r="CP553" i="1"/>
  <c r="O553" i="1" s="1"/>
  <c r="GM553" i="1" s="1"/>
  <c r="GB555" i="1"/>
  <c r="EB555" i="1"/>
  <c r="CJ555" i="1"/>
  <c r="AC555" i="1"/>
  <c r="FR544" i="1"/>
  <c r="BY555" i="1" s="1"/>
  <c r="EK451" i="1"/>
  <c r="P499" i="1"/>
  <c r="CY474" i="1"/>
  <c r="X474" i="1" s="1"/>
  <c r="CZ474" i="1"/>
  <c r="Y474" i="1" s="1"/>
  <c r="GO474" i="1" s="1"/>
  <c r="EU586" i="1"/>
  <c r="F568" i="1"/>
  <c r="BB542" i="1"/>
  <c r="FY595" i="1"/>
  <c r="EG595" i="1"/>
  <c r="AB591" i="1"/>
  <c r="AU555" i="1"/>
  <c r="CD542" i="1"/>
  <c r="EA555" i="1"/>
  <c r="GM474" i="1"/>
  <c r="GM459" i="1"/>
  <c r="GO459" i="1"/>
  <c r="CY590" i="1"/>
  <c r="X590" i="1" s="1"/>
  <c r="AK595" i="1" s="1"/>
  <c r="CP588" i="1"/>
  <c r="O588" i="1" s="1"/>
  <c r="AT555" i="1"/>
  <c r="CY548" i="1"/>
  <c r="X548" i="1" s="1"/>
  <c r="CZ548" i="1"/>
  <c r="Y548" i="1" s="1"/>
  <c r="DZ555" i="1"/>
  <c r="CP479" i="1"/>
  <c r="O479" i="1" s="1"/>
  <c r="FQ451" i="1"/>
  <c r="EH482" i="1"/>
  <c r="GA482" i="1"/>
  <c r="CY462" i="1"/>
  <c r="X462" i="1" s="1"/>
  <c r="CZ462" i="1"/>
  <c r="Y462" i="1" s="1"/>
  <c r="CY458" i="1"/>
  <c r="X458" i="1" s="1"/>
  <c r="CZ458" i="1"/>
  <c r="Y458" i="1" s="1"/>
  <c r="CY549" i="1"/>
  <c r="X549" i="1" s="1"/>
  <c r="CZ549" i="1"/>
  <c r="Y549" i="1" s="1"/>
  <c r="CY546" i="1"/>
  <c r="X546" i="1" s="1"/>
  <c r="CZ546" i="1"/>
  <c r="Y546" i="1" s="1"/>
  <c r="DY555" i="1"/>
  <c r="AH555" i="1"/>
  <c r="CY478" i="1"/>
  <c r="X478" i="1" s="1"/>
  <c r="CZ478" i="1"/>
  <c r="Y478" i="1" s="1"/>
  <c r="CY476" i="1"/>
  <c r="X476" i="1" s="1"/>
  <c r="CZ476" i="1"/>
  <c r="Y476" i="1" s="1"/>
  <c r="F572" i="1"/>
  <c r="AS542" i="1"/>
  <c r="AF595" i="1"/>
  <c r="AB590" i="1"/>
  <c r="CR590" i="1"/>
  <c r="Q590" i="1" s="1"/>
  <c r="AD595" i="1" s="1"/>
  <c r="CP590" i="1"/>
  <c r="O590" i="1" s="1"/>
  <c r="P574" i="1"/>
  <c r="EI555" i="1"/>
  <c r="FR542" i="1"/>
  <c r="AB549" i="1"/>
  <c r="CY545" i="1"/>
  <c r="X545" i="1" s="1"/>
  <c r="EC555" i="1" s="1"/>
  <c r="CZ545" i="1"/>
  <c r="Y545" i="1" s="1"/>
  <c r="AS482" i="1"/>
  <c r="CB451" i="1"/>
  <c r="CD451" i="1"/>
  <c r="AU482" i="1"/>
  <c r="GM409" i="1"/>
  <c r="GO409" i="1"/>
  <c r="CG595" i="1"/>
  <c r="CZ588" i="1"/>
  <c r="Y588" i="1" s="1"/>
  <c r="AL595" i="1" s="1"/>
  <c r="F565" i="1"/>
  <c r="EG542" i="1"/>
  <c r="P559" i="1"/>
  <c r="BC555" i="1"/>
  <c r="CL542" i="1"/>
  <c r="AB550" i="1"/>
  <c r="AB546" i="1"/>
  <c r="BY451" i="1"/>
  <c r="AP482" i="1"/>
  <c r="CI482" i="1"/>
  <c r="AB551" i="1"/>
  <c r="AF555" i="1"/>
  <c r="CY544" i="1"/>
  <c r="X544" i="1" s="1"/>
  <c r="AK555" i="1" s="1"/>
  <c r="CZ544" i="1"/>
  <c r="Y544" i="1" s="1"/>
  <c r="AL555" i="1" s="1"/>
  <c r="CP461" i="1"/>
  <c r="O461" i="1" s="1"/>
  <c r="P571" i="1"/>
  <c r="EU542" i="1"/>
  <c r="CP545" i="1"/>
  <c r="O545" i="1" s="1"/>
  <c r="FR545" i="1"/>
  <c r="FQ555" i="1" s="1"/>
  <c r="AE555" i="1"/>
  <c r="GK544" i="1"/>
  <c r="GM480" i="1"/>
  <c r="GO480" i="1"/>
  <c r="CY479" i="1"/>
  <c r="X479" i="1" s="1"/>
  <c r="CZ479" i="1"/>
  <c r="Y479" i="1" s="1"/>
  <c r="CY477" i="1"/>
  <c r="X477" i="1" s="1"/>
  <c r="CZ477" i="1"/>
  <c r="Y477" i="1" s="1"/>
  <c r="FR451" i="1"/>
  <c r="EI482" i="1"/>
  <c r="CY415" i="1"/>
  <c r="X415" i="1" s="1"/>
  <c r="CZ415" i="1"/>
  <c r="Y415" i="1" s="1"/>
  <c r="EU482" i="1"/>
  <c r="CX408" i="3"/>
  <c r="CX407" i="3"/>
  <c r="CX409" i="3"/>
  <c r="T465" i="1"/>
  <c r="I469" i="1"/>
  <c r="GX469" i="1" s="1"/>
  <c r="CP463" i="1"/>
  <c r="O463" i="1" s="1"/>
  <c r="CP454" i="1"/>
  <c r="O454" i="1" s="1"/>
  <c r="CY410" i="1"/>
  <c r="X410" i="1" s="1"/>
  <c r="CZ410" i="1"/>
  <c r="Y410" i="1" s="1"/>
  <c r="CY356" i="1"/>
  <c r="X356" i="1" s="1"/>
  <c r="CZ356" i="1"/>
  <c r="Y356" i="1" s="1"/>
  <c r="CP350" i="1"/>
  <c r="O350" i="1" s="1"/>
  <c r="FR327" i="1"/>
  <c r="EI358" i="1"/>
  <c r="GA358" i="1"/>
  <c r="GK330" i="1"/>
  <c r="AI358" i="1"/>
  <c r="R469" i="1"/>
  <c r="GK469" i="1" s="1"/>
  <c r="I467" i="1"/>
  <c r="AB461" i="1"/>
  <c r="CR461" i="1"/>
  <c r="Q461" i="1" s="1"/>
  <c r="R455" i="1"/>
  <c r="GX455" i="1"/>
  <c r="FT451" i="1"/>
  <c r="AU420" i="1"/>
  <c r="CB389" i="1"/>
  <c r="AS420" i="1"/>
  <c r="CY413" i="1"/>
  <c r="X413" i="1" s="1"/>
  <c r="CZ413" i="1"/>
  <c r="Y413" i="1" s="1"/>
  <c r="P412" i="1"/>
  <c r="R412" i="1"/>
  <c r="GK412" i="1" s="1"/>
  <c r="U412" i="1"/>
  <c r="GK396" i="1"/>
  <c r="CR552" i="1"/>
  <c r="Q552" i="1" s="1"/>
  <c r="CP552" i="1" s="1"/>
  <c r="O552" i="1" s="1"/>
  <c r="GM552" i="1" s="1"/>
  <c r="CR551" i="1"/>
  <c r="Q551" i="1" s="1"/>
  <c r="CP551" i="1" s="1"/>
  <c r="O551" i="1" s="1"/>
  <c r="GM551" i="1" s="1"/>
  <c r="CR550" i="1"/>
  <c r="Q550" i="1" s="1"/>
  <c r="CP550" i="1" s="1"/>
  <c r="O550" i="1" s="1"/>
  <c r="GM550" i="1" s="1"/>
  <c r="CR549" i="1"/>
  <c r="Q549" i="1" s="1"/>
  <c r="CP549" i="1" s="1"/>
  <c r="O549" i="1" s="1"/>
  <c r="GM549" i="1" s="1"/>
  <c r="CR548" i="1"/>
  <c r="Q548" i="1" s="1"/>
  <c r="CP548" i="1" s="1"/>
  <c r="O548" i="1" s="1"/>
  <c r="GM548" i="1" s="1"/>
  <c r="CR547" i="1"/>
  <c r="Q547" i="1" s="1"/>
  <c r="CP547" i="1" s="1"/>
  <c r="O547" i="1" s="1"/>
  <c r="GM547" i="1" s="1"/>
  <c r="CR546" i="1"/>
  <c r="Q546" i="1" s="1"/>
  <c r="CP546" i="1" s="1"/>
  <c r="O546" i="1" s="1"/>
  <c r="GM546" i="1" s="1"/>
  <c r="CR545" i="1"/>
  <c r="Q545" i="1" s="1"/>
  <c r="DV555" i="1" s="1"/>
  <c r="CR544" i="1"/>
  <c r="Q544" i="1" s="1"/>
  <c r="AD555" i="1" s="1"/>
  <c r="CG542" i="1"/>
  <c r="CG482" i="1"/>
  <c r="AO482" i="1"/>
  <c r="CQ478" i="1"/>
  <c r="P478" i="1" s="1"/>
  <c r="CP478" i="1" s="1"/>
  <c r="O478" i="1" s="1"/>
  <c r="CR477" i="1"/>
  <c r="Q477" i="1" s="1"/>
  <c r="CP477" i="1" s="1"/>
  <c r="O477" i="1" s="1"/>
  <c r="AB474" i="1"/>
  <c r="AB470" i="1"/>
  <c r="CQ469" i="1"/>
  <c r="P469" i="1" s="1"/>
  <c r="CY466" i="1"/>
  <c r="X466" i="1" s="1"/>
  <c r="CZ466" i="1"/>
  <c r="Y466" i="1" s="1"/>
  <c r="P465" i="1"/>
  <c r="AB462" i="1"/>
  <c r="CQ462" i="1"/>
  <c r="P462" i="1" s="1"/>
  <c r="CP462" i="1" s="1"/>
  <c r="O462" i="1" s="1"/>
  <c r="S455" i="1"/>
  <c r="P416" i="1"/>
  <c r="CP416" i="1" s="1"/>
  <c r="O416" i="1" s="1"/>
  <c r="BY389" i="1"/>
  <c r="AP420" i="1"/>
  <c r="CI420" i="1"/>
  <c r="W412" i="1"/>
  <c r="GM402" i="1"/>
  <c r="GO402" i="1"/>
  <c r="GK391" i="1"/>
  <c r="AE420" i="1"/>
  <c r="W465" i="1"/>
  <c r="AB458" i="1"/>
  <c r="CY417" i="1"/>
  <c r="X417" i="1" s="1"/>
  <c r="CZ417" i="1"/>
  <c r="Y417" i="1" s="1"/>
  <c r="CY416" i="1"/>
  <c r="X416" i="1" s="1"/>
  <c r="CZ416" i="1"/>
  <c r="Y416" i="1" s="1"/>
  <c r="S412" i="1"/>
  <c r="CR411" i="1"/>
  <c r="Q411" i="1" s="1"/>
  <c r="AB411" i="1"/>
  <c r="EK420" i="1"/>
  <c r="FT389" i="1"/>
  <c r="FR420" i="1"/>
  <c r="CP391" i="1"/>
  <c r="O391" i="1" s="1"/>
  <c r="ET555" i="1"/>
  <c r="EL555" i="1"/>
  <c r="BC482" i="1"/>
  <c r="CQ476" i="1"/>
  <c r="P476" i="1" s="1"/>
  <c r="CP476" i="1" s="1"/>
  <c r="O476" i="1" s="1"/>
  <c r="CQ473" i="1"/>
  <c r="P473" i="1" s="1"/>
  <c r="CP473" i="1" s="1"/>
  <c r="O473" i="1" s="1"/>
  <c r="AB471" i="1"/>
  <c r="AB468" i="1"/>
  <c r="CX410" i="3"/>
  <c r="CX412" i="3"/>
  <c r="CX411" i="3"/>
  <c r="I468" i="1"/>
  <c r="Q468" i="1" s="1"/>
  <c r="Q466" i="1"/>
  <c r="I470" i="1"/>
  <c r="R470" i="1" s="1"/>
  <c r="GK470" i="1" s="1"/>
  <c r="CZ463" i="1"/>
  <c r="Y463" i="1" s="1"/>
  <c r="CY456" i="1"/>
  <c r="X456" i="1" s="1"/>
  <c r="CZ456" i="1"/>
  <c r="Y456" i="1" s="1"/>
  <c r="CZ453" i="1"/>
  <c r="Y453" i="1" s="1"/>
  <c r="F436" i="1"/>
  <c r="GX416" i="1"/>
  <c r="CP411" i="1"/>
  <c r="O411" i="1" s="1"/>
  <c r="CZ407" i="1"/>
  <c r="Y407" i="1" s="1"/>
  <c r="AF420" i="1"/>
  <c r="CY407" i="1"/>
  <c r="X407" i="1" s="1"/>
  <c r="CZ394" i="1"/>
  <c r="Y394" i="1" s="1"/>
  <c r="CY394" i="1"/>
  <c r="X394" i="1" s="1"/>
  <c r="AB394" i="1"/>
  <c r="CR394" i="1"/>
  <c r="Q394" i="1" s="1"/>
  <c r="EU327" i="1"/>
  <c r="P374" i="1"/>
  <c r="P501" i="1"/>
  <c r="BB482" i="1"/>
  <c r="CZ475" i="1"/>
  <c r="Y475" i="1" s="1"/>
  <c r="GM475" i="1" s="1"/>
  <c r="T470" i="1"/>
  <c r="W467" i="1"/>
  <c r="AB467" i="1"/>
  <c r="P455" i="1"/>
  <c r="CY418" i="1"/>
  <c r="X418" i="1" s="1"/>
  <c r="GM418" i="1" s="1"/>
  <c r="CZ418" i="1"/>
  <c r="Y418" i="1" s="1"/>
  <c r="U416" i="1"/>
  <c r="CQ415" i="1"/>
  <c r="P415" i="1" s="1"/>
  <c r="CP415" i="1" s="1"/>
  <c r="O415" i="1" s="1"/>
  <c r="AB415" i="1"/>
  <c r="GX412" i="1"/>
  <c r="CJ420" i="1"/>
  <c r="AG420" i="1"/>
  <c r="FY482" i="1"/>
  <c r="EG482" i="1"/>
  <c r="CY471" i="1"/>
  <c r="X471" i="1" s="1"/>
  <c r="GM471" i="1" s="1"/>
  <c r="W469" i="1"/>
  <c r="U469" i="1"/>
  <c r="V468" i="1"/>
  <c r="T462" i="1"/>
  <c r="CY461" i="1"/>
  <c r="X461" i="1" s="1"/>
  <c r="CZ460" i="1"/>
  <c r="Y460" i="1" s="1"/>
  <c r="W455" i="1"/>
  <c r="CP453" i="1"/>
  <c r="O453" i="1" s="1"/>
  <c r="CP417" i="1"/>
  <c r="O417" i="1" s="1"/>
  <c r="T416" i="1"/>
  <c r="CY414" i="1"/>
  <c r="X414" i="1" s="1"/>
  <c r="CP413" i="1"/>
  <c r="O413" i="1" s="1"/>
  <c r="Q412" i="1"/>
  <c r="CP407" i="1"/>
  <c r="O407" i="1" s="1"/>
  <c r="CP392" i="1"/>
  <c r="O392" i="1" s="1"/>
  <c r="CY473" i="1"/>
  <c r="X473" i="1" s="1"/>
  <c r="CP472" i="1"/>
  <c r="O472" i="1" s="1"/>
  <c r="V469" i="1"/>
  <c r="AB466" i="1"/>
  <c r="CQ466" i="1"/>
  <c r="P466" i="1" s="1"/>
  <c r="GX465" i="1"/>
  <c r="U465" i="1"/>
  <c r="S465" i="1"/>
  <c r="CP464" i="1"/>
  <c r="O464" i="1" s="1"/>
  <c r="R457" i="1"/>
  <c r="GK457" i="1" s="1"/>
  <c r="V455" i="1"/>
  <c r="CR414" i="1"/>
  <c r="Q414" i="1" s="1"/>
  <c r="CP414" i="1" s="1"/>
  <c r="O414" i="1" s="1"/>
  <c r="AB414" i="1"/>
  <c r="V408" i="1"/>
  <c r="S408" i="1"/>
  <c r="GM395" i="1"/>
  <c r="FV420" i="1"/>
  <c r="AI420" i="1"/>
  <c r="CI327" i="1"/>
  <c r="AZ358" i="1"/>
  <c r="CX418" i="3"/>
  <c r="CX417" i="3"/>
  <c r="CX419" i="3"/>
  <c r="CX413" i="3"/>
  <c r="CX414" i="3"/>
  <c r="I457" i="1"/>
  <c r="GX457" i="1" s="1"/>
  <c r="EH420" i="1"/>
  <c r="BB420" i="1"/>
  <c r="GX411" i="1"/>
  <c r="CX386" i="3"/>
  <c r="CX385" i="3"/>
  <c r="Q408" i="1"/>
  <c r="I408" i="1"/>
  <c r="P408" i="1" s="1"/>
  <c r="AB407" i="1"/>
  <c r="CP398" i="1"/>
  <c r="O398" i="1" s="1"/>
  <c r="AB393" i="1"/>
  <c r="AB391" i="1"/>
  <c r="CP356" i="1"/>
  <c r="O356" i="1" s="1"/>
  <c r="CY355" i="1"/>
  <c r="X355" i="1" s="1"/>
  <c r="CZ355" i="1"/>
  <c r="Y355" i="1" s="1"/>
  <c r="CZ351" i="1"/>
  <c r="Y351" i="1" s="1"/>
  <c r="CY351" i="1"/>
  <c r="X351" i="1" s="1"/>
  <c r="CX405" i="3"/>
  <c r="CX404" i="3"/>
  <c r="CX406" i="3"/>
  <c r="CQ458" i="1"/>
  <c r="P458" i="1" s="1"/>
  <c r="CP458" i="1" s="1"/>
  <c r="O458" i="1" s="1"/>
  <c r="CR457" i="1"/>
  <c r="FY420" i="1"/>
  <c r="EG420" i="1"/>
  <c r="CY411" i="1"/>
  <c r="X411" i="1" s="1"/>
  <c r="CQ410" i="1"/>
  <c r="P410" i="1" s="1"/>
  <c r="CP410" i="1" s="1"/>
  <c r="O410" i="1" s="1"/>
  <c r="CZ405" i="1"/>
  <c r="Y405" i="1" s="1"/>
  <c r="W404" i="1"/>
  <c r="AB401" i="1"/>
  <c r="CP400" i="1"/>
  <c r="O400" i="1" s="1"/>
  <c r="AB398" i="1"/>
  <c r="EM327" i="1"/>
  <c r="P377" i="1"/>
  <c r="CY353" i="1"/>
  <c r="X353" i="1" s="1"/>
  <c r="CZ353" i="1"/>
  <c r="Y353" i="1" s="1"/>
  <c r="CZ345" i="1"/>
  <c r="Y345" i="1" s="1"/>
  <c r="CY345" i="1"/>
  <c r="X345" i="1" s="1"/>
  <c r="CC327" i="1"/>
  <c r="AT358" i="1"/>
  <c r="AB453" i="1"/>
  <c r="AB413" i="1"/>
  <c r="T412" i="1"/>
  <c r="AB408" i="1"/>
  <c r="AB400" i="1"/>
  <c r="GM351" i="1"/>
  <c r="GN351" i="1"/>
  <c r="FQ327" i="1"/>
  <c r="EH358" i="1"/>
  <c r="CY339" i="1"/>
  <c r="X339" i="1" s="1"/>
  <c r="CZ339" i="1"/>
  <c r="Y339" i="1" s="1"/>
  <c r="CQ460" i="1"/>
  <c r="P460" i="1" s="1"/>
  <c r="CP460" i="1" s="1"/>
  <c r="O460" i="1" s="1"/>
  <c r="CQ456" i="1"/>
  <c r="P456" i="1" s="1"/>
  <c r="CX400" i="3"/>
  <c r="CX399" i="3"/>
  <c r="CX398" i="3"/>
  <c r="EU420" i="1"/>
  <c r="AQ420" i="1"/>
  <c r="CX389" i="3"/>
  <c r="CX391" i="3"/>
  <c r="CX390" i="3"/>
  <c r="T404" i="1"/>
  <c r="CP403" i="1"/>
  <c r="O403" i="1" s="1"/>
  <c r="CY397" i="1"/>
  <c r="X397" i="1" s="1"/>
  <c r="S396" i="1"/>
  <c r="CZ395" i="1"/>
  <c r="Y395" i="1" s="1"/>
  <c r="GO395" i="1" s="1"/>
  <c r="CP394" i="1"/>
  <c r="O394" i="1" s="1"/>
  <c r="CY392" i="1"/>
  <c r="X392" i="1" s="1"/>
  <c r="CP355" i="1"/>
  <c r="O355" i="1" s="1"/>
  <c r="CP353" i="1"/>
  <c r="O353" i="1" s="1"/>
  <c r="CY347" i="1"/>
  <c r="X347" i="1" s="1"/>
  <c r="CZ347" i="1"/>
  <c r="Y347" i="1" s="1"/>
  <c r="CP346" i="1"/>
  <c r="O346" i="1" s="1"/>
  <c r="CX402" i="3"/>
  <c r="CX401" i="3"/>
  <c r="CX403" i="3"/>
  <c r="CZ454" i="1"/>
  <c r="Y454" i="1" s="1"/>
  <c r="ET420" i="1"/>
  <c r="U411" i="1"/>
  <c r="AH420" i="1" s="1"/>
  <c r="U408" i="1"/>
  <c r="W406" i="1"/>
  <c r="U404" i="1"/>
  <c r="CZ401" i="1"/>
  <c r="Y401" i="1" s="1"/>
  <c r="CP399" i="1"/>
  <c r="O399" i="1" s="1"/>
  <c r="U396" i="1"/>
  <c r="CY393" i="1"/>
  <c r="X393" i="1" s="1"/>
  <c r="GO393" i="1" s="1"/>
  <c r="CZ393" i="1"/>
  <c r="Y393" i="1" s="1"/>
  <c r="CY391" i="1"/>
  <c r="X391" i="1" s="1"/>
  <c r="CZ391" i="1"/>
  <c r="Y391" i="1" s="1"/>
  <c r="AL420" i="1" s="1"/>
  <c r="AU327" i="1"/>
  <c r="F377" i="1"/>
  <c r="CY350" i="1"/>
  <c r="X350" i="1" s="1"/>
  <c r="CZ350" i="1"/>
  <c r="Y350" i="1" s="1"/>
  <c r="CP349" i="1"/>
  <c r="O349" i="1" s="1"/>
  <c r="CY349" i="1"/>
  <c r="X349" i="1" s="1"/>
  <c r="CZ349" i="1"/>
  <c r="Y349" i="1" s="1"/>
  <c r="AH358" i="1"/>
  <c r="AD358" i="1"/>
  <c r="CX421" i="3"/>
  <c r="CX420" i="3"/>
  <c r="CX422" i="3"/>
  <c r="CX416" i="3"/>
  <c r="CX415" i="3"/>
  <c r="CG420" i="1"/>
  <c r="AO420" i="1"/>
  <c r="CX392" i="3"/>
  <c r="CX394" i="3"/>
  <c r="CX393" i="3"/>
  <c r="CY404" i="1"/>
  <c r="X404" i="1" s="1"/>
  <c r="GO404" i="1" s="1"/>
  <c r="CZ404" i="1"/>
  <c r="Y404" i="1" s="1"/>
  <c r="CX384" i="3"/>
  <c r="CX383" i="3"/>
  <c r="CX382" i="3"/>
  <c r="I406" i="1"/>
  <c r="T406" i="1" s="1"/>
  <c r="W401" i="1"/>
  <c r="AJ420" i="1" s="1"/>
  <c r="CY399" i="1"/>
  <c r="X399" i="1" s="1"/>
  <c r="CY398" i="1"/>
  <c r="X398" i="1" s="1"/>
  <c r="CZ398" i="1"/>
  <c r="Y398" i="1" s="1"/>
  <c r="GX396" i="1"/>
  <c r="Q396" i="1"/>
  <c r="CY352" i="1"/>
  <c r="X352" i="1" s="1"/>
  <c r="GM352" i="1" s="1"/>
  <c r="CZ352" i="1"/>
  <c r="Y352" i="1" s="1"/>
  <c r="BZ327" i="1"/>
  <c r="CG358" i="1"/>
  <c r="CP347" i="1"/>
  <c r="O347" i="1" s="1"/>
  <c r="CJ358" i="1"/>
  <c r="CX397" i="3"/>
  <c r="CX396" i="3"/>
  <c r="CX395" i="3"/>
  <c r="T408" i="1"/>
  <c r="CY400" i="1"/>
  <c r="X400" i="1" s="1"/>
  <c r="CZ400" i="1"/>
  <c r="Y400" i="1" s="1"/>
  <c r="AB397" i="1"/>
  <c r="CR397" i="1"/>
  <c r="Q397" i="1" s="1"/>
  <c r="AD420" i="1" s="1"/>
  <c r="CP396" i="1"/>
  <c r="O396" i="1" s="1"/>
  <c r="BY327" i="1"/>
  <c r="AP358" i="1"/>
  <c r="CZ341" i="1"/>
  <c r="Y341" i="1" s="1"/>
  <c r="CY341" i="1"/>
  <c r="X341" i="1" s="1"/>
  <c r="GN341" i="1" s="1"/>
  <c r="AB353" i="1"/>
  <c r="AB336" i="1"/>
  <c r="CR336" i="1"/>
  <c r="Q336" i="1" s="1"/>
  <c r="CX301" i="3"/>
  <c r="CX298" i="3"/>
  <c r="CX300" i="3"/>
  <c r="CX297" i="3"/>
  <c r="CX302" i="3"/>
  <c r="CX299" i="3"/>
  <c r="I336" i="1"/>
  <c r="AU296" i="1"/>
  <c r="BZ269" i="1"/>
  <c r="CG296" i="1"/>
  <c r="AQ296" i="1"/>
  <c r="CP286" i="1"/>
  <c r="O286" i="1" s="1"/>
  <c r="CP281" i="1"/>
  <c r="O281" i="1" s="1"/>
  <c r="CX388" i="3"/>
  <c r="CX387" i="3"/>
  <c r="FY358" i="1"/>
  <c r="EG358" i="1"/>
  <c r="CY338" i="1"/>
  <c r="X338" i="1" s="1"/>
  <c r="CP337" i="1"/>
  <c r="O337" i="1" s="1"/>
  <c r="GX336" i="1"/>
  <c r="S334" i="1"/>
  <c r="CZ333" i="1"/>
  <c r="Y333" i="1" s="1"/>
  <c r="AL358" i="1" s="1"/>
  <c r="S332" i="1"/>
  <c r="CR290" i="1"/>
  <c r="Q290" i="1" s="1"/>
  <c r="AB290" i="1"/>
  <c r="CP288" i="1"/>
  <c r="O288" i="1" s="1"/>
  <c r="CY287" i="1"/>
  <c r="X287" i="1" s="1"/>
  <c r="CZ287" i="1"/>
  <c r="Y287" i="1" s="1"/>
  <c r="CP284" i="1"/>
  <c r="O284" i="1" s="1"/>
  <c r="T283" i="1"/>
  <c r="AG296" i="1" s="1"/>
  <c r="CY275" i="1"/>
  <c r="X275" i="1" s="1"/>
  <c r="CZ275" i="1"/>
  <c r="Y275" i="1" s="1"/>
  <c r="CP274" i="1"/>
  <c r="O274" i="1" s="1"/>
  <c r="DU296" i="1"/>
  <c r="CT354" i="1"/>
  <c r="S354" i="1" s="1"/>
  <c r="CP354" i="1" s="1"/>
  <c r="O354" i="1" s="1"/>
  <c r="CQ345" i="1"/>
  <c r="P345" i="1" s="1"/>
  <c r="CP345" i="1" s="1"/>
  <c r="O345" i="1" s="1"/>
  <c r="AB339" i="1"/>
  <c r="CQ339" i="1"/>
  <c r="P339" i="1" s="1"/>
  <c r="CP339" i="1" s="1"/>
  <c r="O339" i="1" s="1"/>
  <c r="W336" i="1"/>
  <c r="CY293" i="1"/>
  <c r="X293" i="1" s="1"/>
  <c r="CZ293" i="1"/>
  <c r="Y293" i="1" s="1"/>
  <c r="CP292" i="1"/>
  <c r="O292" i="1" s="1"/>
  <c r="CP290" i="1"/>
  <c r="O290" i="1" s="1"/>
  <c r="FV296" i="1"/>
  <c r="FR296" i="1"/>
  <c r="CP282" i="1"/>
  <c r="O282" i="1" s="1"/>
  <c r="BY269" i="1"/>
  <c r="AP296" i="1"/>
  <c r="CI296" i="1"/>
  <c r="EB296" i="1"/>
  <c r="GK272" i="1"/>
  <c r="DW296" i="1"/>
  <c r="AB332" i="1"/>
  <c r="CR332" i="1"/>
  <c r="Q332" i="1" s="1"/>
  <c r="CP294" i="1"/>
  <c r="O294" i="1" s="1"/>
  <c r="GB269" i="1"/>
  <c r="ES296" i="1"/>
  <c r="CQ405" i="1"/>
  <c r="P405" i="1" s="1"/>
  <c r="CP405" i="1" s="1"/>
  <c r="O405" i="1" s="1"/>
  <c r="CQ401" i="1"/>
  <c r="P401" i="1" s="1"/>
  <c r="ET358" i="1"/>
  <c r="AF358" i="1"/>
  <c r="AB344" i="1"/>
  <c r="CP344" i="1"/>
  <c r="O344" i="1" s="1"/>
  <c r="CP343" i="1"/>
  <c r="O343" i="1" s="1"/>
  <c r="V342" i="1"/>
  <c r="V340" i="1"/>
  <c r="S340" i="1"/>
  <c r="CX320" i="3"/>
  <c r="CX328" i="3"/>
  <c r="CX336" i="3"/>
  <c r="CX325" i="3"/>
  <c r="CX333" i="3"/>
  <c r="CX322" i="3"/>
  <c r="CX330" i="3"/>
  <c r="CX327" i="3"/>
  <c r="CX335" i="3"/>
  <c r="CX324" i="3"/>
  <c r="CX332" i="3"/>
  <c r="CX321" i="3"/>
  <c r="CX329" i="3"/>
  <c r="CX326" i="3"/>
  <c r="CX334" i="3"/>
  <c r="CX323" i="3"/>
  <c r="CX331" i="3"/>
  <c r="I340" i="1"/>
  <c r="GX340" i="1" s="1"/>
  <c r="U336" i="1"/>
  <c r="P334" i="1"/>
  <c r="CP333" i="1"/>
  <c r="O333" i="1" s="1"/>
  <c r="GX332" i="1"/>
  <c r="CY330" i="1"/>
  <c r="X330" i="1" s="1"/>
  <c r="CZ330" i="1"/>
  <c r="Y330" i="1" s="1"/>
  <c r="CP285" i="1"/>
  <c r="O285" i="1" s="1"/>
  <c r="CY282" i="1"/>
  <c r="X282" i="1" s="1"/>
  <c r="CZ282" i="1"/>
  <c r="Y282" i="1" s="1"/>
  <c r="CC296" i="1"/>
  <c r="AE358" i="1"/>
  <c r="CY348" i="1"/>
  <c r="X348" i="1" s="1"/>
  <c r="GM348" i="1" s="1"/>
  <c r="S342" i="1"/>
  <c r="AB341" i="1"/>
  <c r="P338" i="1"/>
  <c r="CP338" i="1" s="1"/>
  <c r="O338" i="1" s="1"/>
  <c r="W334" i="1"/>
  <c r="W332" i="1"/>
  <c r="CP329" i="1"/>
  <c r="O329" i="1" s="1"/>
  <c r="CP289" i="1"/>
  <c r="O289" i="1" s="1"/>
  <c r="FQ296" i="1"/>
  <c r="CY286" i="1"/>
  <c r="X286" i="1" s="1"/>
  <c r="CZ286" i="1"/>
  <c r="Y286" i="1" s="1"/>
  <c r="CY281" i="1"/>
  <c r="X281" i="1" s="1"/>
  <c r="CZ281" i="1"/>
  <c r="Y281" i="1" s="1"/>
  <c r="GM276" i="1"/>
  <c r="GN276" i="1"/>
  <c r="CX381" i="3"/>
  <c r="CX380" i="3"/>
  <c r="CX379" i="3"/>
  <c r="T349" i="1"/>
  <c r="AB347" i="1"/>
  <c r="W344" i="1"/>
  <c r="W339" i="1"/>
  <c r="AJ358" i="1" s="1"/>
  <c r="T339" i="1"/>
  <c r="AG358" i="1" s="1"/>
  <c r="AB338" i="1"/>
  <c r="CZ337" i="1"/>
  <c r="Y337" i="1" s="1"/>
  <c r="S336" i="1"/>
  <c r="CY294" i="1"/>
  <c r="X294" i="1" s="1"/>
  <c r="CZ294" i="1"/>
  <c r="Y294" i="1" s="1"/>
  <c r="CQ291" i="1"/>
  <c r="P291" i="1" s="1"/>
  <c r="CP291" i="1" s="1"/>
  <c r="O291" i="1" s="1"/>
  <c r="AB291" i="1"/>
  <c r="CY288" i="1"/>
  <c r="X288" i="1" s="1"/>
  <c r="CZ288" i="1"/>
  <c r="Y288" i="1" s="1"/>
  <c r="CY284" i="1"/>
  <c r="X284" i="1" s="1"/>
  <c r="CZ284" i="1"/>
  <c r="Y284" i="1" s="1"/>
  <c r="CP280" i="1"/>
  <c r="O280" i="1" s="1"/>
  <c r="EA296" i="1"/>
  <c r="V336" i="1"/>
  <c r="EA358" i="1" s="1"/>
  <c r="R336" i="1"/>
  <c r="GK336" i="1" s="1"/>
  <c r="CP332" i="1"/>
  <c r="O332" i="1" s="1"/>
  <c r="CY292" i="1"/>
  <c r="X292" i="1" s="1"/>
  <c r="CZ292" i="1"/>
  <c r="Y292" i="1" s="1"/>
  <c r="CY291" i="1"/>
  <c r="X291" i="1" s="1"/>
  <c r="CZ291" i="1"/>
  <c r="Y291" i="1" s="1"/>
  <c r="U283" i="1"/>
  <c r="AH296" i="1" s="1"/>
  <c r="DZ296" i="1"/>
  <c r="BB296" i="1"/>
  <c r="AB285" i="1"/>
  <c r="AB284" i="1"/>
  <c r="S283" i="1"/>
  <c r="AB281" i="1"/>
  <c r="CX258" i="3"/>
  <c r="CX260" i="3"/>
  <c r="CX257" i="3"/>
  <c r="CX259" i="3"/>
  <c r="I283" i="1"/>
  <c r="AB274" i="1"/>
  <c r="CY224" i="1"/>
  <c r="X224" i="1" s="1"/>
  <c r="CZ224" i="1"/>
  <c r="Y224" i="1" s="1"/>
  <c r="CP224" i="1"/>
  <c r="O224" i="1" s="1"/>
  <c r="CY221" i="1"/>
  <c r="X221" i="1" s="1"/>
  <c r="CZ221" i="1"/>
  <c r="Y221" i="1" s="1"/>
  <c r="FY296" i="1"/>
  <c r="EG296" i="1"/>
  <c r="CY277" i="1"/>
  <c r="X277" i="1" s="1"/>
  <c r="GK275" i="1"/>
  <c r="CQ275" i="1"/>
  <c r="P275" i="1" s="1"/>
  <c r="CP275" i="1" s="1"/>
  <c r="O275" i="1" s="1"/>
  <c r="AB275" i="1"/>
  <c r="CZ271" i="1"/>
  <c r="Y271" i="1" s="1"/>
  <c r="CP235" i="1"/>
  <c r="O235" i="1" s="1"/>
  <c r="CR294" i="1"/>
  <c r="Q294" i="1" s="1"/>
  <c r="DV296" i="1" s="1"/>
  <c r="CR287" i="1"/>
  <c r="Q287" i="1" s="1"/>
  <c r="CP287" i="1" s="1"/>
  <c r="O287" i="1" s="1"/>
  <c r="AB278" i="1"/>
  <c r="CY233" i="1"/>
  <c r="X233" i="1" s="1"/>
  <c r="CY223" i="1"/>
  <c r="X223" i="1" s="1"/>
  <c r="CC181" i="1"/>
  <c r="AT238" i="1"/>
  <c r="AB221" i="1"/>
  <c r="CQ221" i="1"/>
  <c r="P221" i="1" s="1"/>
  <c r="CP221" i="1" s="1"/>
  <c r="O221" i="1" s="1"/>
  <c r="CX288" i="3"/>
  <c r="CX285" i="3"/>
  <c r="CX290" i="3"/>
  <c r="CX287" i="3"/>
  <c r="CX284" i="3"/>
  <c r="CX289" i="3"/>
  <c r="CX286" i="3"/>
  <c r="CX283" i="3"/>
  <c r="AB288" i="1"/>
  <c r="GX283" i="1"/>
  <c r="CJ296" i="1" s="1"/>
  <c r="CY274" i="1"/>
  <c r="X274" i="1" s="1"/>
  <c r="CZ274" i="1"/>
  <c r="Y274" i="1" s="1"/>
  <c r="CZ272" i="1"/>
  <c r="Y272" i="1" s="1"/>
  <c r="CY228" i="1"/>
  <c r="X228" i="1" s="1"/>
  <c r="CZ228" i="1"/>
  <c r="Y228" i="1" s="1"/>
  <c r="CP228" i="1"/>
  <c r="O228" i="1" s="1"/>
  <c r="CQ335" i="1"/>
  <c r="P335" i="1" s="1"/>
  <c r="CP335" i="1" s="1"/>
  <c r="O335" i="1" s="1"/>
  <c r="CQ331" i="1"/>
  <c r="P331" i="1" s="1"/>
  <c r="ET296" i="1"/>
  <c r="EL296" i="1"/>
  <c r="CQ293" i="1"/>
  <c r="P293" i="1" s="1"/>
  <c r="CP293" i="1" s="1"/>
  <c r="O293" i="1" s="1"/>
  <c r="S280" i="1"/>
  <c r="DX296" i="1" s="1"/>
  <c r="CP279" i="1"/>
  <c r="O279" i="1" s="1"/>
  <c r="T274" i="1"/>
  <c r="DY296" i="1" s="1"/>
  <c r="CQ273" i="1"/>
  <c r="P273" i="1" s="1"/>
  <c r="CP273" i="1" s="1"/>
  <c r="O273" i="1" s="1"/>
  <c r="Q229" i="1"/>
  <c r="GX229" i="1"/>
  <c r="CZ285" i="1"/>
  <c r="Y285" i="1" s="1"/>
  <c r="V283" i="1"/>
  <c r="AI296" i="1" s="1"/>
  <c r="CY278" i="1"/>
  <c r="X278" i="1" s="1"/>
  <c r="GM278" i="1" s="1"/>
  <c r="CZ278" i="1"/>
  <c r="Y278" i="1" s="1"/>
  <c r="GC181" i="1"/>
  <c r="ET238" i="1"/>
  <c r="EI238" i="1"/>
  <c r="U231" i="1"/>
  <c r="CX304" i="3"/>
  <c r="CX312" i="3"/>
  <c r="CX309" i="3"/>
  <c r="CX317" i="3"/>
  <c r="CX306" i="3"/>
  <c r="CX314" i="3"/>
  <c r="CX303" i="3"/>
  <c r="CX311" i="3"/>
  <c r="CX319" i="3"/>
  <c r="CX308" i="3"/>
  <c r="CX316" i="3"/>
  <c r="CX305" i="3"/>
  <c r="CX313" i="3"/>
  <c r="CX310" i="3"/>
  <c r="CX318" i="3"/>
  <c r="CX307" i="3"/>
  <c r="CX315" i="3"/>
  <c r="CX296" i="3"/>
  <c r="CX293" i="3"/>
  <c r="CX295" i="3"/>
  <c r="CX292" i="3"/>
  <c r="CX294" i="3"/>
  <c r="CX291" i="3"/>
  <c r="CX280" i="3"/>
  <c r="CX277" i="3"/>
  <c r="CX282" i="3"/>
  <c r="CX279" i="3"/>
  <c r="CX276" i="3"/>
  <c r="CX281" i="3"/>
  <c r="CX278" i="3"/>
  <c r="CX275" i="3"/>
  <c r="P312" i="1"/>
  <c r="CX264" i="3"/>
  <c r="CX261" i="3"/>
  <c r="CX263" i="3"/>
  <c r="CX262" i="3"/>
  <c r="CQ277" i="1"/>
  <c r="P277" i="1" s="1"/>
  <c r="CP277" i="1" s="1"/>
  <c r="O277" i="1" s="1"/>
  <c r="GA238" i="1"/>
  <c r="CY234" i="1"/>
  <c r="X234" i="1" s="1"/>
  <c r="GN234" i="1" s="1"/>
  <c r="CZ234" i="1"/>
  <c r="Y234" i="1" s="1"/>
  <c r="CP233" i="1"/>
  <c r="O233" i="1" s="1"/>
  <c r="GK209" i="1"/>
  <c r="CP272" i="1"/>
  <c r="O272" i="1" s="1"/>
  <c r="CQ271" i="1"/>
  <c r="P271" i="1" s="1"/>
  <c r="AB271" i="1"/>
  <c r="FY181" i="1"/>
  <c r="EP238" i="1"/>
  <c r="CY235" i="1"/>
  <c r="X235" i="1" s="1"/>
  <c r="CZ235" i="1"/>
  <c r="Y235" i="1" s="1"/>
  <c r="GM234" i="1"/>
  <c r="GM232" i="1"/>
  <c r="GN232" i="1"/>
  <c r="CP230" i="1"/>
  <c r="O230" i="1" s="1"/>
  <c r="FU181" i="1"/>
  <c r="EL238" i="1"/>
  <c r="BY181" i="1"/>
  <c r="AP238" i="1"/>
  <c r="CI238" i="1"/>
  <c r="GX230" i="1"/>
  <c r="CY217" i="1"/>
  <c r="X217" i="1" s="1"/>
  <c r="CZ217" i="1"/>
  <c r="Y217" i="1" s="1"/>
  <c r="CP215" i="1"/>
  <c r="O215" i="1" s="1"/>
  <c r="V206" i="1"/>
  <c r="CP202" i="1"/>
  <c r="O202" i="1" s="1"/>
  <c r="CP197" i="1"/>
  <c r="O197" i="1" s="1"/>
  <c r="CZ196" i="1"/>
  <c r="Y196" i="1" s="1"/>
  <c r="CY196" i="1"/>
  <c r="X196" i="1" s="1"/>
  <c r="GM196" i="1" s="1"/>
  <c r="CX256" i="3"/>
  <c r="CX253" i="3"/>
  <c r="CX255" i="3"/>
  <c r="CX252" i="3"/>
  <c r="CX254" i="3"/>
  <c r="CX251" i="3"/>
  <c r="CX240" i="3"/>
  <c r="CX242" i="3"/>
  <c r="CX239" i="3"/>
  <c r="CX244" i="3"/>
  <c r="CX241" i="3"/>
  <c r="CX243" i="3"/>
  <c r="EU238" i="1"/>
  <c r="EM238" i="1"/>
  <c r="AQ238" i="1"/>
  <c r="AB231" i="1"/>
  <c r="T230" i="1"/>
  <c r="S230" i="1"/>
  <c r="P229" i="1"/>
  <c r="CP226" i="1"/>
  <c r="O226" i="1" s="1"/>
  <c r="CQ223" i="1"/>
  <c r="P223" i="1" s="1"/>
  <c r="CP223" i="1" s="1"/>
  <c r="O223" i="1" s="1"/>
  <c r="CR216" i="1"/>
  <c r="Q216" i="1" s="1"/>
  <c r="CP216" i="1" s="1"/>
  <c r="O216" i="1" s="1"/>
  <c r="AB216" i="1"/>
  <c r="CY210" i="1"/>
  <c r="X210" i="1" s="1"/>
  <c r="CZ210" i="1"/>
  <c r="Y210" i="1" s="1"/>
  <c r="CQ207" i="1"/>
  <c r="P207" i="1" s="1"/>
  <c r="AB207" i="1"/>
  <c r="CY199" i="1"/>
  <c r="X199" i="1" s="1"/>
  <c r="CZ199" i="1"/>
  <c r="Y199" i="1" s="1"/>
  <c r="V190" i="1"/>
  <c r="CY189" i="1"/>
  <c r="X189" i="1" s="1"/>
  <c r="CZ189" i="1"/>
  <c r="Y189" i="1" s="1"/>
  <c r="CY185" i="1"/>
  <c r="X185" i="1" s="1"/>
  <c r="CZ185" i="1"/>
  <c r="Y185" i="1" s="1"/>
  <c r="AX238" i="1"/>
  <c r="R230" i="1"/>
  <c r="GK230" i="1" s="1"/>
  <c r="Q227" i="1"/>
  <c r="P227" i="1"/>
  <c r="CZ220" i="1"/>
  <c r="Y220" i="1" s="1"/>
  <c r="CY218" i="1"/>
  <c r="X218" i="1" s="1"/>
  <c r="CZ218" i="1"/>
  <c r="Y218" i="1" s="1"/>
  <c r="GN218" i="1" s="1"/>
  <c r="CQ213" i="1"/>
  <c r="P213" i="1" s="1"/>
  <c r="CP213" i="1" s="1"/>
  <c r="O213" i="1" s="1"/>
  <c r="AB213" i="1"/>
  <c r="CY207" i="1"/>
  <c r="X207" i="1" s="1"/>
  <c r="CZ207" i="1"/>
  <c r="Y207" i="1" s="1"/>
  <c r="CY205" i="1"/>
  <c r="X205" i="1" s="1"/>
  <c r="GM205" i="1" s="1"/>
  <c r="CZ205" i="1"/>
  <c r="Y205" i="1" s="1"/>
  <c r="GN205" i="1" s="1"/>
  <c r="CP195" i="1"/>
  <c r="O195" i="1" s="1"/>
  <c r="CY194" i="1"/>
  <c r="X194" i="1" s="1"/>
  <c r="CZ194" i="1"/>
  <c r="Y194" i="1" s="1"/>
  <c r="CP186" i="1"/>
  <c r="O186" i="1" s="1"/>
  <c r="AB227" i="1"/>
  <c r="CY225" i="1"/>
  <c r="X225" i="1" s="1"/>
  <c r="CZ225" i="1"/>
  <c r="Y225" i="1" s="1"/>
  <c r="CP222" i="1"/>
  <c r="O222" i="1" s="1"/>
  <c r="CP220" i="1"/>
  <c r="O220" i="1" s="1"/>
  <c r="GM218" i="1"/>
  <c r="CY213" i="1"/>
  <c r="X213" i="1" s="1"/>
  <c r="CZ213" i="1"/>
  <c r="Y213" i="1" s="1"/>
  <c r="CZ200" i="1"/>
  <c r="Y200" i="1" s="1"/>
  <c r="CY200" i="1"/>
  <c r="X200" i="1" s="1"/>
  <c r="P190" i="1"/>
  <c r="GM184" i="1"/>
  <c r="GN184" i="1"/>
  <c r="CX248" i="3"/>
  <c r="CX245" i="3"/>
  <c r="CX250" i="3"/>
  <c r="CX247" i="3"/>
  <c r="CX249" i="3"/>
  <c r="CX246" i="3"/>
  <c r="CX237" i="3"/>
  <c r="CX234" i="3"/>
  <c r="CX236" i="3"/>
  <c r="CX233" i="3"/>
  <c r="CX238" i="3"/>
  <c r="CX235" i="3"/>
  <c r="P242" i="1"/>
  <c r="S236" i="1"/>
  <c r="CP236" i="1" s="1"/>
  <c r="O236" i="1" s="1"/>
  <c r="CR212" i="1"/>
  <c r="AB212" i="1"/>
  <c r="AB210" i="1"/>
  <c r="W206" i="1"/>
  <c r="S206" i="1"/>
  <c r="CY204" i="1"/>
  <c r="X204" i="1" s="1"/>
  <c r="GM204" i="1" s="1"/>
  <c r="CZ204" i="1"/>
  <c r="Y204" i="1" s="1"/>
  <c r="CP201" i="1"/>
  <c r="O201" i="1" s="1"/>
  <c r="CY198" i="1"/>
  <c r="X198" i="1" s="1"/>
  <c r="CZ198" i="1"/>
  <c r="Y198" i="1" s="1"/>
  <c r="CP189" i="1"/>
  <c r="O189" i="1" s="1"/>
  <c r="CY187" i="1"/>
  <c r="X187" i="1" s="1"/>
  <c r="CZ187" i="1"/>
  <c r="Y187" i="1" s="1"/>
  <c r="CP185" i="1"/>
  <c r="O185" i="1" s="1"/>
  <c r="CP198" i="1"/>
  <c r="O198" i="1" s="1"/>
  <c r="CY197" i="1"/>
  <c r="X197" i="1" s="1"/>
  <c r="CZ197" i="1"/>
  <c r="Y197" i="1" s="1"/>
  <c r="CY193" i="1"/>
  <c r="X193" i="1" s="1"/>
  <c r="CZ193" i="1"/>
  <c r="Y193" i="1" s="1"/>
  <c r="GM191" i="1"/>
  <c r="CP187" i="1"/>
  <c r="O187" i="1" s="1"/>
  <c r="EH238" i="1"/>
  <c r="BB238" i="1"/>
  <c r="AB232" i="1"/>
  <c r="U229" i="1"/>
  <c r="AH238" i="1" s="1"/>
  <c r="CZ227" i="1"/>
  <c r="Y227" i="1" s="1"/>
  <c r="T227" i="1"/>
  <c r="P225" i="1"/>
  <c r="CP225" i="1" s="1"/>
  <c r="O225" i="1" s="1"/>
  <c r="CY209" i="1"/>
  <c r="X209" i="1" s="1"/>
  <c r="CZ209" i="1"/>
  <c r="Y209" i="1" s="1"/>
  <c r="U206" i="1"/>
  <c r="Q206" i="1"/>
  <c r="CY202" i="1"/>
  <c r="X202" i="1" s="1"/>
  <c r="CZ202" i="1"/>
  <c r="Y202" i="1" s="1"/>
  <c r="CP200" i="1"/>
  <c r="O200" i="1" s="1"/>
  <c r="CP193" i="1"/>
  <c r="O193" i="1" s="1"/>
  <c r="S231" i="1"/>
  <c r="R231" i="1"/>
  <c r="GK231" i="1" s="1"/>
  <c r="S229" i="1"/>
  <c r="CX200" i="3"/>
  <c r="CX197" i="3"/>
  <c r="CX205" i="3"/>
  <c r="CX202" i="3"/>
  <c r="CX199" i="3"/>
  <c r="CX196" i="3"/>
  <c r="CX204" i="3"/>
  <c r="CX201" i="3"/>
  <c r="CX198" i="3"/>
  <c r="CX206" i="3"/>
  <c r="CX195" i="3"/>
  <c r="CX203" i="3"/>
  <c r="I231" i="1"/>
  <c r="P231" i="1" s="1"/>
  <c r="AB225" i="1"/>
  <c r="CQ217" i="1"/>
  <c r="P217" i="1" s="1"/>
  <c r="CP217" i="1" s="1"/>
  <c r="O217" i="1" s="1"/>
  <c r="AB217" i="1"/>
  <c r="CY215" i="1"/>
  <c r="X215" i="1" s="1"/>
  <c r="CZ215" i="1"/>
  <c r="Y215" i="1" s="1"/>
  <c r="P214" i="1"/>
  <c r="CP211" i="1"/>
  <c r="O211" i="1" s="1"/>
  <c r="CY208" i="1"/>
  <c r="X208" i="1" s="1"/>
  <c r="CZ208" i="1"/>
  <c r="Y208" i="1" s="1"/>
  <c r="CY195" i="1"/>
  <c r="X195" i="1" s="1"/>
  <c r="CZ195" i="1"/>
  <c r="Y195" i="1" s="1"/>
  <c r="CY186" i="1"/>
  <c r="X186" i="1" s="1"/>
  <c r="CZ186" i="1"/>
  <c r="Y186" i="1" s="1"/>
  <c r="FU98" i="1"/>
  <c r="EL117" i="1"/>
  <c r="AB108" i="1"/>
  <c r="CR108" i="1"/>
  <c r="Q108" i="1" s="1"/>
  <c r="CZ104" i="1"/>
  <c r="Y104" i="1" s="1"/>
  <c r="CY104" i="1"/>
  <c r="X104" i="1" s="1"/>
  <c r="CP29" i="1"/>
  <c r="O29" i="1" s="1"/>
  <c r="CX173" i="3"/>
  <c r="CX170" i="3"/>
  <c r="CX172" i="3"/>
  <c r="CX169" i="3"/>
  <c r="CX171" i="3"/>
  <c r="AB201" i="1"/>
  <c r="CX149" i="3"/>
  <c r="CX151" i="3"/>
  <c r="CX148" i="3"/>
  <c r="CX150" i="3"/>
  <c r="CX147" i="3"/>
  <c r="AB197" i="1"/>
  <c r="I190" i="1"/>
  <c r="AB189" i="1"/>
  <c r="AB187" i="1"/>
  <c r="CY183" i="1"/>
  <c r="X183" i="1" s="1"/>
  <c r="GN183" i="1" s="1"/>
  <c r="CZ183" i="1"/>
  <c r="Y183" i="1" s="1"/>
  <c r="CT219" i="1"/>
  <c r="S219" i="1" s="1"/>
  <c r="CQ210" i="1"/>
  <c r="P210" i="1" s="1"/>
  <c r="CP210" i="1" s="1"/>
  <c r="O210" i="1" s="1"/>
  <c r="CR209" i="1"/>
  <c r="Q209" i="1" s="1"/>
  <c r="CP209" i="1" s="1"/>
  <c r="O209" i="1" s="1"/>
  <c r="CX168" i="3"/>
  <c r="CX165" i="3"/>
  <c r="CX167" i="3"/>
  <c r="CX164" i="3"/>
  <c r="CX166" i="3"/>
  <c r="CX163" i="3"/>
  <c r="CQ206" i="1"/>
  <c r="P206" i="1" s="1"/>
  <c r="CT203" i="1"/>
  <c r="S203" i="1" s="1"/>
  <c r="AB200" i="1"/>
  <c r="CR199" i="1"/>
  <c r="Q199" i="1" s="1"/>
  <c r="CP199" i="1" s="1"/>
  <c r="O199" i="1" s="1"/>
  <c r="AB196" i="1"/>
  <c r="CQ194" i="1"/>
  <c r="P194" i="1" s="1"/>
  <c r="CP194" i="1" s="1"/>
  <c r="O194" i="1" s="1"/>
  <c r="CR193" i="1"/>
  <c r="Q193" i="1" s="1"/>
  <c r="GM183" i="1"/>
  <c r="CZ57" i="1"/>
  <c r="Y57" i="1" s="1"/>
  <c r="CY57" i="1"/>
  <c r="X57" i="1" s="1"/>
  <c r="CY191" i="1"/>
  <c r="X191" i="1" s="1"/>
  <c r="GN191" i="1" s="1"/>
  <c r="CZ191" i="1"/>
  <c r="Y191" i="1" s="1"/>
  <c r="AB185" i="1"/>
  <c r="P121" i="1"/>
  <c r="EG146" i="1"/>
  <c r="EG98" i="1"/>
  <c r="AT117" i="1"/>
  <c r="CX208" i="3"/>
  <c r="CX216" i="3"/>
  <c r="CX213" i="3"/>
  <c r="CX210" i="3"/>
  <c r="CX218" i="3"/>
  <c r="CX207" i="3"/>
  <c r="CX215" i="3"/>
  <c r="CX212" i="3"/>
  <c r="CX209" i="3"/>
  <c r="CX217" i="3"/>
  <c r="CX214" i="3"/>
  <c r="CX211" i="3"/>
  <c r="I214" i="1"/>
  <c r="W214" i="1" s="1"/>
  <c r="CQ208" i="1"/>
  <c r="P208" i="1" s="1"/>
  <c r="CP208" i="1" s="1"/>
  <c r="O208" i="1" s="1"/>
  <c r="Q192" i="1"/>
  <c r="CP192" i="1" s="1"/>
  <c r="O192" i="1" s="1"/>
  <c r="S188" i="1"/>
  <c r="GN110" i="1"/>
  <c r="GM110" i="1"/>
  <c r="GK102" i="1"/>
  <c r="CX160" i="3"/>
  <c r="CX157" i="3"/>
  <c r="CX162" i="3"/>
  <c r="CX159" i="3"/>
  <c r="CX161" i="3"/>
  <c r="CX158" i="3"/>
  <c r="AB192" i="1"/>
  <c r="CX144" i="3"/>
  <c r="CX141" i="3"/>
  <c r="CX138" i="3"/>
  <c r="CX146" i="3"/>
  <c r="CX143" i="3"/>
  <c r="CX140" i="3"/>
  <c r="CX145" i="3"/>
  <c r="CX142" i="3"/>
  <c r="CX139" i="3"/>
  <c r="R188" i="1"/>
  <c r="FV98" i="1"/>
  <c r="EM117" i="1"/>
  <c r="CX176" i="3"/>
  <c r="CX178" i="3"/>
  <c r="CX175" i="3"/>
  <c r="CX177" i="3"/>
  <c r="CX174" i="3"/>
  <c r="I212" i="1"/>
  <c r="GX212" i="1" s="1"/>
  <c r="CZ201" i="1"/>
  <c r="Y201" i="1" s="1"/>
  <c r="CX152" i="3"/>
  <c r="CX154" i="3"/>
  <c r="CX156" i="3"/>
  <c r="CX153" i="3"/>
  <c r="CX155" i="3"/>
  <c r="Q188" i="1"/>
  <c r="W186" i="1"/>
  <c r="FR98" i="1"/>
  <c r="EI117" i="1"/>
  <c r="FY117" i="1"/>
  <c r="DY117" i="1"/>
  <c r="CX128" i="3"/>
  <c r="CX125" i="3"/>
  <c r="CX127" i="3"/>
  <c r="CX124" i="3"/>
  <c r="CX126" i="3"/>
  <c r="CX117" i="3"/>
  <c r="CX116" i="3"/>
  <c r="CX118" i="3"/>
  <c r="CX115" i="3"/>
  <c r="GA117" i="1"/>
  <c r="BZ98" i="1"/>
  <c r="CG117" i="1"/>
  <c r="AQ117" i="1"/>
  <c r="CY115" i="1"/>
  <c r="X115" i="1" s="1"/>
  <c r="CZ115" i="1"/>
  <c r="Y115" i="1" s="1"/>
  <c r="AB114" i="1"/>
  <c r="CQ114" i="1"/>
  <c r="P114" i="1" s="1"/>
  <c r="CP114" i="1" s="1"/>
  <c r="O114" i="1" s="1"/>
  <c r="CP113" i="1"/>
  <c r="O113" i="1" s="1"/>
  <c r="GX111" i="1"/>
  <c r="S111" i="1"/>
  <c r="CP108" i="1"/>
  <c r="O108" i="1" s="1"/>
  <c r="U106" i="1"/>
  <c r="CZ59" i="1"/>
  <c r="Y59" i="1" s="1"/>
  <c r="CY59" i="1"/>
  <c r="X59" i="1" s="1"/>
  <c r="P107" i="1"/>
  <c r="DU117" i="1" s="1"/>
  <c r="CZ39" i="1"/>
  <c r="Y39" i="1" s="1"/>
  <c r="CY39" i="1"/>
  <c r="X39" i="1" s="1"/>
  <c r="AB38" i="1"/>
  <c r="CQ38" i="1"/>
  <c r="P38" i="1" s="1"/>
  <c r="CP38" i="1" s="1"/>
  <c r="O38" i="1" s="1"/>
  <c r="BC117" i="1"/>
  <c r="S106" i="1"/>
  <c r="AF117" i="1" s="1"/>
  <c r="AB102" i="1"/>
  <c r="CX136" i="3"/>
  <c r="CX133" i="3"/>
  <c r="CX130" i="3"/>
  <c r="CX135" i="3"/>
  <c r="CX132" i="3"/>
  <c r="CX129" i="3"/>
  <c r="CX137" i="3"/>
  <c r="CX134" i="3"/>
  <c r="CX131" i="3"/>
  <c r="CX120" i="3"/>
  <c r="CX122" i="3"/>
  <c r="CX119" i="3"/>
  <c r="CX121" i="3"/>
  <c r="CX123" i="3"/>
  <c r="CX112" i="3"/>
  <c r="CX114" i="3"/>
  <c r="CX111" i="3"/>
  <c r="CX113" i="3"/>
  <c r="BB117" i="1"/>
  <c r="CY113" i="1"/>
  <c r="X113" i="1" s="1"/>
  <c r="CP105" i="1"/>
  <c r="O105" i="1" s="1"/>
  <c r="CP103" i="1"/>
  <c r="O103" i="1" s="1"/>
  <c r="ET146" i="1"/>
  <c r="P111" i="1"/>
  <c r="CP111" i="1" s="1"/>
  <c r="O111" i="1" s="1"/>
  <c r="BY117" i="1"/>
  <c r="AB115" i="1"/>
  <c r="CQ115" i="1"/>
  <c r="P115" i="1" s="1"/>
  <c r="CP115" i="1" s="1"/>
  <c r="O115" i="1" s="1"/>
  <c r="CT109" i="1"/>
  <c r="S109" i="1" s="1"/>
  <c r="AB109" i="1"/>
  <c r="T107" i="1"/>
  <c r="P106" i="1"/>
  <c r="CX92" i="3"/>
  <c r="CX91" i="3"/>
  <c r="I106" i="1"/>
  <c r="R106" i="1" s="1"/>
  <c r="GK106" i="1" s="1"/>
  <c r="R104" i="1"/>
  <c r="GK104" i="1" s="1"/>
  <c r="T104" i="1"/>
  <c r="GD98" i="1"/>
  <c r="EU117" i="1"/>
  <c r="EH117" i="1"/>
  <c r="AU117" i="1"/>
  <c r="CY105" i="1"/>
  <c r="X105" i="1" s="1"/>
  <c r="CY102" i="1"/>
  <c r="X102" i="1" s="1"/>
  <c r="CZ102" i="1"/>
  <c r="Y102" i="1" s="1"/>
  <c r="CP101" i="1"/>
  <c r="O101" i="1" s="1"/>
  <c r="BC26" i="1"/>
  <c r="F79" i="1"/>
  <c r="CY58" i="1"/>
  <c r="X58" i="1" s="1"/>
  <c r="CZ58" i="1"/>
  <c r="Y58" i="1" s="1"/>
  <c r="BZ26" i="1"/>
  <c r="AQ63" i="1"/>
  <c r="CY46" i="1"/>
  <c r="X46" i="1" s="1"/>
  <c r="CZ46" i="1"/>
  <c r="Y46" i="1" s="1"/>
  <c r="CP112" i="1"/>
  <c r="O112" i="1" s="1"/>
  <c r="ER63" i="1"/>
  <c r="BB26" i="1"/>
  <c r="F76" i="1"/>
  <c r="CP61" i="1"/>
  <c r="O61" i="1" s="1"/>
  <c r="AB60" i="1"/>
  <c r="CQ60" i="1"/>
  <c r="P60" i="1" s="1"/>
  <c r="CP60" i="1" s="1"/>
  <c r="O60" i="1" s="1"/>
  <c r="CY33" i="1"/>
  <c r="X33" i="1" s="1"/>
  <c r="CZ33" i="1"/>
  <c r="Y33" i="1" s="1"/>
  <c r="AB31" i="1"/>
  <c r="CQ31" i="1"/>
  <c r="P31" i="1" s="1"/>
  <c r="CP31" i="1" s="1"/>
  <c r="O31" i="1" s="1"/>
  <c r="R111" i="1"/>
  <c r="GK111" i="1" s="1"/>
  <c r="T106" i="1"/>
  <c r="U104" i="1"/>
  <c r="AH117" i="1" s="1"/>
  <c r="CP58" i="1"/>
  <c r="O58" i="1" s="1"/>
  <c r="FR26" i="1"/>
  <c r="FY63" i="1"/>
  <c r="EI63" i="1"/>
  <c r="BY26" i="1"/>
  <c r="AP63" i="1"/>
  <c r="CI63" i="1"/>
  <c r="CZ43" i="1"/>
  <c r="Y43" i="1" s="1"/>
  <c r="CY43" i="1"/>
  <c r="X43" i="1" s="1"/>
  <c r="AB42" i="1"/>
  <c r="CQ42" i="1"/>
  <c r="P42" i="1" s="1"/>
  <c r="CP42" i="1" s="1"/>
  <c r="O42" i="1" s="1"/>
  <c r="GX41" i="1"/>
  <c r="Q41" i="1"/>
  <c r="DV63" i="1" s="1"/>
  <c r="T102" i="1"/>
  <c r="AG117" i="1" s="1"/>
  <c r="CZ54" i="1"/>
  <c r="Y54" i="1" s="1"/>
  <c r="CY54" i="1"/>
  <c r="X54" i="1" s="1"/>
  <c r="GX49" i="1"/>
  <c r="Q49" i="1"/>
  <c r="AO117" i="1"/>
  <c r="AB111" i="1"/>
  <c r="CZ108" i="1"/>
  <c r="Y108" i="1" s="1"/>
  <c r="AB105" i="1"/>
  <c r="CX93" i="3"/>
  <c r="CX94" i="3"/>
  <c r="I107" i="1"/>
  <c r="V107" i="1" s="1"/>
  <c r="EA117" i="1" s="1"/>
  <c r="AB100" i="1"/>
  <c r="CQ100" i="1"/>
  <c r="P100" i="1" s="1"/>
  <c r="GC26" i="1"/>
  <c r="ET63" i="1"/>
  <c r="EH63" i="1"/>
  <c r="CQ52" i="1"/>
  <c r="AB52" i="1"/>
  <c r="V49" i="1"/>
  <c r="GM47" i="1"/>
  <c r="GN47" i="1"/>
  <c r="W36" i="1"/>
  <c r="P104" i="1"/>
  <c r="CP104" i="1" s="1"/>
  <c r="O104" i="1" s="1"/>
  <c r="Q102" i="1"/>
  <c r="CP102" i="1" s="1"/>
  <c r="O102" i="1" s="1"/>
  <c r="AB101" i="1"/>
  <c r="FU26" i="1"/>
  <c r="EL63" i="1"/>
  <c r="CP56" i="1"/>
  <c r="O56" i="1" s="1"/>
  <c r="CG63" i="1"/>
  <c r="CY50" i="1"/>
  <c r="X50" i="1" s="1"/>
  <c r="CZ50" i="1"/>
  <c r="Y50" i="1" s="1"/>
  <c r="CP43" i="1"/>
  <c r="O43" i="1" s="1"/>
  <c r="GX37" i="1"/>
  <c r="R37" i="1"/>
  <c r="T36" i="1"/>
  <c r="AB56" i="1"/>
  <c r="CP54" i="1"/>
  <c r="O54" i="1" s="1"/>
  <c r="CZ51" i="1"/>
  <c r="Y51" i="1" s="1"/>
  <c r="CY51" i="1"/>
  <c r="X51" i="1" s="1"/>
  <c r="GM51" i="1" s="1"/>
  <c r="U49" i="1"/>
  <c r="U45" i="1"/>
  <c r="CP39" i="1"/>
  <c r="O39" i="1" s="1"/>
  <c r="V36" i="1"/>
  <c r="CP57" i="1"/>
  <c r="O57" i="1" s="1"/>
  <c r="T49" i="1"/>
  <c r="CT49" i="1"/>
  <c r="S49" i="1" s="1"/>
  <c r="AB49" i="1"/>
  <c r="R45" i="1"/>
  <c r="GK45" i="1" s="1"/>
  <c r="CC63" i="1"/>
  <c r="P45" i="1"/>
  <c r="T44" i="1"/>
  <c r="V41" i="1"/>
  <c r="EA63" i="1" s="1"/>
  <c r="CT41" i="1"/>
  <c r="S41" i="1" s="1"/>
  <c r="AB41" i="1"/>
  <c r="CP35" i="1"/>
  <c r="O35" i="1" s="1"/>
  <c r="CY61" i="1"/>
  <c r="X61" i="1" s="1"/>
  <c r="CZ61" i="1"/>
  <c r="Y61" i="1" s="1"/>
  <c r="CY60" i="1"/>
  <c r="X60" i="1" s="1"/>
  <c r="Q59" i="1"/>
  <c r="CP59" i="1" s="1"/>
  <c r="O59" i="1" s="1"/>
  <c r="AB51" i="1"/>
  <c r="AB47" i="1"/>
  <c r="V44" i="1"/>
  <c r="U41" i="1"/>
  <c r="DZ63" i="1" s="1"/>
  <c r="AB59" i="1"/>
  <c r="Q45" i="1"/>
  <c r="GX45" i="1"/>
  <c r="R41" i="1"/>
  <c r="GK41" i="1" s="1"/>
  <c r="T40" i="1"/>
  <c r="CT37" i="1"/>
  <c r="S37" i="1" s="1"/>
  <c r="AB37" i="1"/>
  <c r="W53" i="1"/>
  <c r="T48" i="1"/>
  <c r="W45" i="1"/>
  <c r="CY42" i="1"/>
  <c r="X42" i="1" s="1"/>
  <c r="CZ42" i="1"/>
  <c r="Y42" i="1" s="1"/>
  <c r="P41" i="1"/>
  <c r="CP41" i="1" s="1"/>
  <c r="O41" i="1" s="1"/>
  <c r="CY38" i="1"/>
  <c r="X38" i="1" s="1"/>
  <c r="CZ38" i="1"/>
  <c r="Y38" i="1" s="1"/>
  <c r="P37" i="1"/>
  <c r="CP37" i="1" s="1"/>
  <c r="O37" i="1" s="1"/>
  <c r="AB54" i="1"/>
  <c r="T52" i="1"/>
  <c r="CX56" i="3"/>
  <c r="CX55" i="3"/>
  <c r="CX57" i="3"/>
  <c r="I52" i="1"/>
  <c r="Q52" i="1" s="1"/>
  <c r="P49" i="1"/>
  <c r="CX52" i="3"/>
  <c r="CX51" i="3"/>
  <c r="I48" i="1"/>
  <c r="GX48" i="1" s="1"/>
  <c r="W41" i="1"/>
  <c r="Q40" i="1"/>
  <c r="W37" i="1"/>
  <c r="EB63" i="1" s="1"/>
  <c r="R50" i="1"/>
  <c r="GK50" i="1" s="1"/>
  <c r="W49" i="1"/>
  <c r="R46" i="1"/>
  <c r="GK46" i="1" s="1"/>
  <c r="P44" i="1"/>
  <c r="AB43" i="1"/>
  <c r="CX45" i="3"/>
  <c r="CX44" i="3"/>
  <c r="CX46" i="3"/>
  <c r="CX43" i="3"/>
  <c r="I44" i="1"/>
  <c r="Q44" i="1" s="1"/>
  <c r="AB39" i="1"/>
  <c r="CX24" i="3"/>
  <c r="CX21" i="3"/>
  <c r="CX29" i="3"/>
  <c r="CX26" i="3"/>
  <c r="CX23" i="3"/>
  <c r="CX31" i="3"/>
  <c r="CX28" i="3"/>
  <c r="CX25" i="3"/>
  <c r="CX22" i="3"/>
  <c r="CX30" i="3"/>
  <c r="CX27" i="3"/>
  <c r="I40" i="1"/>
  <c r="P36" i="1"/>
  <c r="AB35" i="1"/>
  <c r="CX16" i="3"/>
  <c r="CX15" i="3"/>
  <c r="CX17" i="3"/>
  <c r="I36" i="1"/>
  <c r="Q36" i="1" s="1"/>
  <c r="CY32" i="1"/>
  <c r="X32" i="1" s="1"/>
  <c r="EU63" i="1"/>
  <c r="AB57" i="1"/>
  <c r="U53" i="1"/>
  <c r="Q50" i="1"/>
  <c r="Q48" i="1"/>
  <c r="Q46" i="1"/>
  <c r="T45" i="1"/>
  <c r="CY34" i="1"/>
  <c r="X34" i="1" s="1"/>
  <c r="CZ34" i="1"/>
  <c r="Y34" i="1" s="1"/>
  <c r="CY31" i="1"/>
  <c r="X31" i="1" s="1"/>
  <c r="CZ31" i="1"/>
  <c r="Y31" i="1" s="1"/>
  <c r="CP55" i="1"/>
  <c r="O55" i="1" s="1"/>
  <c r="T53" i="1"/>
  <c r="S53" i="1"/>
  <c r="CP53" i="1" s="1"/>
  <c r="O53" i="1" s="1"/>
  <c r="AB50" i="1"/>
  <c r="CQ50" i="1"/>
  <c r="P50" i="1" s="1"/>
  <c r="CP50" i="1" s="1"/>
  <c r="O50" i="1" s="1"/>
  <c r="P48" i="1"/>
  <c r="AB46" i="1"/>
  <c r="CQ46" i="1"/>
  <c r="P46" i="1" s="1"/>
  <c r="S45" i="1"/>
  <c r="T41" i="1"/>
  <c r="T37" i="1"/>
  <c r="CR34" i="1"/>
  <c r="Q34" i="1" s="1"/>
  <c r="CP34" i="1" s="1"/>
  <c r="O34" i="1" s="1"/>
  <c r="T32" i="1"/>
  <c r="AG63" i="1" s="1"/>
  <c r="CQ33" i="1"/>
  <c r="P33" i="1" s="1"/>
  <c r="CP33" i="1" s="1"/>
  <c r="O33" i="1" s="1"/>
  <c r="R32" i="1"/>
  <c r="CY30" i="1"/>
  <c r="X30" i="1" s="1"/>
  <c r="CZ30" i="1"/>
  <c r="Y30" i="1" s="1"/>
  <c r="GM30" i="1" s="1"/>
  <c r="Q32" i="1"/>
  <c r="CX58" i="3"/>
  <c r="CX60" i="3"/>
  <c r="CX59" i="3"/>
  <c r="CX53" i="3"/>
  <c r="CX54" i="3"/>
  <c r="CX48" i="3"/>
  <c r="CX50" i="3"/>
  <c r="CX47" i="3"/>
  <c r="CX49" i="3"/>
  <c r="CX32" i="3"/>
  <c r="CX40" i="3"/>
  <c r="CX37" i="3"/>
  <c r="CX34" i="3"/>
  <c r="CX42" i="3"/>
  <c r="CX39" i="3"/>
  <c r="CX36" i="3"/>
  <c r="CX33" i="3"/>
  <c r="CX41" i="3"/>
  <c r="CX38" i="3"/>
  <c r="CX35" i="3"/>
  <c r="CX18" i="3"/>
  <c r="CX20" i="3"/>
  <c r="CX19" i="3"/>
  <c r="AB32" i="1"/>
  <c r="CY28" i="1"/>
  <c r="X28" i="1" s="1"/>
  <c r="CZ28" i="1"/>
  <c r="Y28" i="1" s="1"/>
  <c r="CX11" i="3"/>
  <c r="CX3" i="3"/>
  <c r="AB29" i="1"/>
  <c r="CX6" i="3"/>
  <c r="CQ28" i="1"/>
  <c r="P28" i="1" s="1"/>
  <c r="CX9" i="3"/>
  <c r="CX1" i="3"/>
  <c r="CX12" i="3"/>
  <c r="CX4" i="3"/>
  <c r="CX7" i="3"/>
  <c r="CX10" i="3"/>
  <c r="CX2" i="3"/>
  <c r="AH181" i="1" l="1"/>
  <c r="U238" i="1"/>
  <c r="GM216" i="1"/>
  <c r="GN216" i="1"/>
  <c r="EB26" i="1"/>
  <c r="DO63" i="1"/>
  <c r="AH389" i="1"/>
  <c r="U420" i="1"/>
  <c r="GM59" i="1"/>
  <c r="GN59" i="1"/>
  <c r="EA98" i="1"/>
  <c r="DN117" i="1"/>
  <c r="GM199" i="1"/>
  <c r="GN199" i="1"/>
  <c r="CJ269" i="1"/>
  <c r="BA296" i="1"/>
  <c r="AD389" i="1"/>
  <c r="Q420" i="1"/>
  <c r="U117" i="1"/>
  <c r="AH98" i="1"/>
  <c r="GM287" i="1"/>
  <c r="GN287" i="1"/>
  <c r="AG26" i="1"/>
  <c r="T63" i="1"/>
  <c r="DU98" i="1"/>
  <c r="DH117" i="1"/>
  <c r="FW117" i="1"/>
  <c r="FX117" i="1"/>
  <c r="FZ117" i="1"/>
  <c r="GM209" i="1"/>
  <c r="GN209" i="1"/>
  <c r="DV269" i="1"/>
  <c r="DI296" i="1"/>
  <c r="AJ327" i="1"/>
  <c r="W358" i="1"/>
  <c r="AG269" i="1"/>
  <c r="T296" i="1"/>
  <c r="GM414" i="1"/>
  <c r="GO414" i="1"/>
  <c r="GM34" i="1"/>
  <c r="GN34" i="1"/>
  <c r="EA327" i="1"/>
  <c r="DN358" i="1"/>
  <c r="GM477" i="1"/>
  <c r="GO477" i="1"/>
  <c r="DZ26" i="1"/>
  <c r="DM63" i="1"/>
  <c r="DV26" i="1"/>
  <c r="DI63" i="1"/>
  <c r="AF98" i="1"/>
  <c r="S117" i="1"/>
  <c r="GM192" i="1"/>
  <c r="GN192" i="1"/>
  <c r="DX269" i="1"/>
  <c r="DK296" i="1"/>
  <c r="U296" i="1"/>
  <c r="AH269" i="1"/>
  <c r="AI269" i="1"/>
  <c r="V296" i="1"/>
  <c r="AK586" i="1"/>
  <c r="X595" i="1"/>
  <c r="AG98" i="1"/>
  <c r="T117" i="1"/>
  <c r="U52" i="1"/>
  <c r="CC26" i="1"/>
  <c r="AT63" i="1"/>
  <c r="GM39" i="1"/>
  <c r="GN39" i="1"/>
  <c r="GK37" i="1"/>
  <c r="DW63" i="1"/>
  <c r="EL26" i="1"/>
  <c r="P81" i="1"/>
  <c r="CP100" i="1"/>
  <c r="O100" i="1" s="1"/>
  <c r="AC117" i="1"/>
  <c r="U36" i="1"/>
  <c r="AP26" i="1"/>
  <c r="F72" i="1"/>
  <c r="GN51" i="1"/>
  <c r="EU98" i="1"/>
  <c r="P133" i="1"/>
  <c r="EU146" i="1"/>
  <c r="W107" i="1"/>
  <c r="EB117" i="1" s="1"/>
  <c r="GN114" i="1"/>
  <c r="GM114" i="1"/>
  <c r="GM208" i="1"/>
  <c r="GN208" i="1"/>
  <c r="GM217" i="1"/>
  <c r="GN217" i="1"/>
  <c r="GM189" i="1"/>
  <c r="GN189" i="1"/>
  <c r="CY206" i="1"/>
  <c r="X206" i="1" s="1"/>
  <c r="CZ206" i="1"/>
  <c r="Y206" i="1" s="1"/>
  <c r="GN220" i="1"/>
  <c r="GM220" i="1"/>
  <c r="GM213" i="1"/>
  <c r="GN213" i="1"/>
  <c r="GN196" i="1"/>
  <c r="GA181" i="1"/>
  <c r="ER238" i="1"/>
  <c r="EI181" i="1"/>
  <c r="P248" i="1"/>
  <c r="P309" i="1"/>
  <c r="ET269" i="1"/>
  <c r="CY283" i="1"/>
  <c r="X283" i="1" s="1"/>
  <c r="AK296" i="1" s="1"/>
  <c r="CZ283" i="1"/>
  <c r="Y283" i="1" s="1"/>
  <c r="FQ269" i="1"/>
  <c r="EH296" i="1"/>
  <c r="GA296" i="1"/>
  <c r="CY342" i="1"/>
  <c r="X342" i="1" s="1"/>
  <c r="CZ342" i="1"/>
  <c r="Y342" i="1" s="1"/>
  <c r="CP401" i="1"/>
  <c r="O401" i="1" s="1"/>
  <c r="AC420" i="1"/>
  <c r="AF296" i="1"/>
  <c r="EG327" i="1"/>
  <c r="P362" i="1"/>
  <c r="GN286" i="1"/>
  <c r="GM286" i="1"/>
  <c r="U340" i="1"/>
  <c r="DZ358" i="1" s="1"/>
  <c r="CG389" i="1"/>
  <c r="AX420" i="1"/>
  <c r="AH327" i="1"/>
  <c r="U358" i="1"/>
  <c r="AL389" i="1"/>
  <c r="Y420" i="1"/>
  <c r="P340" i="1"/>
  <c r="AQ389" i="1"/>
  <c r="F430" i="1"/>
  <c r="AK358" i="1"/>
  <c r="GM356" i="1"/>
  <c r="GN356" i="1"/>
  <c r="GM413" i="1"/>
  <c r="GO413" i="1"/>
  <c r="EG451" i="1"/>
  <c r="P486" i="1"/>
  <c r="GM415" i="1"/>
  <c r="GO415" i="1"/>
  <c r="V470" i="1"/>
  <c r="EA482" i="1" s="1"/>
  <c r="GM473" i="1"/>
  <c r="GO473" i="1"/>
  <c r="GX408" i="1"/>
  <c r="DI555" i="1"/>
  <c r="DV542" i="1"/>
  <c r="AS389" i="1"/>
  <c r="F437" i="1"/>
  <c r="P467" i="1"/>
  <c r="GX467" i="1"/>
  <c r="R467" i="1"/>
  <c r="GK467" i="1" s="1"/>
  <c r="GM341" i="1"/>
  <c r="S457" i="1"/>
  <c r="W468" i="1"/>
  <c r="EI451" i="1"/>
  <c r="P492" i="1"/>
  <c r="GO471" i="1"/>
  <c r="F571" i="1"/>
  <c r="BC542" i="1"/>
  <c r="GO418" i="1"/>
  <c r="ED555" i="1"/>
  <c r="AD586" i="1"/>
  <c r="Q595" i="1"/>
  <c r="DZ542" i="1"/>
  <c r="DM555" i="1"/>
  <c r="T468" i="1"/>
  <c r="DY482" i="1" s="1"/>
  <c r="DO555" i="1"/>
  <c r="EB542" i="1"/>
  <c r="BA586" i="1"/>
  <c r="F615" i="1"/>
  <c r="U586" i="1"/>
  <c r="F617" i="1"/>
  <c r="GM35" i="1"/>
  <c r="GN35" i="1"/>
  <c r="EU26" i="1"/>
  <c r="P79" i="1"/>
  <c r="U48" i="1"/>
  <c r="V48" i="1"/>
  <c r="AI63" i="1" s="1"/>
  <c r="U44" i="1"/>
  <c r="CY41" i="1"/>
  <c r="X41" i="1" s="1"/>
  <c r="CZ41" i="1"/>
  <c r="Y41" i="1" s="1"/>
  <c r="GB63" i="1"/>
  <c r="AO98" i="1"/>
  <c r="F121" i="1"/>
  <c r="AO146" i="1"/>
  <c r="GN31" i="1"/>
  <c r="GM31" i="1"/>
  <c r="GN101" i="1"/>
  <c r="GM101" i="1"/>
  <c r="BY98" i="1"/>
  <c r="CI117" i="1"/>
  <c r="AP117" i="1"/>
  <c r="BB98" i="1"/>
  <c r="F130" i="1"/>
  <c r="BB146" i="1"/>
  <c r="BC98" i="1"/>
  <c r="BC146" i="1"/>
  <c r="F133" i="1"/>
  <c r="AE117" i="1"/>
  <c r="GX214" i="1"/>
  <c r="R214" i="1"/>
  <c r="GK214" i="1" s="1"/>
  <c r="EG94" i="1"/>
  <c r="P150" i="1"/>
  <c r="CY203" i="1"/>
  <c r="X203" i="1" s="1"/>
  <c r="CZ203" i="1"/>
  <c r="Y203" i="1" s="1"/>
  <c r="AF238" i="1"/>
  <c r="T190" i="1"/>
  <c r="DY238" i="1" s="1"/>
  <c r="GX190" i="1"/>
  <c r="Q190" i="1"/>
  <c r="DV238" i="1" s="1"/>
  <c r="GM211" i="1"/>
  <c r="GN211" i="1"/>
  <c r="CY231" i="1"/>
  <c r="X231" i="1" s="1"/>
  <c r="CZ231" i="1"/>
  <c r="Y231" i="1" s="1"/>
  <c r="W190" i="1"/>
  <c r="GN222" i="1"/>
  <c r="GM222" i="1"/>
  <c r="GM195" i="1"/>
  <c r="GN195" i="1"/>
  <c r="U214" i="1"/>
  <c r="AX181" i="1"/>
  <c r="F245" i="1"/>
  <c r="CP188" i="1"/>
  <c r="O188" i="1" s="1"/>
  <c r="GM215" i="1"/>
  <c r="GN215" i="1"/>
  <c r="EL181" i="1"/>
  <c r="P256" i="1"/>
  <c r="AE238" i="1"/>
  <c r="GN277" i="1"/>
  <c r="GM277" i="1"/>
  <c r="ET181" i="1"/>
  <c r="P251" i="1"/>
  <c r="ET511" i="1"/>
  <c r="CP331" i="1"/>
  <c r="O331" i="1" s="1"/>
  <c r="AC358" i="1"/>
  <c r="EG269" i="1"/>
  <c r="P300" i="1"/>
  <c r="EG511" i="1"/>
  <c r="EA269" i="1"/>
  <c r="DN296" i="1"/>
  <c r="GM291" i="1"/>
  <c r="GN291" i="1"/>
  <c r="Q340" i="1"/>
  <c r="DV358" i="1" s="1"/>
  <c r="GB358" i="1"/>
  <c r="GO405" i="1"/>
  <c r="GM405" i="1"/>
  <c r="GM282" i="1"/>
  <c r="GN282" i="1"/>
  <c r="GN339" i="1"/>
  <c r="GM339" i="1"/>
  <c r="FY327" i="1"/>
  <c r="EP358" i="1"/>
  <c r="AQ269" i="1"/>
  <c r="F306" i="1"/>
  <c r="CJ327" i="1"/>
  <c r="BA358" i="1"/>
  <c r="AK420" i="1"/>
  <c r="GM346" i="1"/>
  <c r="GN346" i="1"/>
  <c r="CY396" i="1"/>
  <c r="X396" i="1" s="1"/>
  <c r="CZ396" i="1"/>
  <c r="Y396" i="1" s="1"/>
  <c r="GM396" i="1" s="1"/>
  <c r="EU389" i="1"/>
  <c r="P436" i="1"/>
  <c r="EH327" i="1"/>
  <c r="P367" i="1"/>
  <c r="S406" i="1"/>
  <c r="T457" i="1"/>
  <c r="GO472" i="1"/>
  <c r="GM472" i="1"/>
  <c r="FY451" i="1"/>
  <c r="EP482" i="1"/>
  <c r="GX470" i="1"/>
  <c r="DX420" i="1"/>
  <c r="GM476" i="1"/>
  <c r="GO476" i="1"/>
  <c r="FR389" i="1"/>
  <c r="EI420" i="1"/>
  <c r="GA420" i="1"/>
  <c r="GM393" i="1"/>
  <c r="CP465" i="1"/>
  <c r="O465" i="1" s="1"/>
  <c r="S467" i="1"/>
  <c r="GX468" i="1"/>
  <c r="GB482" i="1" s="1"/>
  <c r="AE542" i="1"/>
  <c r="R555" i="1"/>
  <c r="CI451" i="1"/>
  <c r="AZ482" i="1"/>
  <c r="DP555" i="1"/>
  <c r="EC542" i="1"/>
  <c r="U467" i="1"/>
  <c r="S470" i="1"/>
  <c r="EG586" i="1"/>
  <c r="P599" i="1"/>
  <c r="GB542" i="1"/>
  <c r="ES555" i="1"/>
  <c r="FW542" i="1"/>
  <c r="EN555" i="1"/>
  <c r="DO586" i="1"/>
  <c r="P619" i="1"/>
  <c r="DI595" i="1"/>
  <c r="DV586" i="1"/>
  <c r="GN33" i="1"/>
  <c r="GM33" i="1"/>
  <c r="GN56" i="1"/>
  <c r="GM56" i="1"/>
  <c r="GM50" i="1"/>
  <c r="GN50" i="1"/>
  <c r="GX40" i="1"/>
  <c r="R40" i="1"/>
  <c r="GK40" i="1" s="1"/>
  <c r="S40" i="1"/>
  <c r="DY63" i="1"/>
  <c r="GX36" i="1"/>
  <c r="S36" i="1"/>
  <c r="R36" i="1"/>
  <c r="GK36" i="1" s="1"/>
  <c r="CP49" i="1"/>
  <c r="O49" i="1" s="1"/>
  <c r="EA26" i="1"/>
  <c r="DN63" i="1"/>
  <c r="V40" i="1"/>
  <c r="U107" i="1"/>
  <c r="DZ117" i="1" s="1"/>
  <c r="GX107" i="1"/>
  <c r="GB117" i="1" s="1"/>
  <c r="Q107" i="1"/>
  <c r="DV117" i="1" s="1"/>
  <c r="EI26" i="1"/>
  <c r="P73" i="1"/>
  <c r="ER26" i="1"/>
  <c r="P74" i="1"/>
  <c r="AQ26" i="1"/>
  <c r="F73" i="1"/>
  <c r="GM38" i="1"/>
  <c r="GN38" i="1"/>
  <c r="CP206" i="1"/>
  <c r="O206" i="1" s="1"/>
  <c r="GM210" i="1"/>
  <c r="GN210" i="1"/>
  <c r="V212" i="1"/>
  <c r="W231" i="1"/>
  <c r="AJ238" i="1" s="1"/>
  <c r="T231" i="1"/>
  <c r="AG238" i="1" s="1"/>
  <c r="U190" i="1"/>
  <c r="DZ238" i="1" s="1"/>
  <c r="R212" i="1"/>
  <c r="GK212" i="1" s="1"/>
  <c r="AQ181" i="1"/>
  <c r="F248" i="1"/>
  <c r="AQ511" i="1"/>
  <c r="S190" i="1"/>
  <c r="EP181" i="1"/>
  <c r="P245" i="1"/>
  <c r="EP511" i="1"/>
  <c r="GN273" i="1"/>
  <c r="GM273" i="1"/>
  <c r="GN335" i="1"/>
  <c r="GM335" i="1"/>
  <c r="GX231" i="1"/>
  <c r="CJ238" i="1" s="1"/>
  <c r="GM235" i="1"/>
  <c r="GN235" i="1"/>
  <c r="FY269" i="1"/>
  <c r="EP296" i="1"/>
  <c r="P283" i="1"/>
  <c r="R283" i="1"/>
  <c r="GM289" i="1"/>
  <c r="GN289" i="1"/>
  <c r="AE327" i="1"/>
  <c r="R358" i="1"/>
  <c r="GN333" i="1"/>
  <c r="GM333" i="1"/>
  <c r="ES269" i="1"/>
  <c r="P316" i="1"/>
  <c r="DW269" i="1"/>
  <c r="DJ296" i="1"/>
  <c r="FR269" i="1"/>
  <c r="EI296" i="1"/>
  <c r="EI511" i="1" s="1"/>
  <c r="CZ332" i="1"/>
  <c r="Y332" i="1" s="1"/>
  <c r="ED358" i="1" s="1"/>
  <c r="CY332" i="1"/>
  <c r="X332" i="1" s="1"/>
  <c r="EC358" i="1" s="1"/>
  <c r="DX358" i="1"/>
  <c r="CG269" i="1"/>
  <c r="AX296" i="1"/>
  <c r="CP342" i="1"/>
  <c r="O342" i="1" s="1"/>
  <c r="GM410" i="1"/>
  <c r="GO410" i="1"/>
  <c r="CP397" i="1"/>
  <c r="O397" i="1" s="1"/>
  <c r="GO464" i="1"/>
  <c r="GM464" i="1"/>
  <c r="BC451" i="1"/>
  <c r="BC511" i="1"/>
  <c r="F498" i="1"/>
  <c r="CI389" i="1"/>
  <c r="AZ420" i="1"/>
  <c r="R408" i="1"/>
  <c r="GK408" i="1" s="1"/>
  <c r="AU389" i="1"/>
  <c r="F439" i="1"/>
  <c r="T467" i="1"/>
  <c r="GA327" i="1"/>
  <c r="ER358" i="1"/>
  <c r="GM463" i="1"/>
  <c r="GO463" i="1"/>
  <c r="Q470" i="1"/>
  <c r="DV482" i="1" s="1"/>
  <c r="GA555" i="1"/>
  <c r="FQ542" i="1"/>
  <c r="EH555" i="1"/>
  <c r="AL542" i="1"/>
  <c r="Y555" i="1"/>
  <c r="AP451" i="1"/>
  <c r="F491" i="1"/>
  <c r="AU451" i="1"/>
  <c r="F501" i="1"/>
  <c r="AF586" i="1"/>
  <c r="S595" i="1"/>
  <c r="U468" i="1"/>
  <c r="FY586" i="1"/>
  <c r="EP595" i="1"/>
  <c r="FZ555" i="1"/>
  <c r="EP542" i="1"/>
  <c r="P562" i="1"/>
  <c r="AG586" i="1"/>
  <c r="T595" i="1"/>
  <c r="GM591" i="1"/>
  <c r="GP591" i="1"/>
  <c r="F579" i="1"/>
  <c r="W542" i="1"/>
  <c r="DJ595" i="1"/>
  <c r="DW586" i="1"/>
  <c r="R52" i="1"/>
  <c r="GK52" i="1" s="1"/>
  <c r="S52" i="1"/>
  <c r="W52" i="1"/>
  <c r="CY49" i="1"/>
  <c r="X49" i="1" s="1"/>
  <c r="CZ49" i="1"/>
  <c r="Y49" i="1" s="1"/>
  <c r="GM42" i="1"/>
  <c r="GN42" i="1"/>
  <c r="FY26" i="1"/>
  <c r="EP63" i="1"/>
  <c r="CY109" i="1"/>
  <c r="X109" i="1" s="1"/>
  <c r="CZ109" i="1"/>
  <c r="Y109" i="1" s="1"/>
  <c r="CP109" i="1"/>
  <c r="O109" i="1" s="1"/>
  <c r="DY98" i="1"/>
  <c r="DL117" i="1"/>
  <c r="CY219" i="1"/>
  <c r="X219" i="1" s="1"/>
  <c r="CZ219" i="1"/>
  <c r="Y219" i="1" s="1"/>
  <c r="GM193" i="1"/>
  <c r="GN193" i="1"/>
  <c r="W212" i="1"/>
  <c r="BB181" i="1"/>
  <c r="F251" i="1"/>
  <c r="BB511" i="1"/>
  <c r="U212" i="1"/>
  <c r="EM181" i="1"/>
  <c r="P257" i="1"/>
  <c r="EM511" i="1"/>
  <c r="DY269" i="1"/>
  <c r="DL296" i="1"/>
  <c r="S214" i="1"/>
  <c r="P212" i="1"/>
  <c r="F309" i="1"/>
  <c r="BB269" i="1"/>
  <c r="GM329" i="1"/>
  <c r="GN329" i="1"/>
  <c r="AB358" i="1"/>
  <c r="CC269" i="1"/>
  <c r="AT296" i="1"/>
  <c r="CP334" i="1"/>
  <c r="O334" i="1" s="1"/>
  <c r="GM343" i="1"/>
  <c r="GN343" i="1"/>
  <c r="EM296" i="1"/>
  <c r="FV269" i="1"/>
  <c r="GM345" i="1"/>
  <c r="GN345" i="1"/>
  <c r="AL327" i="1"/>
  <c r="Y358" i="1"/>
  <c r="AP327" i="1"/>
  <c r="F367" i="1"/>
  <c r="GN347" i="1"/>
  <c r="GM347" i="1"/>
  <c r="GM349" i="1"/>
  <c r="GN349" i="1"/>
  <c r="ET389" i="1"/>
  <c r="P433" i="1"/>
  <c r="GO403" i="1"/>
  <c r="GM403" i="1"/>
  <c r="GN330" i="1"/>
  <c r="GM398" i="1"/>
  <c r="GO398" i="1"/>
  <c r="BB389" i="1"/>
  <c r="F433" i="1"/>
  <c r="AZ327" i="1"/>
  <c r="F369" i="1"/>
  <c r="CY408" i="1"/>
  <c r="X408" i="1" s="1"/>
  <c r="CZ408" i="1"/>
  <c r="Y408" i="1" s="1"/>
  <c r="CY465" i="1"/>
  <c r="X465" i="1" s="1"/>
  <c r="CZ465" i="1"/>
  <c r="Y465" i="1" s="1"/>
  <c r="GO417" i="1"/>
  <c r="GM417" i="1"/>
  <c r="AG389" i="1"/>
  <c r="T420" i="1"/>
  <c r="BB451" i="1"/>
  <c r="F495" i="1"/>
  <c r="P573" i="1"/>
  <c r="EL542" i="1"/>
  <c r="EK389" i="1"/>
  <c r="P437" i="1"/>
  <c r="AP389" i="1"/>
  <c r="F429" i="1"/>
  <c r="GM478" i="1"/>
  <c r="GO478" i="1"/>
  <c r="EI327" i="1"/>
  <c r="P368" i="1"/>
  <c r="R406" i="1"/>
  <c r="EU451" i="1"/>
  <c r="P498" i="1"/>
  <c r="GM545" i="1"/>
  <c r="FS555" i="1" s="1"/>
  <c r="DT555" i="1"/>
  <c r="AK542" i="1"/>
  <c r="X555" i="1"/>
  <c r="T469" i="1"/>
  <c r="AT542" i="1"/>
  <c r="F573" i="1"/>
  <c r="FX542" i="1"/>
  <c r="EO555" i="1"/>
  <c r="ER595" i="1"/>
  <c r="GA586" i="1"/>
  <c r="AE586" i="1"/>
  <c r="R595" i="1"/>
  <c r="DU586" i="1"/>
  <c r="DH595" i="1"/>
  <c r="FW595" i="1"/>
  <c r="FX595" i="1"/>
  <c r="FZ595" i="1"/>
  <c r="CP28" i="1"/>
  <c r="O28" i="1" s="1"/>
  <c r="CY53" i="1"/>
  <c r="X53" i="1" s="1"/>
  <c r="GM53" i="1" s="1"/>
  <c r="CZ53" i="1"/>
  <c r="Y53" i="1" s="1"/>
  <c r="ED63" i="1" s="1"/>
  <c r="GX52" i="1"/>
  <c r="GM43" i="1"/>
  <c r="GN43" i="1"/>
  <c r="GN112" i="1"/>
  <c r="GM112" i="1"/>
  <c r="GM41" i="1"/>
  <c r="GN41" i="1"/>
  <c r="W44" i="1"/>
  <c r="GM104" i="1"/>
  <c r="GN104" i="1"/>
  <c r="P52" i="1"/>
  <c r="CP52" i="1" s="1"/>
  <c r="O52" i="1" s="1"/>
  <c r="V106" i="1"/>
  <c r="AI117" i="1" s="1"/>
  <c r="GX106" i="1"/>
  <c r="CJ117" i="1" s="1"/>
  <c r="GM115" i="1"/>
  <c r="GN115" i="1"/>
  <c r="GM108" i="1"/>
  <c r="GN108" i="1"/>
  <c r="AQ98" i="1"/>
  <c r="AQ146" i="1"/>
  <c r="F127" i="1"/>
  <c r="R107" i="1"/>
  <c r="FY98" i="1"/>
  <c r="EP117" i="1"/>
  <c r="Q214" i="1"/>
  <c r="CP214" i="1" s="1"/>
  <c r="O214" i="1" s="1"/>
  <c r="GM200" i="1"/>
  <c r="GN200" i="1"/>
  <c r="EH181" i="1"/>
  <c r="P247" i="1"/>
  <c r="EH511" i="1"/>
  <c r="GM198" i="1"/>
  <c r="GN198" i="1"/>
  <c r="GM201" i="1"/>
  <c r="GN201" i="1"/>
  <c r="Q212" i="1"/>
  <c r="GN204" i="1"/>
  <c r="GM223" i="1"/>
  <c r="GN223" i="1"/>
  <c r="EU181" i="1"/>
  <c r="P254" i="1"/>
  <c r="EU511" i="1"/>
  <c r="GM279" i="1"/>
  <c r="GN279" i="1"/>
  <c r="GM228" i="1"/>
  <c r="GN228" i="1"/>
  <c r="GM221" i="1"/>
  <c r="GN221" i="1"/>
  <c r="AL296" i="1"/>
  <c r="CZ336" i="1"/>
  <c r="Y336" i="1" s="1"/>
  <c r="CY336" i="1"/>
  <c r="X336" i="1" s="1"/>
  <c r="GM344" i="1"/>
  <c r="GN344" i="1"/>
  <c r="GN278" i="1"/>
  <c r="GM290" i="1"/>
  <c r="GN290" i="1"/>
  <c r="CY354" i="1"/>
  <c r="X354" i="1" s="1"/>
  <c r="GN354" i="1" s="1"/>
  <c r="CZ354" i="1"/>
  <c r="Y354" i="1" s="1"/>
  <c r="GM284" i="1"/>
  <c r="GN284" i="1"/>
  <c r="CY334" i="1"/>
  <c r="X334" i="1" s="1"/>
  <c r="CZ334" i="1"/>
  <c r="Y334" i="1" s="1"/>
  <c r="AU269" i="1"/>
  <c r="F315" i="1"/>
  <c r="AU511" i="1"/>
  <c r="CG327" i="1"/>
  <c r="AX358" i="1"/>
  <c r="GM353" i="1"/>
  <c r="GN353" i="1"/>
  <c r="DY420" i="1"/>
  <c r="AT327" i="1"/>
  <c r="F376" i="1"/>
  <c r="EG389" i="1"/>
  <c r="P424" i="1"/>
  <c r="GX406" i="1"/>
  <c r="GB420" i="1" s="1"/>
  <c r="EH389" i="1"/>
  <c r="P429" i="1"/>
  <c r="GM392" i="1"/>
  <c r="GO392" i="1"/>
  <c r="GM453" i="1"/>
  <c r="GO453" i="1"/>
  <c r="CJ389" i="1"/>
  <c r="BA420" i="1"/>
  <c r="CP455" i="1"/>
  <c r="O455" i="1" s="1"/>
  <c r="P568" i="1"/>
  <c r="ET542" i="1"/>
  <c r="W408" i="1"/>
  <c r="EB420" i="1" s="1"/>
  <c r="R468" i="1"/>
  <c r="AO451" i="1"/>
  <c r="F486" i="1"/>
  <c r="CJ482" i="1"/>
  <c r="P470" i="1"/>
  <c r="CP470" i="1" s="1"/>
  <c r="O470" i="1" s="1"/>
  <c r="AF542" i="1"/>
  <c r="S555" i="1"/>
  <c r="Y595" i="1"/>
  <c r="AL586" i="1"/>
  <c r="GO475" i="1"/>
  <c r="AH542" i="1"/>
  <c r="U555" i="1"/>
  <c r="GA451" i="1"/>
  <c r="ER482" i="1"/>
  <c r="GM588" i="1"/>
  <c r="GN588" i="1"/>
  <c r="CB595" i="1" s="1"/>
  <c r="AB595" i="1"/>
  <c r="AP555" i="1"/>
  <c r="BY542" i="1"/>
  <c r="CI555" i="1"/>
  <c r="DJ555" i="1"/>
  <c r="DW542" i="1"/>
  <c r="W595" i="1"/>
  <c r="AJ586" i="1"/>
  <c r="EI586" i="1"/>
  <c r="P605" i="1"/>
  <c r="EL586" i="1"/>
  <c r="P613" i="1"/>
  <c r="DY586" i="1"/>
  <c r="DL595" i="1"/>
  <c r="AD63" i="1"/>
  <c r="CY45" i="1"/>
  <c r="X45" i="1" s="1"/>
  <c r="EC63" i="1" s="1"/>
  <c r="CZ45" i="1"/>
  <c r="Y45" i="1" s="1"/>
  <c r="GN30" i="1"/>
  <c r="CP46" i="1"/>
  <c r="O46" i="1" s="1"/>
  <c r="GM55" i="1"/>
  <c r="GN55" i="1"/>
  <c r="P40" i="1"/>
  <c r="CP40" i="1" s="1"/>
  <c r="O40" i="1" s="1"/>
  <c r="CP45" i="1"/>
  <c r="O45" i="1" s="1"/>
  <c r="GM57" i="1"/>
  <c r="GN57" i="1"/>
  <c r="GM54" i="1"/>
  <c r="GN54" i="1"/>
  <c r="S107" i="1"/>
  <c r="EH26" i="1"/>
  <c r="P72" i="1"/>
  <c r="GN58" i="1"/>
  <c r="GM58" i="1"/>
  <c r="GM60" i="1"/>
  <c r="GP60" i="1"/>
  <c r="CD63" i="1" s="1"/>
  <c r="W40" i="1"/>
  <c r="W106" i="1"/>
  <c r="AJ117" i="1" s="1"/>
  <c r="ET94" i="1"/>
  <c r="P159" i="1"/>
  <c r="CZ111" i="1"/>
  <c r="Y111" i="1" s="1"/>
  <c r="CY111" i="1"/>
  <c r="X111" i="1" s="1"/>
  <c r="GN111" i="1" s="1"/>
  <c r="CG98" i="1"/>
  <c r="AX117" i="1"/>
  <c r="EI146" i="1"/>
  <c r="P127" i="1"/>
  <c r="EI98" i="1"/>
  <c r="EM98" i="1"/>
  <c r="P136" i="1"/>
  <c r="EM146" i="1"/>
  <c r="GM194" i="1"/>
  <c r="GN194" i="1"/>
  <c r="CP219" i="1"/>
  <c r="O219" i="1" s="1"/>
  <c r="GM187" i="1"/>
  <c r="GN187" i="1"/>
  <c r="GM185" i="1"/>
  <c r="GN185" i="1"/>
  <c r="CP203" i="1"/>
  <c r="O203" i="1" s="1"/>
  <c r="S212" i="1"/>
  <c r="V231" i="1"/>
  <c r="AI238" i="1" s="1"/>
  <c r="GN226" i="1"/>
  <c r="GM226" i="1"/>
  <c r="GM197" i="1"/>
  <c r="GN197" i="1"/>
  <c r="Q231" i="1"/>
  <c r="AD238" i="1" s="1"/>
  <c r="CP271" i="1"/>
  <c r="O271" i="1" s="1"/>
  <c r="AC296" i="1"/>
  <c r="GM233" i="1"/>
  <c r="GN233" i="1"/>
  <c r="CZ280" i="1"/>
  <c r="Y280" i="1" s="1"/>
  <c r="CY280" i="1"/>
  <c r="X280" i="1" s="1"/>
  <c r="EC296" i="1" s="1"/>
  <c r="GM330" i="1"/>
  <c r="W283" i="1"/>
  <c r="AJ296" i="1" s="1"/>
  <c r="R340" i="1"/>
  <c r="GK340" i="1" s="1"/>
  <c r="T340" i="1"/>
  <c r="EB269" i="1"/>
  <c r="DO296" i="1"/>
  <c r="GM292" i="1"/>
  <c r="GN292" i="1"/>
  <c r="DU269" i="1"/>
  <c r="DH296" i="1"/>
  <c r="FW296" i="1"/>
  <c r="FX296" i="1"/>
  <c r="FZ296" i="1"/>
  <c r="P336" i="1"/>
  <c r="CP336" i="1" s="1"/>
  <c r="O336" i="1" s="1"/>
  <c r="T336" i="1"/>
  <c r="DY358" i="1" s="1"/>
  <c r="GN348" i="1"/>
  <c r="W420" i="1"/>
  <c r="AJ389" i="1"/>
  <c r="GM399" i="1"/>
  <c r="GO399" i="1"/>
  <c r="GM355" i="1"/>
  <c r="GN355" i="1"/>
  <c r="CP456" i="1"/>
  <c r="O456" i="1" s="1"/>
  <c r="GO400" i="1"/>
  <c r="GM400" i="1"/>
  <c r="FY389" i="1"/>
  <c r="EP420" i="1"/>
  <c r="P457" i="1"/>
  <c r="CP457" i="1" s="1"/>
  <c r="O457" i="1" s="1"/>
  <c r="W457" i="1"/>
  <c r="AI389" i="1"/>
  <c r="V420" i="1"/>
  <c r="V406" i="1"/>
  <c r="EA420" i="1" s="1"/>
  <c r="AJ482" i="1"/>
  <c r="U470" i="1"/>
  <c r="U406" i="1"/>
  <c r="DZ420" i="1" s="1"/>
  <c r="AF389" i="1"/>
  <c r="S420" i="1"/>
  <c r="U457" i="1"/>
  <c r="AH482" i="1" s="1"/>
  <c r="GM391" i="1"/>
  <c r="GO391" i="1"/>
  <c r="GM404" i="1"/>
  <c r="GO416" i="1"/>
  <c r="GM416" i="1"/>
  <c r="S468" i="1"/>
  <c r="CG451" i="1"/>
  <c r="AX482" i="1"/>
  <c r="CP412" i="1"/>
  <c r="O412" i="1" s="1"/>
  <c r="GK455" i="1"/>
  <c r="AE482" i="1"/>
  <c r="AI327" i="1"/>
  <c r="V358" i="1"/>
  <c r="GM350" i="1"/>
  <c r="GN350" i="1"/>
  <c r="CG586" i="1"/>
  <c r="AX595" i="1"/>
  <c r="EI542" i="1"/>
  <c r="P565" i="1"/>
  <c r="DY542" i="1"/>
  <c r="DL555" i="1"/>
  <c r="EH451" i="1"/>
  <c r="P491" i="1"/>
  <c r="EA542" i="1"/>
  <c r="DN555" i="1"/>
  <c r="CP544" i="1"/>
  <c r="O544" i="1" s="1"/>
  <c r="DH542" i="1"/>
  <c r="P558" i="1"/>
  <c r="DZ586" i="1"/>
  <c r="DM595" i="1"/>
  <c r="DX586" i="1"/>
  <c r="DK595" i="1"/>
  <c r="AI586" i="1"/>
  <c r="V595" i="1"/>
  <c r="CI586" i="1"/>
  <c r="AZ595" i="1"/>
  <c r="GM102" i="1"/>
  <c r="GN102" i="1"/>
  <c r="GK32" i="1"/>
  <c r="GX44" i="1"/>
  <c r="R44" i="1"/>
  <c r="GK44" i="1" s="1"/>
  <c r="S44" i="1"/>
  <c r="R48" i="1"/>
  <c r="GK48" i="1" s="1"/>
  <c r="W48" i="1"/>
  <c r="AJ63" i="1" s="1"/>
  <c r="S48" i="1"/>
  <c r="CP48" i="1" s="1"/>
  <c r="O48" i="1" s="1"/>
  <c r="CY37" i="1"/>
  <c r="X37" i="1" s="1"/>
  <c r="GN37" i="1" s="1"/>
  <c r="CZ37" i="1"/>
  <c r="Y37" i="1" s="1"/>
  <c r="DX63" i="1"/>
  <c r="U40" i="1"/>
  <c r="CP32" i="1"/>
  <c r="O32" i="1" s="1"/>
  <c r="CG26" i="1"/>
  <c r="AX63" i="1"/>
  <c r="ET26" i="1"/>
  <c r="P76" i="1"/>
  <c r="ET624" i="1"/>
  <c r="Q106" i="1"/>
  <c r="CP106" i="1" s="1"/>
  <c r="O106" i="1" s="1"/>
  <c r="AU98" i="1"/>
  <c r="AU146" i="1"/>
  <c r="F136" i="1"/>
  <c r="V52" i="1"/>
  <c r="GM103" i="1"/>
  <c r="GN103" i="1"/>
  <c r="CY188" i="1"/>
  <c r="X188" i="1" s="1"/>
  <c r="CZ188" i="1"/>
  <c r="Y188" i="1" s="1"/>
  <c r="DX238" i="1"/>
  <c r="DU63" i="1"/>
  <c r="GN225" i="1"/>
  <c r="GM225" i="1"/>
  <c r="V214" i="1"/>
  <c r="T214" i="1"/>
  <c r="GM186" i="1"/>
  <c r="GN186" i="1"/>
  <c r="CP227" i="1"/>
  <c r="O227" i="1" s="1"/>
  <c r="R190" i="1"/>
  <c r="GK190" i="1" s="1"/>
  <c r="CP229" i="1"/>
  <c r="O229" i="1" s="1"/>
  <c r="GM202" i="1"/>
  <c r="GN202" i="1"/>
  <c r="CI181" i="1"/>
  <c r="AZ238" i="1"/>
  <c r="GM272" i="1"/>
  <c r="DT296" i="1"/>
  <c r="GN272" i="1"/>
  <c r="GN293" i="1"/>
  <c r="GM293" i="1"/>
  <c r="AT181" i="1"/>
  <c r="F256" i="1"/>
  <c r="GM275" i="1"/>
  <c r="GN275" i="1"/>
  <c r="GM224" i="1"/>
  <c r="GN224" i="1"/>
  <c r="DZ269" i="1"/>
  <c r="DM296" i="1"/>
  <c r="GM338" i="1"/>
  <c r="GN338" i="1"/>
  <c r="GM285" i="1"/>
  <c r="GN285" i="1"/>
  <c r="S358" i="1"/>
  <c r="AF327" i="1"/>
  <c r="Q283" i="1"/>
  <c r="AD296" i="1" s="1"/>
  <c r="CI269" i="1"/>
  <c r="AZ296" i="1"/>
  <c r="GM274" i="1"/>
  <c r="GN274" i="1"/>
  <c r="GN337" i="1"/>
  <c r="GM337" i="1"/>
  <c r="W340" i="1"/>
  <c r="EB358" i="1" s="1"/>
  <c r="GO460" i="1"/>
  <c r="GM460" i="1"/>
  <c r="Q406" i="1"/>
  <c r="Q457" i="1"/>
  <c r="CP408" i="1"/>
  <c r="O408" i="1" s="1"/>
  <c r="FV389" i="1"/>
  <c r="EM420" i="1"/>
  <c r="CP466" i="1"/>
  <c r="O466" i="1" s="1"/>
  <c r="GM407" i="1"/>
  <c r="GO407" i="1"/>
  <c r="V457" i="1"/>
  <c r="P468" i="1"/>
  <c r="Q467" i="1"/>
  <c r="CY455" i="1"/>
  <c r="X455" i="1" s="1"/>
  <c r="CZ455" i="1"/>
  <c r="Y455" i="1" s="1"/>
  <c r="Q469" i="1"/>
  <c r="DW358" i="1"/>
  <c r="GN352" i="1"/>
  <c r="V467" i="1"/>
  <c r="S469" i="1"/>
  <c r="AF482" i="1" s="1"/>
  <c r="CE555" i="1"/>
  <c r="CF555" i="1"/>
  <c r="CH555" i="1"/>
  <c r="AC542" i="1"/>
  <c r="P555" i="1"/>
  <c r="P618" i="1"/>
  <c r="DN586" i="1"/>
  <c r="GP592" i="1"/>
  <c r="GM592" i="1"/>
  <c r="GM593" i="1"/>
  <c r="GP593" i="1"/>
  <c r="ED586" i="1"/>
  <c r="DQ595" i="1"/>
  <c r="GM589" i="1"/>
  <c r="GN589" i="1"/>
  <c r="FT595" i="1" s="1"/>
  <c r="DT595" i="1"/>
  <c r="DX542" i="1"/>
  <c r="DK555" i="1"/>
  <c r="AP586" i="1"/>
  <c r="F604" i="1"/>
  <c r="CP36" i="1"/>
  <c r="O36" i="1" s="1"/>
  <c r="CI26" i="1"/>
  <c r="AZ63" i="1"/>
  <c r="GP61" i="1"/>
  <c r="FV63" i="1" s="1"/>
  <c r="GM61" i="1"/>
  <c r="EH98" i="1"/>
  <c r="P126" i="1"/>
  <c r="EH146" i="1"/>
  <c r="GN105" i="1"/>
  <c r="GM105" i="1"/>
  <c r="CY106" i="1"/>
  <c r="X106" i="1" s="1"/>
  <c r="AK117" i="1" s="1"/>
  <c r="CZ106" i="1"/>
  <c r="Y106" i="1" s="1"/>
  <c r="AL117" i="1" s="1"/>
  <c r="CP107" i="1"/>
  <c r="O107" i="1" s="1"/>
  <c r="GM113" i="1"/>
  <c r="GN113" i="1"/>
  <c r="ER117" i="1"/>
  <c r="GA98" i="1"/>
  <c r="EB238" i="1"/>
  <c r="GK188" i="1"/>
  <c r="AT98" i="1"/>
  <c r="F135" i="1"/>
  <c r="AT146" i="1"/>
  <c r="GM29" i="1"/>
  <c r="GN29" i="1"/>
  <c r="DT63" i="1"/>
  <c r="EL98" i="1"/>
  <c r="P135" i="1"/>
  <c r="EL146" i="1"/>
  <c r="CY229" i="1"/>
  <c r="X229" i="1" s="1"/>
  <c r="AK238" i="1" s="1"/>
  <c r="CZ229" i="1"/>
  <c r="Y229" i="1" s="1"/>
  <c r="AL238" i="1" s="1"/>
  <c r="CZ236" i="1"/>
  <c r="Y236" i="1" s="1"/>
  <c r="CY236" i="1"/>
  <c r="X236" i="1" s="1"/>
  <c r="GN236" i="1" s="1"/>
  <c r="CP190" i="1"/>
  <c r="O190" i="1" s="1"/>
  <c r="DU238" i="1"/>
  <c r="EA238" i="1"/>
  <c r="CP207" i="1"/>
  <c r="O207" i="1" s="1"/>
  <c r="AC238" i="1"/>
  <c r="CY230" i="1"/>
  <c r="X230" i="1" s="1"/>
  <c r="GN230" i="1" s="1"/>
  <c r="CZ230" i="1"/>
  <c r="Y230" i="1" s="1"/>
  <c r="AP181" i="1"/>
  <c r="F247" i="1"/>
  <c r="AP511" i="1"/>
  <c r="T212" i="1"/>
  <c r="EL269" i="1"/>
  <c r="P314" i="1"/>
  <c r="ED296" i="1"/>
  <c r="AG327" i="1"/>
  <c r="T358" i="1"/>
  <c r="CY340" i="1"/>
  <c r="X340" i="1" s="1"/>
  <c r="CZ340" i="1"/>
  <c r="Y340" i="1" s="1"/>
  <c r="ET327" i="1"/>
  <c r="P371" i="1"/>
  <c r="GM294" i="1"/>
  <c r="GN294" i="1"/>
  <c r="F305" i="1"/>
  <c r="AP269" i="1"/>
  <c r="GM288" i="1"/>
  <c r="GN288" i="1"/>
  <c r="GN281" i="1"/>
  <c r="GM281" i="1"/>
  <c r="GO396" i="1"/>
  <c r="AO389" i="1"/>
  <c r="F424" i="1"/>
  <c r="AO511" i="1"/>
  <c r="AD327" i="1"/>
  <c r="Q358" i="1"/>
  <c r="GM394" i="1"/>
  <c r="GO394" i="1"/>
  <c r="GM458" i="1"/>
  <c r="GO458" i="1"/>
  <c r="AI482" i="1"/>
  <c r="DV420" i="1"/>
  <c r="GM411" i="1"/>
  <c r="GO411" i="1"/>
  <c r="CY412" i="1"/>
  <c r="X412" i="1" s="1"/>
  <c r="CZ412" i="1"/>
  <c r="Y412" i="1" s="1"/>
  <c r="AE389" i="1"/>
  <c r="R420" i="1"/>
  <c r="P406" i="1"/>
  <c r="GM462" i="1"/>
  <c r="GO462" i="1"/>
  <c r="CP469" i="1"/>
  <c r="O469" i="1" s="1"/>
  <c r="AD542" i="1"/>
  <c r="Q555" i="1"/>
  <c r="GO454" i="1"/>
  <c r="GM454" i="1"/>
  <c r="GM461" i="1"/>
  <c r="GO461" i="1"/>
  <c r="AS451" i="1"/>
  <c r="F499" i="1"/>
  <c r="GM590" i="1"/>
  <c r="GP590" i="1"/>
  <c r="W470" i="1"/>
  <c r="GM479" i="1"/>
  <c r="GO479" i="1"/>
  <c r="AU542" i="1"/>
  <c r="F574" i="1"/>
  <c r="CJ542" i="1"/>
  <c r="BA555" i="1"/>
  <c r="V542" i="1"/>
  <c r="F578" i="1"/>
  <c r="AC586" i="1"/>
  <c r="CF595" i="1"/>
  <c r="CH595" i="1"/>
  <c r="P595" i="1"/>
  <c r="CE595" i="1"/>
  <c r="F576" i="1"/>
  <c r="T542" i="1"/>
  <c r="EC586" i="1"/>
  <c r="DP595" i="1"/>
  <c r="GB586" i="1"/>
  <c r="ES595" i="1"/>
  <c r="EI177" i="1" l="1"/>
  <c r="P521" i="1"/>
  <c r="EI624" i="1"/>
  <c r="EA451" i="1"/>
  <c r="DN482" i="1"/>
  <c r="EB327" i="1"/>
  <c r="DO358" i="1"/>
  <c r="EC269" i="1"/>
  <c r="DP296" i="1"/>
  <c r="AK269" i="1"/>
  <c r="X296" i="1"/>
  <c r="AG181" i="1"/>
  <c r="T238" i="1"/>
  <c r="ES420" i="1"/>
  <c r="GB389" i="1"/>
  <c r="CJ181" i="1"/>
  <c r="BA238" i="1"/>
  <c r="AL181" i="1"/>
  <c r="Y238" i="1"/>
  <c r="GM106" i="1"/>
  <c r="GN106" i="1"/>
  <c r="ED26" i="1"/>
  <c r="DQ63" i="1"/>
  <c r="DV327" i="1"/>
  <c r="DI358" i="1"/>
  <c r="AI26" i="1"/>
  <c r="V63" i="1"/>
  <c r="DZ327" i="1"/>
  <c r="DM358" i="1"/>
  <c r="DV181" i="1"/>
  <c r="DI238" i="1"/>
  <c r="S482" i="1"/>
  <c r="AF451" i="1"/>
  <c r="AK98" i="1"/>
  <c r="X117" i="1"/>
  <c r="DZ389" i="1"/>
  <c r="DM420" i="1"/>
  <c r="EC26" i="1"/>
  <c r="DP63" i="1"/>
  <c r="EB389" i="1"/>
  <c r="DO420" i="1"/>
  <c r="EC327" i="1"/>
  <c r="DP358" i="1"/>
  <c r="AK181" i="1"/>
  <c r="X238" i="1"/>
  <c r="AJ26" i="1"/>
  <c r="W63" i="1"/>
  <c r="AD181" i="1"/>
  <c r="Q238" i="1"/>
  <c r="ED327" i="1"/>
  <c r="DQ358" i="1"/>
  <c r="DY451" i="1"/>
  <c r="DL482" i="1"/>
  <c r="P542" i="1"/>
  <c r="F558" i="1"/>
  <c r="Y586" i="1"/>
  <c r="F621" i="1"/>
  <c r="AZ389" i="1"/>
  <c r="F431" i="1"/>
  <c r="EG177" i="1"/>
  <c r="P515" i="1"/>
  <c r="P586" i="1"/>
  <c r="F598" i="1"/>
  <c r="Q327" i="1"/>
  <c r="F370" i="1"/>
  <c r="GM207" i="1"/>
  <c r="GN207" i="1"/>
  <c r="EL94" i="1"/>
  <c r="P164" i="1"/>
  <c r="CH542" i="1"/>
  <c r="AY555" i="1"/>
  <c r="GM466" i="1"/>
  <c r="GO466" i="1"/>
  <c r="AD269" i="1"/>
  <c r="Q296" i="1"/>
  <c r="GN332" i="1"/>
  <c r="AZ181" i="1"/>
  <c r="F249" i="1"/>
  <c r="AZ511" i="1"/>
  <c r="AU94" i="1"/>
  <c r="F165" i="1"/>
  <c r="GM32" i="1"/>
  <c r="GN32" i="1"/>
  <c r="CY44" i="1"/>
  <c r="X44" i="1" s="1"/>
  <c r="CZ44" i="1"/>
  <c r="Y44" i="1" s="1"/>
  <c r="P576" i="1"/>
  <c r="DL542" i="1"/>
  <c r="V327" i="1"/>
  <c r="F381" i="1"/>
  <c r="FZ269" i="1"/>
  <c r="EQ296" i="1"/>
  <c r="AI181" i="1"/>
  <c r="V238" i="1"/>
  <c r="P616" i="1"/>
  <c r="DL586" i="1"/>
  <c r="ER451" i="1"/>
  <c r="P493" i="1"/>
  <c r="AX327" i="1"/>
  <c r="F365" i="1"/>
  <c r="AQ94" i="1"/>
  <c r="F156" i="1"/>
  <c r="CJ98" i="1"/>
  <c r="BA117" i="1"/>
  <c r="CP44" i="1"/>
  <c r="O44" i="1" s="1"/>
  <c r="AC63" i="1"/>
  <c r="X542" i="1"/>
  <c r="F580" i="1"/>
  <c r="CP212" i="1"/>
  <c r="O212" i="1" s="1"/>
  <c r="FV595" i="1"/>
  <c r="Y542" i="1"/>
  <c r="F581" i="1"/>
  <c r="ER327" i="1"/>
  <c r="P369" i="1"/>
  <c r="AJ181" i="1"/>
  <c r="W238" i="1"/>
  <c r="AQ624" i="1"/>
  <c r="CY470" i="1"/>
  <c r="X470" i="1" s="1"/>
  <c r="CZ470" i="1"/>
  <c r="Y470" i="1" s="1"/>
  <c r="GM470" i="1" s="1"/>
  <c r="ES482" i="1"/>
  <c r="GB451" i="1"/>
  <c r="AG482" i="1"/>
  <c r="GB327" i="1"/>
  <c r="ES358" i="1"/>
  <c r="AE181" i="1"/>
  <c r="R238" i="1"/>
  <c r="AE98" i="1"/>
  <c r="R117" i="1"/>
  <c r="CI98" i="1"/>
  <c r="AZ117" i="1"/>
  <c r="GM37" i="1"/>
  <c r="DM542" i="1"/>
  <c r="P577" i="1"/>
  <c r="CP467" i="1"/>
  <c r="O467" i="1" s="1"/>
  <c r="AF269" i="1"/>
  <c r="S296" i="1"/>
  <c r="EH269" i="1"/>
  <c r="P305" i="1"/>
  <c r="F138" i="1"/>
  <c r="T146" i="1"/>
  <c r="T98" i="1"/>
  <c r="CP231" i="1"/>
  <c r="O231" i="1" s="1"/>
  <c r="Q389" i="1"/>
  <c r="F432" i="1"/>
  <c r="AT94" i="1"/>
  <c r="F164" i="1"/>
  <c r="CB586" i="1"/>
  <c r="AS595" i="1"/>
  <c r="EQ555" i="1"/>
  <c r="FZ542" i="1"/>
  <c r="GM397" i="1"/>
  <c r="GO397" i="1"/>
  <c r="ES586" i="1"/>
  <c r="P615" i="1"/>
  <c r="CH586" i="1"/>
  <c r="AY595" i="1"/>
  <c r="EA181" i="1"/>
  <c r="DN238" i="1"/>
  <c r="DW238" i="1"/>
  <c r="AL98" i="1"/>
  <c r="Y117" i="1"/>
  <c r="DK542" i="1"/>
  <c r="P570" i="1"/>
  <c r="AW555" i="1"/>
  <c r="CF542" i="1"/>
  <c r="EM389" i="1"/>
  <c r="P439" i="1"/>
  <c r="GM332" i="1"/>
  <c r="DX181" i="1"/>
  <c r="DK238" i="1"/>
  <c r="AZ586" i="1"/>
  <c r="F606" i="1"/>
  <c r="EP389" i="1"/>
  <c r="P427" i="1"/>
  <c r="FX269" i="1"/>
  <c r="EO296" i="1"/>
  <c r="AC269" i="1"/>
  <c r="CF296" i="1"/>
  <c r="CH296" i="1"/>
  <c r="P296" i="1"/>
  <c r="CE296" i="1"/>
  <c r="GN219" i="1"/>
  <c r="GM219" i="1"/>
  <c r="AJ98" i="1"/>
  <c r="W117" i="1"/>
  <c r="DJ542" i="1"/>
  <c r="P569" i="1"/>
  <c r="AI98" i="1"/>
  <c r="V117" i="1"/>
  <c r="GM28" i="1"/>
  <c r="GN28" i="1"/>
  <c r="AB63" i="1"/>
  <c r="AB327" i="1"/>
  <c r="O358" i="1"/>
  <c r="CY214" i="1"/>
  <c r="X214" i="1" s="1"/>
  <c r="GM214" i="1" s="1"/>
  <c r="CZ214" i="1"/>
  <c r="Y214" i="1" s="1"/>
  <c r="DZ482" i="1"/>
  <c r="BC177" i="1"/>
  <c r="F527" i="1"/>
  <c r="GM342" i="1"/>
  <c r="GN342" i="1"/>
  <c r="DJ269" i="1"/>
  <c r="P310" i="1"/>
  <c r="CY190" i="1"/>
  <c r="X190" i="1" s="1"/>
  <c r="GN190" i="1" s="1"/>
  <c r="CZ190" i="1"/>
  <c r="Y190" i="1" s="1"/>
  <c r="ED238" i="1" s="1"/>
  <c r="DV98" i="1"/>
  <c r="DI117" i="1"/>
  <c r="CY36" i="1"/>
  <c r="X36" i="1" s="1"/>
  <c r="CZ36" i="1"/>
  <c r="Y36" i="1" s="1"/>
  <c r="AF63" i="1"/>
  <c r="CY467" i="1"/>
  <c r="X467" i="1" s="1"/>
  <c r="CZ467" i="1"/>
  <c r="Y467" i="1" s="1"/>
  <c r="DK420" i="1"/>
  <c r="DX389" i="1"/>
  <c r="CY406" i="1"/>
  <c r="X406" i="1" s="1"/>
  <c r="EC420" i="1" s="1"/>
  <c r="CZ406" i="1"/>
  <c r="Y406" i="1" s="1"/>
  <c r="ED420" i="1" s="1"/>
  <c r="AC327" i="1"/>
  <c r="CF358" i="1"/>
  <c r="CH358" i="1"/>
  <c r="P358" i="1"/>
  <c r="CE358" i="1"/>
  <c r="AK327" i="1"/>
  <c r="X358" i="1"/>
  <c r="AX389" i="1"/>
  <c r="F427" i="1"/>
  <c r="ER181" i="1"/>
  <c r="P249" i="1"/>
  <c r="DW26" i="1"/>
  <c r="DJ63" i="1"/>
  <c r="DI26" i="1"/>
  <c r="P75" i="1"/>
  <c r="T269" i="1"/>
  <c r="F317" i="1"/>
  <c r="T26" i="1"/>
  <c r="F84" i="1"/>
  <c r="F567" i="1"/>
  <c r="Q542" i="1"/>
  <c r="DT269" i="1"/>
  <c r="DG296" i="1"/>
  <c r="DU181" i="1"/>
  <c r="FZ238" i="1"/>
  <c r="DH238" i="1"/>
  <c r="FW238" i="1"/>
  <c r="FX238" i="1"/>
  <c r="AV555" i="1"/>
  <c r="CE542" i="1"/>
  <c r="S327" i="1"/>
  <c r="F373" i="1"/>
  <c r="DM269" i="1"/>
  <c r="P318" i="1"/>
  <c r="DX26" i="1"/>
  <c r="DK63" i="1"/>
  <c r="AE451" i="1"/>
  <c r="R482" i="1"/>
  <c r="EN296" i="1"/>
  <c r="FW269" i="1"/>
  <c r="GM271" i="1"/>
  <c r="GN271" i="1"/>
  <c r="CZ212" i="1"/>
  <c r="Y212" i="1" s="1"/>
  <c r="CY212" i="1"/>
  <c r="X212" i="1" s="1"/>
  <c r="EI94" i="1"/>
  <c r="P156" i="1"/>
  <c r="CY107" i="1"/>
  <c r="X107" i="1" s="1"/>
  <c r="EC117" i="1" s="1"/>
  <c r="CZ107" i="1"/>
  <c r="Y107" i="1" s="1"/>
  <c r="ED117" i="1" s="1"/>
  <c r="DX117" i="1"/>
  <c r="AZ555" i="1"/>
  <c r="CI542" i="1"/>
  <c r="U542" i="1"/>
  <c r="F577" i="1"/>
  <c r="BA482" i="1"/>
  <c r="CJ451" i="1"/>
  <c r="AC482" i="1"/>
  <c r="AU177" i="1"/>
  <c r="F530" i="1"/>
  <c r="EU177" i="1"/>
  <c r="P527" i="1"/>
  <c r="EQ595" i="1"/>
  <c r="FZ586" i="1"/>
  <c r="ER586" i="1"/>
  <c r="P606" i="1"/>
  <c r="DG555" i="1"/>
  <c r="DT542" i="1"/>
  <c r="EM269" i="1"/>
  <c r="P315" i="1"/>
  <c r="DL269" i="1"/>
  <c r="P317" i="1"/>
  <c r="BB177" i="1"/>
  <c r="F524" i="1"/>
  <c r="CY52" i="1"/>
  <c r="X52" i="1" s="1"/>
  <c r="GM52" i="1" s="1"/>
  <c r="CZ52" i="1"/>
  <c r="Y52" i="1" s="1"/>
  <c r="F616" i="1"/>
  <c r="T586" i="1"/>
  <c r="S586" i="1"/>
  <c r="F610" i="1"/>
  <c r="EH542" i="1"/>
  <c r="P564" i="1"/>
  <c r="AX269" i="1"/>
  <c r="F303" i="1"/>
  <c r="AQ177" i="1"/>
  <c r="F521" i="1"/>
  <c r="ES117" i="1"/>
  <c r="GB98" i="1"/>
  <c r="CJ63" i="1"/>
  <c r="EN542" i="1"/>
  <c r="P560" i="1"/>
  <c r="GO465" i="1"/>
  <c r="GM465" i="1"/>
  <c r="AK389" i="1"/>
  <c r="X420" i="1"/>
  <c r="GN331" i="1"/>
  <c r="CB358" i="1" s="1"/>
  <c r="GM331" i="1"/>
  <c r="CA358" i="1" s="1"/>
  <c r="AD117" i="1"/>
  <c r="BC94" i="1"/>
  <c r="F162" i="1"/>
  <c r="BC624" i="1"/>
  <c r="DT117" i="1"/>
  <c r="GB26" i="1"/>
  <c r="ES63" i="1"/>
  <c r="Q586" i="1"/>
  <c r="F607" i="1"/>
  <c r="AC389" i="1"/>
  <c r="CF420" i="1"/>
  <c r="CH420" i="1"/>
  <c r="P420" i="1"/>
  <c r="CE420" i="1"/>
  <c r="U269" i="1"/>
  <c r="F318" i="1"/>
  <c r="GN53" i="1"/>
  <c r="BA269" i="1"/>
  <c r="F316" i="1"/>
  <c r="U389" i="1"/>
  <c r="F442" i="1"/>
  <c r="DQ586" i="1"/>
  <c r="P621" i="1"/>
  <c r="GO456" i="1"/>
  <c r="GM456" i="1"/>
  <c r="GK107" i="1"/>
  <c r="DW117" i="1"/>
  <c r="GM334" i="1"/>
  <c r="GN334" i="1"/>
  <c r="EP177" i="1"/>
  <c r="P518" i="1"/>
  <c r="FV26" i="1"/>
  <c r="EM63" i="1"/>
  <c r="CP406" i="1"/>
  <c r="O406" i="1" s="1"/>
  <c r="DU420" i="1"/>
  <c r="GM190" i="1"/>
  <c r="DT586" i="1"/>
  <c r="DG595" i="1"/>
  <c r="GO408" i="1"/>
  <c r="GM408" i="1"/>
  <c r="ET22" i="1"/>
  <c r="ET653" i="1"/>
  <c r="P637" i="1"/>
  <c r="F618" i="1"/>
  <c r="V586" i="1"/>
  <c r="AB420" i="1"/>
  <c r="CD26" i="1"/>
  <c r="AU63" i="1"/>
  <c r="GM46" i="1"/>
  <c r="GN46" i="1"/>
  <c r="DY389" i="1"/>
  <c r="DL420" i="1"/>
  <c r="AL269" i="1"/>
  <c r="Y296" i="1"/>
  <c r="EO595" i="1"/>
  <c r="FX586" i="1"/>
  <c r="EO542" i="1"/>
  <c r="P561" i="1"/>
  <c r="EJ555" i="1"/>
  <c r="FS542" i="1"/>
  <c r="EP26" i="1"/>
  <c r="P70" i="1"/>
  <c r="GK283" i="1"/>
  <c r="AE296" i="1"/>
  <c r="DZ98" i="1"/>
  <c r="DM117" i="1"/>
  <c r="DY26" i="1"/>
  <c r="DL63" i="1"/>
  <c r="DP542" i="1"/>
  <c r="P580" i="1"/>
  <c r="EP451" i="1"/>
  <c r="P489" i="1"/>
  <c r="BA327" i="1"/>
  <c r="F378" i="1"/>
  <c r="ET177" i="1"/>
  <c r="P524" i="1"/>
  <c r="EG624" i="1"/>
  <c r="EU624" i="1"/>
  <c r="EB482" i="1"/>
  <c r="GO401" i="1"/>
  <c r="CC420" i="1" s="1"/>
  <c r="GM401" i="1"/>
  <c r="EB98" i="1"/>
  <c r="DO117" i="1"/>
  <c r="AH63" i="1"/>
  <c r="X586" i="1"/>
  <c r="F620" i="1"/>
  <c r="DK269" i="1"/>
  <c r="P311" i="1"/>
  <c r="DM26" i="1"/>
  <c r="P85" i="1"/>
  <c r="FZ98" i="1"/>
  <c r="EQ117" i="1"/>
  <c r="GM236" i="1"/>
  <c r="GM36" i="1"/>
  <c r="AH451" i="1"/>
  <c r="U482" i="1"/>
  <c r="EM177" i="1"/>
  <c r="P530" i="1"/>
  <c r="AW595" i="1"/>
  <c r="CF586" i="1"/>
  <c r="AO177" i="1"/>
  <c r="F515" i="1"/>
  <c r="DP586" i="1"/>
  <c r="P620" i="1"/>
  <c r="EB181" i="1"/>
  <c r="DO238" i="1"/>
  <c r="AJ451" i="1"/>
  <c r="W482" i="1"/>
  <c r="DH269" i="1"/>
  <c r="P299" i="1"/>
  <c r="GN203" i="1"/>
  <c r="GM203" i="1"/>
  <c r="AX98" i="1"/>
  <c r="AX146" i="1"/>
  <c r="F124" i="1"/>
  <c r="GO455" i="1"/>
  <c r="GM455" i="1"/>
  <c r="R389" i="1"/>
  <c r="F434" i="1"/>
  <c r="T327" i="1"/>
  <c r="F379" i="1"/>
  <c r="FT586" i="1"/>
  <c r="EK595" i="1"/>
  <c r="CP468" i="1"/>
  <c r="O468" i="1" s="1"/>
  <c r="DT482" i="1" s="1"/>
  <c r="AD482" i="1"/>
  <c r="GM229" i="1"/>
  <c r="GN229" i="1"/>
  <c r="AE63" i="1"/>
  <c r="DN542" i="1"/>
  <c r="P578" i="1"/>
  <c r="AX586" i="1"/>
  <c r="F602" i="1"/>
  <c r="GM412" i="1"/>
  <c r="GO412" i="1"/>
  <c r="EA389" i="1"/>
  <c r="DN420" i="1"/>
  <c r="W389" i="1"/>
  <c r="F444" i="1"/>
  <c r="AB238" i="1"/>
  <c r="AP542" i="1"/>
  <c r="F564" i="1"/>
  <c r="BA389" i="1"/>
  <c r="F440" i="1"/>
  <c r="EP98" i="1"/>
  <c r="EP146" i="1"/>
  <c r="EP624" i="1" s="1"/>
  <c r="P124" i="1"/>
  <c r="GM111" i="1"/>
  <c r="FW586" i="1"/>
  <c r="EN595" i="1"/>
  <c r="T389" i="1"/>
  <c r="F441" i="1"/>
  <c r="GM280" i="1"/>
  <c r="GM230" i="1"/>
  <c r="ER555" i="1"/>
  <c r="GA542" i="1"/>
  <c r="DX327" i="1"/>
  <c r="DK358" i="1"/>
  <c r="CP283" i="1"/>
  <c r="O283" i="1" s="1"/>
  <c r="CY40" i="1"/>
  <c r="X40" i="1" s="1"/>
  <c r="GM40" i="1" s="1"/>
  <c r="CZ40" i="1"/>
  <c r="Y40" i="1" s="1"/>
  <c r="P575" i="1"/>
  <c r="ES542" i="1"/>
  <c r="AZ451" i="1"/>
  <c r="F493" i="1"/>
  <c r="GA389" i="1"/>
  <c r="ER420" i="1"/>
  <c r="DN269" i="1"/>
  <c r="P319" i="1"/>
  <c r="BB94" i="1"/>
  <c r="F159" i="1"/>
  <c r="BB624" i="1"/>
  <c r="DQ555" i="1"/>
  <c r="ED542" i="1"/>
  <c r="CY457" i="1"/>
  <c r="X457" i="1" s="1"/>
  <c r="GO457" i="1" s="1"/>
  <c r="CZ457" i="1"/>
  <c r="Y457" i="1" s="1"/>
  <c r="AL482" i="1" s="1"/>
  <c r="DI542" i="1"/>
  <c r="P567" i="1"/>
  <c r="CP340" i="1"/>
  <c r="O340" i="1" s="1"/>
  <c r="DT358" i="1" s="1"/>
  <c r="EU94" i="1"/>
  <c r="P162" i="1"/>
  <c r="AC98" i="1"/>
  <c r="CF117" i="1"/>
  <c r="P117" i="1"/>
  <c r="CE117" i="1"/>
  <c r="CH117" i="1"/>
  <c r="W327" i="1"/>
  <c r="F382" i="1"/>
  <c r="FX98" i="1"/>
  <c r="EO117" i="1"/>
  <c r="DQ296" i="1"/>
  <c r="ED269" i="1"/>
  <c r="EH94" i="1"/>
  <c r="P155" i="1"/>
  <c r="GM227" i="1"/>
  <c r="GN227" i="1"/>
  <c r="DV389" i="1"/>
  <c r="DI420" i="1"/>
  <c r="AP177" i="1"/>
  <c r="F520" i="1"/>
  <c r="AI451" i="1"/>
  <c r="V482" i="1"/>
  <c r="DT26" i="1"/>
  <c r="DG63" i="1"/>
  <c r="AZ26" i="1"/>
  <c r="F74" i="1"/>
  <c r="CZ469" i="1"/>
  <c r="Y469" i="1" s="1"/>
  <c r="CY469" i="1"/>
  <c r="X469" i="1" s="1"/>
  <c r="GM469" i="1" s="1"/>
  <c r="GM544" i="1"/>
  <c r="CA555" i="1" s="1"/>
  <c r="AB555" i="1"/>
  <c r="AJ269" i="1"/>
  <c r="W296" i="1"/>
  <c r="CD595" i="1"/>
  <c r="ER98" i="1"/>
  <c r="ER146" i="1"/>
  <c r="P128" i="1"/>
  <c r="FS595" i="1"/>
  <c r="CY48" i="1"/>
  <c r="X48" i="1" s="1"/>
  <c r="GM48" i="1" s="1"/>
  <c r="CZ48" i="1"/>
  <c r="Y48" i="1" s="1"/>
  <c r="DK586" i="1"/>
  <c r="P610" i="1"/>
  <c r="AX451" i="1"/>
  <c r="F489" i="1"/>
  <c r="CA420" i="1"/>
  <c r="V389" i="1"/>
  <c r="F443" i="1"/>
  <c r="DU482" i="1"/>
  <c r="P165" i="1"/>
  <c r="EM94" i="1"/>
  <c r="O595" i="1"/>
  <c r="AB586" i="1"/>
  <c r="GK468" i="1"/>
  <c r="DW482" i="1"/>
  <c r="EH177" i="1"/>
  <c r="P520" i="1"/>
  <c r="DH586" i="1"/>
  <c r="P598" i="1"/>
  <c r="Y327" i="1"/>
  <c r="F384" i="1"/>
  <c r="DU358" i="1"/>
  <c r="GN280" i="1"/>
  <c r="FT296" i="1" s="1"/>
  <c r="DL98" i="1"/>
  <c r="DL146" i="1"/>
  <c r="P138" i="1"/>
  <c r="DJ586" i="1"/>
  <c r="P609" i="1"/>
  <c r="DV451" i="1"/>
  <c r="DI482" i="1"/>
  <c r="EP269" i="1"/>
  <c r="P303" i="1"/>
  <c r="GM206" i="1"/>
  <c r="GN206" i="1"/>
  <c r="DN26" i="1"/>
  <c r="P86" i="1"/>
  <c r="EI389" i="1"/>
  <c r="P430" i="1"/>
  <c r="GB238" i="1"/>
  <c r="Y389" i="1"/>
  <c r="F446" i="1"/>
  <c r="GN100" i="1"/>
  <c r="CB117" i="1" s="1"/>
  <c r="GM100" i="1"/>
  <c r="CA117" i="1" s="1"/>
  <c r="AB117" i="1"/>
  <c r="AT26" i="1"/>
  <c r="F81" i="1"/>
  <c r="GM354" i="1"/>
  <c r="FW98" i="1"/>
  <c r="EN117" i="1"/>
  <c r="DW327" i="1"/>
  <c r="DJ358" i="1"/>
  <c r="AZ269" i="1"/>
  <c r="F307" i="1"/>
  <c r="AX26" i="1"/>
  <c r="F70" i="1"/>
  <c r="DZ181" i="1"/>
  <c r="DM238" i="1"/>
  <c r="R542" i="1"/>
  <c r="F569" i="1"/>
  <c r="GM188" i="1"/>
  <c r="GN188" i="1"/>
  <c r="DY181" i="1"/>
  <c r="DL238" i="1"/>
  <c r="P579" i="1"/>
  <c r="DO542" i="1"/>
  <c r="DI269" i="1"/>
  <c r="P308" i="1"/>
  <c r="DH98" i="1"/>
  <c r="P120" i="1"/>
  <c r="DH146" i="1"/>
  <c r="DN98" i="1"/>
  <c r="DN146" i="1"/>
  <c r="P140" i="1"/>
  <c r="U181" i="1"/>
  <c r="F260" i="1"/>
  <c r="U511" i="1"/>
  <c r="F575" i="1"/>
  <c r="BA542" i="1"/>
  <c r="DY327" i="1"/>
  <c r="DL358" i="1"/>
  <c r="GK406" i="1"/>
  <c r="DW420" i="1"/>
  <c r="CE586" i="1"/>
  <c r="AV595" i="1"/>
  <c r="AC181" i="1"/>
  <c r="CF238" i="1"/>
  <c r="CH238" i="1"/>
  <c r="P238" i="1"/>
  <c r="CE238" i="1"/>
  <c r="FS296" i="1"/>
  <c r="DT238" i="1"/>
  <c r="DU26" i="1"/>
  <c r="FW63" i="1"/>
  <c r="FX63" i="1"/>
  <c r="DH63" i="1"/>
  <c r="FZ63" i="1"/>
  <c r="DM586" i="1"/>
  <c r="P617" i="1"/>
  <c r="CY468" i="1"/>
  <c r="X468" i="1" s="1"/>
  <c r="EC482" i="1" s="1"/>
  <c r="CZ468" i="1"/>
  <c r="Y468" i="1" s="1"/>
  <c r="ED482" i="1" s="1"/>
  <c r="DX482" i="1"/>
  <c r="S389" i="1"/>
  <c r="F435" i="1"/>
  <c r="GM336" i="1"/>
  <c r="GN336" i="1"/>
  <c r="DO269" i="1"/>
  <c r="P320" i="1"/>
  <c r="EH624" i="1"/>
  <c r="GM45" i="1"/>
  <c r="FS63" i="1" s="1"/>
  <c r="GN45" i="1"/>
  <c r="AD26" i="1"/>
  <c r="Q63" i="1"/>
  <c r="F619" i="1"/>
  <c r="W586" i="1"/>
  <c r="CA595" i="1"/>
  <c r="S542" i="1"/>
  <c r="F570" i="1"/>
  <c r="R586" i="1"/>
  <c r="F609" i="1"/>
  <c r="AT269" i="1"/>
  <c r="F314" i="1"/>
  <c r="GM109" i="1"/>
  <c r="GN109" i="1"/>
  <c r="EP586" i="1"/>
  <c r="P602" i="1"/>
  <c r="EI269" i="1"/>
  <c r="P306" i="1"/>
  <c r="R327" i="1"/>
  <c r="F372" i="1"/>
  <c r="GM49" i="1"/>
  <c r="GN49" i="1"/>
  <c r="FT63" i="1" s="1"/>
  <c r="DI586" i="1"/>
  <c r="P607" i="1"/>
  <c r="EP327" i="1"/>
  <c r="P365" i="1"/>
  <c r="AX511" i="1"/>
  <c r="AF181" i="1"/>
  <c r="S238" i="1"/>
  <c r="AP146" i="1"/>
  <c r="F126" i="1"/>
  <c r="AP98" i="1"/>
  <c r="AO94" i="1"/>
  <c r="F150" i="1"/>
  <c r="AO624" i="1"/>
  <c r="U327" i="1"/>
  <c r="F380" i="1"/>
  <c r="GA269" i="1"/>
  <c r="ER296" i="1"/>
  <c r="V269" i="1"/>
  <c r="F319" i="1"/>
  <c r="S98" i="1"/>
  <c r="S146" i="1"/>
  <c r="F132" i="1"/>
  <c r="DN327" i="1"/>
  <c r="P381" i="1"/>
  <c r="U98" i="1"/>
  <c r="F139" i="1"/>
  <c r="U146" i="1"/>
  <c r="DO26" i="1"/>
  <c r="P87" i="1"/>
  <c r="DT327" i="1" l="1"/>
  <c r="DG358" i="1"/>
  <c r="EP22" i="1"/>
  <c r="P631" i="1"/>
  <c r="EP653" i="1"/>
  <c r="ED389" i="1"/>
  <c r="DQ420" i="1"/>
  <c r="EK296" i="1"/>
  <c r="FT269" i="1"/>
  <c r="CC389" i="1"/>
  <c r="AT420" i="1"/>
  <c r="CA327" i="1"/>
  <c r="AR358" i="1"/>
  <c r="AL451" i="1"/>
  <c r="Y482" i="1"/>
  <c r="CB327" i="1"/>
  <c r="AS358" i="1"/>
  <c r="ED181" i="1"/>
  <c r="DQ238" i="1"/>
  <c r="FS26" i="1"/>
  <c r="EJ63" i="1"/>
  <c r="CC482" i="1"/>
  <c r="FT26" i="1"/>
  <c r="EK63" i="1"/>
  <c r="DT451" i="1"/>
  <c r="DG482" i="1"/>
  <c r="FS358" i="1"/>
  <c r="S181" i="1"/>
  <c r="F253" i="1"/>
  <c r="S511" i="1"/>
  <c r="DT181" i="1"/>
  <c r="DG238" i="1"/>
  <c r="U177" i="1"/>
  <c r="F533" i="1"/>
  <c r="GB181" i="1"/>
  <c r="ES238" i="1"/>
  <c r="CD586" i="1"/>
  <c r="AU595" i="1"/>
  <c r="DI389" i="1"/>
  <c r="P432" i="1"/>
  <c r="EO98" i="1"/>
  <c r="P123" i="1"/>
  <c r="EO146" i="1"/>
  <c r="ER389" i="1"/>
  <c r="P431" i="1"/>
  <c r="GM283" i="1"/>
  <c r="GN283" i="1"/>
  <c r="AE26" i="1"/>
  <c r="R63" i="1"/>
  <c r="AX94" i="1"/>
  <c r="F153" i="1"/>
  <c r="DO181" i="1"/>
  <c r="P262" i="1"/>
  <c r="EU22" i="1"/>
  <c r="EU653" i="1"/>
  <c r="P640" i="1"/>
  <c r="ET18" i="1"/>
  <c r="P666" i="1"/>
  <c r="DU389" i="1"/>
  <c r="DH420" i="1"/>
  <c r="FW420" i="1"/>
  <c r="FX420" i="1"/>
  <c r="FZ420" i="1"/>
  <c r="DW98" i="1"/>
  <c r="DJ117" i="1"/>
  <c r="AW420" i="1"/>
  <c r="CF389" i="1"/>
  <c r="GN52" i="1"/>
  <c r="EC98" i="1"/>
  <c r="DP117" i="1"/>
  <c r="CH327" i="1"/>
  <c r="AY358" i="1"/>
  <c r="DN181" i="1"/>
  <c r="P261" i="1"/>
  <c r="DN511" i="1"/>
  <c r="GM231" i="1"/>
  <c r="CA238" i="1" s="1"/>
  <c r="GN231" i="1"/>
  <c r="FT238" i="1" s="1"/>
  <c r="GM467" i="1"/>
  <c r="GO467" i="1"/>
  <c r="AB482" i="1"/>
  <c r="R181" i="1"/>
  <c r="F252" i="1"/>
  <c r="FV586" i="1"/>
  <c r="EM595" i="1"/>
  <c r="EM624" i="1" s="1"/>
  <c r="GM457" i="1"/>
  <c r="CA482" i="1" s="1"/>
  <c r="W26" i="1"/>
  <c r="F87" i="1"/>
  <c r="DP26" i="1"/>
  <c r="P88" i="1"/>
  <c r="ES389" i="1"/>
  <c r="P440" i="1"/>
  <c r="DO327" i="1"/>
  <c r="P382" i="1"/>
  <c r="EB451" i="1"/>
  <c r="DO482" i="1"/>
  <c r="AR595" i="1"/>
  <c r="CA586" i="1"/>
  <c r="EC451" i="1"/>
  <c r="DP482" i="1"/>
  <c r="AV586" i="1"/>
  <c r="F600" i="1"/>
  <c r="FS269" i="1"/>
  <c r="EJ296" i="1"/>
  <c r="DW451" i="1"/>
  <c r="DJ482" i="1"/>
  <c r="W269" i="1"/>
  <c r="F320" i="1"/>
  <c r="DQ542" i="1"/>
  <c r="P581" i="1"/>
  <c r="DK327" i="1"/>
  <c r="P373" i="1"/>
  <c r="EN586" i="1"/>
  <c r="P600" i="1"/>
  <c r="AW586" i="1"/>
  <c r="F601" i="1"/>
  <c r="EQ98" i="1"/>
  <c r="P125" i="1"/>
  <c r="EQ146" i="1"/>
  <c r="GM406" i="1"/>
  <c r="FS420" i="1" s="1"/>
  <c r="GO406" i="1"/>
  <c r="FU420" i="1" s="1"/>
  <c r="DT420" i="1"/>
  <c r="BA451" i="1"/>
  <c r="F502" i="1"/>
  <c r="P301" i="1"/>
  <c r="EN269" i="1"/>
  <c r="DG269" i="1"/>
  <c r="P298" i="1"/>
  <c r="CF327" i="1"/>
  <c r="AW358" i="1"/>
  <c r="AF26" i="1"/>
  <c r="S63" i="1"/>
  <c r="O327" i="1"/>
  <c r="F360" i="1"/>
  <c r="GO470" i="1"/>
  <c r="AV296" i="1"/>
  <c r="CE269" i="1"/>
  <c r="P563" i="1"/>
  <c r="EQ542" i="1"/>
  <c r="AQ22" i="1"/>
  <c r="F634" i="1"/>
  <c r="AQ653" i="1"/>
  <c r="GM212" i="1"/>
  <c r="FS238" i="1" s="1"/>
  <c r="GN212" i="1"/>
  <c r="GN40" i="1"/>
  <c r="DL451" i="1"/>
  <c r="P503" i="1"/>
  <c r="S451" i="1"/>
  <c r="F497" i="1"/>
  <c r="DI327" i="1"/>
  <c r="P370" i="1"/>
  <c r="DU451" i="1"/>
  <c r="FX482" i="1"/>
  <c r="FZ482" i="1"/>
  <c r="DH482" i="1"/>
  <c r="FW482" i="1"/>
  <c r="CF98" i="1"/>
  <c r="AW117" i="1"/>
  <c r="DN389" i="1"/>
  <c r="P443" i="1"/>
  <c r="S94" i="1"/>
  <c r="F161" i="1"/>
  <c r="AO22" i="1"/>
  <c r="F628" i="1"/>
  <c r="AO653" i="1"/>
  <c r="AX177" i="1"/>
  <c r="F518" i="1"/>
  <c r="DW389" i="1"/>
  <c r="DJ420" i="1"/>
  <c r="DI451" i="1"/>
  <c r="P494" i="1"/>
  <c r="DU327" i="1"/>
  <c r="DH358" i="1"/>
  <c r="FX358" i="1"/>
  <c r="FZ358" i="1"/>
  <c r="FW358" i="1"/>
  <c r="CA389" i="1"/>
  <c r="AR420" i="1"/>
  <c r="EJ595" i="1"/>
  <c r="FS586" i="1"/>
  <c r="DG26" i="1"/>
  <c r="P65" i="1"/>
  <c r="AH26" i="1"/>
  <c r="U63" i="1"/>
  <c r="EG22" i="1"/>
  <c r="P628" i="1"/>
  <c r="EG653" i="1"/>
  <c r="EO586" i="1"/>
  <c r="P601" i="1"/>
  <c r="AU26" i="1"/>
  <c r="F82" i="1"/>
  <c r="AU624" i="1"/>
  <c r="EM26" i="1"/>
  <c r="P82" i="1"/>
  <c r="AD98" i="1"/>
  <c r="Q117" i="1"/>
  <c r="R451" i="1"/>
  <c r="F496" i="1"/>
  <c r="AL63" i="1"/>
  <c r="P269" i="1"/>
  <c r="F299" i="1"/>
  <c r="AW542" i="1"/>
  <c r="F561" i="1"/>
  <c r="AY586" i="1"/>
  <c r="F603" i="1"/>
  <c r="AS586" i="1"/>
  <c r="F612" i="1"/>
  <c r="T94" i="1"/>
  <c r="F167" i="1"/>
  <c r="ES327" i="1"/>
  <c r="P378" i="1"/>
  <c r="W181" i="1"/>
  <c r="F262" i="1"/>
  <c r="W511" i="1"/>
  <c r="X181" i="1"/>
  <c r="F263" i="1"/>
  <c r="DM389" i="1"/>
  <c r="P442" i="1"/>
  <c r="DI181" i="1"/>
  <c r="P250" i="1"/>
  <c r="DI511" i="1"/>
  <c r="T181" i="1"/>
  <c r="F259" i="1"/>
  <c r="DN451" i="1"/>
  <c r="P505" i="1"/>
  <c r="AB98" i="1"/>
  <c r="O117" i="1"/>
  <c r="GM340" i="1"/>
  <c r="GN340" i="1"/>
  <c r="FT358" i="1" s="1"/>
  <c r="DO98" i="1"/>
  <c r="P141" i="1"/>
  <c r="DO146" i="1"/>
  <c r="DL26" i="1"/>
  <c r="P84" i="1"/>
  <c r="Y269" i="1"/>
  <c r="F322" i="1"/>
  <c r="CJ26" i="1"/>
  <c r="BA63" i="1"/>
  <c r="P557" i="1"/>
  <c r="DG542" i="1"/>
  <c r="AV542" i="1"/>
  <c r="F560" i="1"/>
  <c r="AK63" i="1"/>
  <c r="CH269" i="1"/>
  <c r="AY296" i="1"/>
  <c r="V181" i="1"/>
  <c r="F261" i="1"/>
  <c r="V511" i="1"/>
  <c r="AZ177" i="1"/>
  <c r="F522" i="1"/>
  <c r="F563" i="1"/>
  <c r="AY542" i="1"/>
  <c r="DQ327" i="1"/>
  <c r="P384" i="1"/>
  <c r="DQ26" i="1"/>
  <c r="P89" i="1"/>
  <c r="Y181" i="1"/>
  <c r="F264" i="1"/>
  <c r="AP94" i="1"/>
  <c r="F155" i="1"/>
  <c r="AP624" i="1"/>
  <c r="Q26" i="1"/>
  <c r="F75" i="1"/>
  <c r="FZ26" i="1"/>
  <c r="EQ63" i="1"/>
  <c r="CE181" i="1"/>
  <c r="AV238" i="1"/>
  <c r="DJ327" i="1"/>
  <c r="P372" i="1"/>
  <c r="BB22" i="1"/>
  <c r="BB653" i="1"/>
  <c r="F637" i="1"/>
  <c r="U94" i="1"/>
  <c r="F168" i="1"/>
  <c r="CA98" i="1"/>
  <c r="AR117" i="1"/>
  <c r="F597" i="1"/>
  <c r="O586" i="1"/>
  <c r="ER94" i="1"/>
  <c r="P157" i="1"/>
  <c r="V451" i="1"/>
  <c r="F505" i="1"/>
  <c r="CH98" i="1"/>
  <c r="AY117" i="1"/>
  <c r="ER542" i="1"/>
  <c r="P566" i="1"/>
  <c r="GO468" i="1"/>
  <c r="GM468" i="1"/>
  <c r="FS482" i="1" s="1"/>
  <c r="U451" i="1"/>
  <c r="F504" i="1"/>
  <c r="O420" i="1"/>
  <c r="AB389" i="1"/>
  <c r="P597" i="1"/>
  <c r="DG586" i="1"/>
  <c r="ES26" i="1"/>
  <c r="P83" i="1"/>
  <c r="DK26" i="1"/>
  <c r="P78" i="1"/>
  <c r="FX181" i="1"/>
  <c r="EO238" i="1"/>
  <c r="X327" i="1"/>
  <c r="F383" i="1"/>
  <c r="EC389" i="1"/>
  <c r="DP420" i="1"/>
  <c r="DI98" i="1"/>
  <c r="P129" i="1"/>
  <c r="DI146" i="1"/>
  <c r="AB26" i="1"/>
  <c r="O63" i="1"/>
  <c r="CF269" i="1"/>
  <c r="AW296" i="1"/>
  <c r="DK181" i="1"/>
  <c r="P253" i="1"/>
  <c r="AZ98" i="1"/>
  <c r="F128" i="1"/>
  <c r="AZ146" i="1"/>
  <c r="AG451" i="1"/>
  <c r="T482" i="1"/>
  <c r="T511" i="1" s="1"/>
  <c r="AC26" i="1"/>
  <c r="CH63" i="1"/>
  <c r="P63" i="1"/>
  <c r="CE63" i="1"/>
  <c r="CF63" i="1"/>
  <c r="P383" i="1"/>
  <c r="DP327" i="1"/>
  <c r="GN48" i="1"/>
  <c r="EC238" i="1"/>
  <c r="F321" i="1"/>
  <c r="X269" i="1"/>
  <c r="EI22" i="1"/>
  <c r="EI653" i="1"/>
  <c r="P634" i="1"/>
  <c r="ED451" i="1"/>
  <c r="DQ482" i="1"/>
  <c r="DL94" i="1"/>
  <c r="P167" i="1"/>
  <c r="DQ269" i="1"/>
  <c r="P322" i="1"/>
  <c r="AB542" i="1"/>
  <c r="O555" i="1"/>
  <c r="AD451" i="1"/>
  <c r="Q482" i="1"/>
  <c r="DH26" i="1"/>
  <c r="P66" i="1"/>
  <c r="P181" i="1"/>
  <c r="F241" i="1"/>
  <c r="DL327" i="1"/>
  <c r="P379" i="1"/>
  <c r="DN94" i="1"/>
  <c r="P169" i="1"/>
  <c r="DM181" i="1"/>
  <c r="P260" i="1"/>
  <c r="DM511" i="1"/>
  <c r="AR555" i="1"/>
  <c r="CA542" i="1"/>
  <c r="FX26" i="1"/>
  <c r="EO63" i="1"/>
  <c r="CH181" i="1"/>
  <c r="AY238" i="1"/>
  <c r="EN98" i="1"/>
  <c r="EN146" i="1"/>
  <c r="P122" i="1"/>
  <c r="CB98" i="1"/>
  <c r="AS117" i="1"/>
  <c r="CE98" i="1"/>
  <c r="AV117" i="1"/>
  <c r="EP94" i="1"/>
  <c r="P153" i="1"/>
  <c r="EK586" i="1"/>
  <c r="P612" i="1"/>
  <c r="AK482" i="1"/>
  <c r="DM98" i="1"/>
  <c r="P139" i="1"/>
  <c r="DM146" i="1"/>
  <c r="DL389" i="1"/>
  <c r="P441" i="1"/>
  <c r="CE389" i="1"/>
  <c r="AV420" i="1"/>
  <c r="F445" i="1"/>
  <c r="X389" i="1"/>
  <c r="ES98" i="1"/>
  <c r="P137" i="1"/>
  <c r="ES146" i="1"/>
  <c r="AZ542" i="1"/>
  <c r="F566" i="1"/>
  <c r="AB296" i="1"/>
  <c r="FW181" i="1"/>
  <c r="EN238" i="1"/>
  <c r="DJ26" i="1"/>
  <c r="P77" i="1"/>
  <c r="W98" i="1"/>
  <c r="W146" i="1"/>
  <c r="W624" i="1" s="1"/>
  <c r="F141" i="1"/>
  <c r="Y98" i="1"/>
  <c r="F143" i="1"/>
  <c r="Y146" i="1"/>
  <c r="GM44" i="1"/>
  <c r="GN44" i="1"/>
  <c r="P304" i="1"/>
  <c r="EQ269" i="1"/>
  <c r="GN107" i="1"/>
  <c r="FT117" i="1" s="1"/>
  <c r="GO469" i="1"/>
  <c r="DM327" i="1"/>
  <c r="P380" i="1"/>
  <c r="GN214" i="1"/>
  <c r="BA181" i="1"/>
  <c r="F258" i="1"/>
  <c r="BA511" i="1"/>
  <c r="AB181" i="1"/>
  <c r="O238" i="1"/>
  <c r="ER269" i="1"/>
  <c r="P307" i="1"/>
  <c r="DX451" i="1"/>
  <c r="DK482" i="1"/>
  <c r="FW26" i="1"/>
  <c r="EN63" i="1"/>
  <c r="CF181" i="1"/>
  <c r="AW238" i="1"/>
  <c r="DH94" i="1"/>
  <c r="P149" i="1"/>
  <c r="DL181" i="1"/>
  <c r="P259" i="1"/>
  <c r="DL511" i="1"/>
  <c r="DL624" i="1" s="1"/>
  <c r="AX624" i="1"/>
  <c r="P98" i="1"/>
  <c r="P146" i="1"/>
  <c r="F120" i="1"/>
  <c r="W451" i="1"/>
  <c r="F506" i="1"/>
  <c r="GN36" i="1"/>
  <c r="CB63" i="1" s="1"/>
  <c r="EJ542" i="1"/>
  <c r="P582" i="1"/>
  <c r="P389" i="1"/>
  <c r="F423" i="1"/>
  <c r="DT98" i="1"/>
  <c r="DG117" i="1"/>
  <c r="DX98" i="1"/>
  <c r="DK117" i="1"/>
  <c r="CB296" i="1"/>
  <c r="DH181" i="1"/>
  <c r="P241" i="1"/>
  <c r="DH511" i="1"/>
  <c r="DH624" i="1" s="1"/>
  <c r="CE327" i="1"/>
  <c r="AV358" i="1"/>
  <c r="DK389" i="1"/>
  <c r="P435" i="1"/>
  <c r="DZ451" i="1"/>
  <c r="DM482" i="1"/>
  <c r="CA63" i="1"/>
  <c r="EO269" i="1"/>
  <c r="P302" i="1"/>
  <c r="S269" i="1"/>
  <c r="F311" i="1"/>
  <c r="R98" i="1"/>
  <c r="F131" i="1"/>
  <c r="R146" i="1"/>
  <c r="ES451" i="1"/>
  <c r="P502" i="1"/>
  <c r="BA98" i="1"/>
  <c r="BA146" i="1"/>
  <c r="F137" i="1"/>
  <c r="GM107" i="1"/>
  <c r="FS117" i="1" s="1"/>
  <c r="Q181" i="1"/>
  <c r="F250" i="1"/>
  <c r="Q511" i="1"/>
  <c r="DO389" i="1"/>
  <c r="P444" i="1"/>
  <c r="F142" i="1"/>
  <c r="X98" i="1"/>
  <c r="X146" i="1"/>
  <c r="P321" i="1"/>
  <c r="DP269" i="1"/>
  <c r="EH22" i="1"/>
  <c r="EH653" i="1"/>
  <c r="P633" i="1"/>
  <c r="V16" i="2" s="1"/>
  <c r="V18" i="2" s="1"/>
  <c r="AE269" i="1"/>
  <c r="R296" i="1"/>
  <c r="CH389" i="1"/>
  <c r="AY420" i="1"/>
  <c r="BC22" i="1"/>
  <c r="BC653" i="1"/>
  <c r="F640" i="1"/>
  <c r="EQ586" i="1"/>
  <c r="P603" i="1"/>
  <c r="AC451" i="1"/>
  <c r="P482" i="1"/>
  <c r="CE482" i="1"/>
  <c r="CF482" i="1"/>
  <c r="CH482" i="1"/>
  <c r="ED98" i="1"/>
  <c r="DQ117" i="1"/>
  <c r="CA296" i="1"/>
  <c r="FZ181" i="1"/>
  <c r="EQ238" i="1"/>
  <c r="ER511" i="1"/>
  <c r="ER624" i="1" s="1"/>
  <c r="P327" i="1"/>
  <c r="F361" i="1"/>
  <c r="V98" i="1"/>
  <c r="V146" i="1"/>
  <c r="F140" i="1"/>
  <c r="DW181" i="1"/>
  <c r="DJ238" i="1"/>
  <c r="Q269" i="1"/>
  <c r="F308" i="1"/>
  <c r="V26" i="1"/>
  <c r="F86" i="1"/>
  <c r="V624" i="1"/>
  <c r="W22" i="1" l="1"/>
  <c r="W653" i="1"/>
  <c r="F648" i="1"/>
  <c r="ER22" i="1"/>
  <c r="P635" i="1"/>
  <c r="ER653" i="1"/>
  <c r="DL22" i="1"/>
  <c r="P645" i="1"/>
  <c r="DL653" i="1"/>
  <c r="FS181" i="1"/>
  <c r="EJ238" i="1"/>
  <c r="CA451" i="1"/>
  <c r="AR482" i="1"/>
  <c r="FT181" i="1"/>
  <c r="EK238" i="1"/>
  <c r="CA181" i="1"/>
  <c r="AR238" i="1"/>
  <c r="EK358" i="1"/>
  <c r="FT327" i="1"/>
  <c r="CB26" i="1"/>
  <c r="AS63" i="1"/>
  <c r="EM22" i="1"/>
  <c r="P643" i="1"/>
  <c r="EM653" i="1"/>
  <c r="T177" i="1"/>
  <c r="F532" i="1"/>
  <c r="T624" i="1"/>
  <c r="DH22" i="1"/>
  <c r="P627" i="1"/>
  <c r="DH653" i="1"/>
  <c r="AY389" i="1"/>
  <c r="F428" i="1"/>
  <c r="DM177" i="1"/>
  <c r="P533" i="1"/>
  <c r="CF26" i="1"/>
  <c r="AW63" i="1"/>
  <c r="CC451" i="1"/>
  <c r="AT482" i="1"/>
  <c r="P451" i="1"/>
  <c r="F485" i="1"/>
  <c r="DK98" i="1"/>
  <c r="P132" i="1"/>
  <c r="DK146" i="1"/>
  <c r="CE26" i="1"/>
  <c r="AV63" i="1"/>
  <c r="DI94" i="1"/>
  <c r="P158" i="1"/>
  <c r="DI624" i="1"/>
  <c r="Q98" i="1"/>
  <c r="Q146" i="1"/>
  <c r="F129" i="1"/>
  <c r="FX327" i="1"/>
  <c r="EO358" i="1"/>
  <c r="AW98" i="1"/>
  <c r="F123" i="1"/>
  <c r="AW146" i="1"/>
  <c r="AQ18" i="1"/>
  <c r="F663" i="1"/>
  <c r="DJ98" i="1"/>
  <c r="DJ146" i="1"/>
  <c r="P131" i="1"/>
  <c r="DG451" i="1"/>
  <c r="P484" i="1"/>
  <c r="EJ26" i="1"/>
  <c r="P90" i="1"/>
  <c r="DQ389" i="1"/>
  <c r="P446" i="1"/>
  <c r="CE451" i="1"/>
  <c r="AV482" i="1"/>
  <c r="EO181" i="1"/>
  <c r="P244" i="1"/>
  <c r="FS327" i="1"/>
  <c r="EJ358" i="1"/>
  <c r="EJ117" i="1"/>
  <c r="FS98" i="1"/>
  <c r="DK451" i="1"/>
  <c r="P497" i="1"/>
  <c r="R269" i="1"/>
  <c r="F310" i="1"/>
  <c r="ES94" i="1"/>
  <c r="P166" i="1"/>
  <c r="AY181" i="1"/>
  <c r="F246" i="1"/>
  <c r="P26" i="1"/>
  <c r="F66" i="1"/>
  <c r="DK511" i="1"/>
  <c r="AY98" i="1"/>
  <c r="AY146" i="1"/>
  <c r="F125" i="1"/>
  <c r="V177" i="1"/>
  <c r="F534" i="1"/>
  <c r="DH327" i="1"/>
  <c r="P361" i="1"/>
  <c r="AO18" i="1"/>
  <c r="F657" i="1"/>
  <c r="AB451" i="1"/>
  <c r="O482" i="1"/>
  <c r="AY327" i="1"/>
  <c r="F366" i="1"/>
  <c r="R26" i="1"/>
  <c r="F77" i="1"/>
  <c r="AR327" i="1"/>
  <c r="F385" i="1"/>
  <c r="EQ94" i="1"/>
  <c r="P154" i="1"/>
  <c r="DO451" i="1"/>
  <c r="P506" i="1"/>
  <c r="EO94" i="1"/>
  <c r="P152" i="1"/>
  <c r="Y451" i="1"/>
  <c r="F508" i="1"/>
  <c r="DJ181" i="1"/>
  <c r="P252" i="1"/>
  <c r="DJ511" i="1"/>
  <c r="X94" i="1"/>
  <c r="F171" i="1"/>
  <c r="CA269" i="1"/>
  <c r="AR296" i="1"/>
  <c r="BA94" i="1"/>
  <c r="F166" i="1"/>
  <c r="AV327" i="1"/>
  <c r="F363" i="1"/>
  <c r="DG98" i="1"/>
  <c r="P119" i="1"/>
  <c r="DG146" i="1"/>
  <c r="Y94" i="1"/>
  <c r="F172" i="1"/>
  <c r="DM94" i="1"/>
  <c r="P168" i="1"/>
  <c r="DM624" i="1"/>
  <c r="AV98" i="1"/>
  <c r="F122" i="1"/>
  <c r="AV146" i="1"/>
  <c r="CH26" i="1"/>
  <c r="AY63" i="1"/>
  <c r="O389" i="1"/>
  <c r="F422" i="1"/>
  <c r="AR98" i="1"/>
  <c r="F144" i="1"/>
  <c r="AR146" i="1"/>
  <c r="AP22" i="1"/>
  <c r="AP653" i="1"/>
  <c r="F633" i="1"/>
  <c r="G16" i="2" s="1"/>
  <c r="G18" i="2" s="1"/>
  <c r="DO94" i="1"/>
  <c r="P170" i="1"/>
  <c r="EG18" i="1"/>
  <c r="P657" i="1"/>
  <c r="FW451" i="1"/>
  <c r="EN482" i="1"/>
  <c r="S26" i="1"/>
  <c r="F78" i="1"/>
  <c r="S624" i="1"/>
  <c r="FZ389" i="1"/>
  <c r="EQ420" i="1"/>
  <c r="EU18" i="1"/>
  <c r="P669" i="1"/>
  <c r="DG181" i="1"/>
  <c r="P240" i="1"/>
  <c r="EK26" i="1"/>
  <c r="P80" i="1"/>
  <c r="DQ181" i="1"/>
  <c r="P264" i="1"/>
  <c r="DQ511" i="1"/>
  <c r="EP18" i="1"/>
  <c r="P660" i="1"/>
  <c r="DL177" i="1"/>
  <c r="P532" i="1"/>
  <c r="EN94" i="1"/>
  <c r="P151" i="1"/>
  <c r="O98" i="1"/>
  <c r="F119" i="1"/>
  <c r="O146" i="1"/>
  <c r="FZ327" i="1"/>
  <c r="EQ358" i="1"/>
  <c r="EJ269" i="1"/>
  <c r="P323" i="1"/>
  <c r="AW389" i="1"/>
  <c r="F426" i="1"/>
  <c r="EK269" i="1"/>
  <c r="P313" i="1"/>
  <c r="EQ181" i="1"/>
  <c r="P246" i="1"/>
  <c r="V22" i="1"/>
  <c r="V653" i="1"/>
  <c r="F647" i="1"/>
  <c r="V94" i="1"/>
  <c r="F169" i="1"/>
  <c r="DQ146" i="1"/>
  <c r="DQ98" i="1"/>
  <c r="P143" i="1"/>
  <c r="EO26" i="1"/>
  <c r="P69" i="1"/>
  <c r="EC181" i="1"/>
  <c r="DP238" i="1"/>
  <c r="P445" i="1"/>
  <c r="DP389" i="1"/>
  <c r="AV181" i="1"/>
  <c r="F243" i="1"/>
  <c r="AV511" i="1"/>
  <c r="BA26" i="1"/>
  <c r="F83" i="1"/>
  <c r="BA624" i="1"/>
  <c r="EJ586" i="1"/>
  <c r="P622" i="1"/>
  <c r="DH451" i="1"/>
  <c r="P485" i="1"/>
  <c r="DP451" i="1"/>
  <c r="P507" i="1"/>
  <c r="DP98" i="1"/>
  <c r="P142" i="1"/>
  <c r="DP146" i="1"/>
  <c r="FX389" i="1"/>
  <c r="EO420" i="1"/>
  <c r="AT389" i="1"/>
  <c r="F438" i="1"/>
  <c r="AT511" i="1"/>
  <c r="CB269" i="1"/>
  <c r="AS296" i="1"/>
  <c r="EI18" i="1"/>
  <c r="P663" i="1"/>
  <c r="BB18" i="1"/>
  <c r="F666" i="1"/>
  <c r="EH18" i="1"/>
  <c r="P662" i="1"/>
  <c r="DH177" i="1"/>
  <c r="P514" i="1"/>
  <c r="P94" i="1"/>
  <c r="F149" i="1"/>
  <c r="AW181" i="1"/>
  <c r="F244" i="1"/>
  <c r="O181" i="1"/>
  <c r="F240" i="1"/>
  <c r="EN181" i="1"/>
  <c r="P243" i="1"/>
  <c r="AS98" i="1"/>
  <c r="F134" i="1"/>
  <c r="AS146" i="1"/>
  <c r="Q451" i="1"/>
  <c r="F494" i="1"/>
  <c r="DQ451" i="1"/>
  <c r="P508" i="1"/>
  <c r="T451" i="1"/>
  <c r="F503" i="1"/>
  <c r="AW269" i="1"/>
  <c r="F302" i="1"/>
  <c r="AY269" i="1"/>
  <c r="F304" i="1"/>
  <c r="AR389" i="1"/>
  <c r="F447" i="1"/>
  <c r="FZ451" i="1"/>
  <c r="EQ482" i="1"/>
  <c r="AW327" i="1"/>
  <c r="F364" i="1"/>
  <c r="DT389" i="1"/>
  <c r="DG420" i="1"/>
  <c r="DG511" i="1" s="1"/>
  <c r="DJ451" i="1"/>
  <c r="P496" i="1"/>
  <c r="EM586" i="1"/>
  <c r="P614" i="1"/>
  <c r="FW389" i="1"/>
  <c r="EN420" i="1"/>
  <c r="DO511" i="1"/>
  <c r="DO624" i="1" s="1"/>
  <c r="AU586" i="1"/>
  <c r="F614" i="1"/>
  <c r="S177" i="1"/>
  <c r="F526" i="1"/>
  <c r="CB238" i="1"/>
  <c r="CA26" i="1"/>
  <c r="AR63" i="1"/>
  <c r="AK451" i="1"/>
  <c r="X482" i="1"/>
  <c r="FS451" i="1"/>
  <c r="EJ482" i="1"/>
  <c r="EQ26" i="1"/>
  <c r="P71" i="1"/>
  <c r="Y511" i="1"/>
  <c r="AL26" i="1"/>
  <c r="Y63" i="1"/>
  <c r="AU22" i="1"/>
  <c r="AU653" i="1"/>
  <c r="F643" i="1"/>
  <c r="U26" i="1"/>
  <c r="F85" i="1"/>
  <c r="U624" i="1"/>
  <c r="DJ389" i="1"/>
  <c r="P434" i="1"/>
  <c r="FX451" i="1"/>
  <c r="EO482" i="1"/>
  <c r="FU389" i="1"/>
  <c r="EL420" i="1"/>
  <c r="DH389" i="1"/>
  <c r="P423" i="1"/>
  <c r="AS327" i="1"/>
  <c r="F375" i="1"/>
  <c r="DG327" i="1"/>
  <c r="P360" i="1"/>
  <c r="ER177" i="1"/>
  <c r="P522" i="1"/>
  <c r="CH451" i="1"/>
  <c r="AY482" i="1"/>
  <c r="AY511" i="1" s="1"/>
  <c r="BC18" i="1"/>
  <c r="F669" i="1"/>
  <c r="Q177" i="1"/>
  <c r="F523" i="1"/>
  <c r="FT98" i="1"/>
  <c r="EK117" i="1"/>
  <c r="CF451" i="1"/>
  <c r="AW482" i="1"/>
  <c r="F160" i="1"/>
  <c r="R94" i="1"/>
  <c r="DM451" i="1"/>
  <c r="P504" i="1"/>
  <c r="AX22" i="1"/>
  <c r="F631" i="1"/>
  <c r="AX653" i="1"/>
  <c r="EN26" i="1"/>
  <c r="P68" i="1"/>
  <c r="BA177" i="1"/>
  <c r="F531" i="1"/>
  <c r="F170" i="1"/>
  <c r="W94" i="1"/>
  <c r="AB269" i="1"/>
  <c r="O296" i="1"/>
  <c r="O511" i="1" s="1"/>
  <c r="F425" i="1"/>
  <c r="AV389" i="1"/>
  <c r="AR542" i="1"/>
  <c r="F582" i="1"/>
  <c r="P511" i="1"/>
  <c r="O542" i="1"/>
  <c r="F557" i="1"/>
  <c r="AZ94" i="1"/>
  <c r="F157" i="1"/>
  <c r="AZ624" i="1"/>
  <c r="O26" i="1"/>
  <c r="F65" i="1"/>
  <c r="FU482" i="1"/>
  <c r="AK26" i="1"/>
  <c r="X63" i="1"/>
  <c r="DI177" i="1"/>
  <c r="P523" i="1"/>
  <c r="W177" i="1"/>
  <c r="F535" i="1"/>
  <c r="FW327" i="1"/>
  <c r="EN358" i="1"/>
  <c r="AV269" i="1"/>
  <c r="F301" i="1"/>
  <c r="FS389" i="1"/>
  <c r="EJ420" i="1"/>
  <c r="AR586" i="1"/>
  <c r="F622" i="1"/>
  <c r="R511" i="1"/>
  <c r="DN177" i="1"/>
  <c r="P534" i="1"/>
  <c r="DN624" i="1"/>
  <c r="ES181" i="1"/>
  <c r="P258" i="1"/>
  <c r="ES511" i="1"/>
  <c r="DG177" i="1" l="1"/>
  <c r="P513" i="1"/>
  <c r="AY177" i="1"/>
  <c r="F519" i="1"/>
  <c r="O177" i="1"/>
  <c r="F513" i="1"/>
  <c r="O624" i="1"/>
  <c r="DO22" i="1"/>
  <c r="DO653" i="1"/>
  <c r="P648" i="1"/>
  <c r="CB181" i="1"/>
  <c r="AS238" i="1"/>
  <c r="EQ451" i="1"/>
  <c r="P490" i="1"/>
  <c r="EQ389" i="1"/>
  <c r="P428" i="1"/>
  <c r="AW94" i="1"/>
  <c r="F152" i="1"/>
  <c r="DI22" i="1"/>
  <c r="P636" i="1"/>
  <c r="DI653" i="1"/>
  <c r="EM18" i="1"/>
  <c r="P672" i="1"/>
  <c r="EN327" i="1"/>
  <c r="P363" i="1"/>
  <c r="P177" i="1"/>
  <c r="F514" i="1"/>
  <c r="EN511" i="1"/>
  <c r="EO389" i="1"/>
  <c r="P426" i="1"/>
  <c r="EQ511" i="1"/>
  <c r="DM22" i="1"/>
  <c r="P646" i="1"/>
  <c r="DM653" i="1"/>
  <c r="DJ177" i="1"/>
  <c r="P525" i="1"/>
  <c r="EK181" i="1"/>
  <c r="P255" i="1"/>
  <c r="EK511" i="1"/>
  <c r="FU451" i="1"/>
  <c r="EL482" i="1"/>
  <c r="EO451" i="1"/>
  <c r="P488" i="1"/>
  <c r="EJ451" i="1"/>
  <c r="P509" i="1"/>
  <c r="EQ327" i="1"/>
  <c r="P366" i="1"/>
  <c r="S22" i="1"/>
  <c r="F639" i="1"/>
  <c r="J16" i="2" s="1"/>
  <c r="J18" i="2" s="1"/>
  <c r="S653" i="1"/>
  <c r="F487" i="1"/>
  <c r="AV451" i="1"/>
  <c r="AT451" i="1"/>
  <c r="F500" i="1"/>
  <c r="DH18" i="1"/>
  <c r="P656" i="1"/>
  <c r="ER18" i="1"/>
  <c r="P664" i="1"/>
  <c r="R177" i="1"/>
  <c r="F525" i="1"/>
  <c r="AU18" i="1"/>
  <c r="F672" i="1"/>
  <c r="ES177" i="1"/>
  <c r="P531" i="1"/>
  <c r="ES624" i="1"/>
  <c r="DP94" i="1"/>
  <c r="P171" i="1"/>
  <c r="DQ94" i="1"/>
  <c r="P172" i="1"/>
  <c r="DQ624" i="1"/>
  <c r="O451" i="1"/>
  <c r="F484" i="1"/>
  <c r="EO327" i="1"/>
  <c r="P364" i="1"/>
  <c r="AV26" i="1"/>
  <c r="F68" i="1"/>
  <c r="AV624" i="1"/>
  <c r="AS26" i="1"/>
  <c r="F80" i="1"/>
  <c r="AR451" i="1"/>
  <c r="F509" i="1"/>
  <c r="EK98" i="1"/>
  <c r="P134" i="1"/>
  <c r="EK146" i="1"/>
  <c r="AZ22" i="1"/>
  <c r="F635" i="1"/>
  <c r="AZ653" i="1"/>
  <c r="Y26" i="1"/>
  <c r="F89" i="1"/>
  <c r="Y624" i="1"/>
  <c r="DG389" i="1"/>
  <c r="P422" i="1"/>
  <c r="AS269" i="1"/>
  <c r="F313" i="1"/>
  <c r="BA22" i="1"/>
  <c r="BA653" i="1"/>
  <c r="F644" i="1"/>
  <c r="H16" i="2" s="1"/>
  <c r="H18" i="2" s="1"/>
  <c r="DP181" i="1"/>
  <c r="P263" i="1"/>
  <c r="DP511" i="1"/>
  <c r="O94" i="1"/>
  <c r="F148" i="1"/>
  <c r="AY26" i="1"/>
  <c r="F71" i="1"/>
  <c r="AY624" i="1"/>
  <c r="AY94" i="1"/>
  <c r="F154" i="1"/>
  <c r="EJ146" i="1"/>
  <c r="EJ98" i="1"/>
  <c r="P144" i="1"/>
  <c r="DJ94" i="1"/>
  <c r="P160" i="1"/>
  <c r="DJ624" i="1"/>
  <c r="AW26" i="1"/>
  <c r="F69" i="1"/>
  <c r="AW624" i="1"/>
  <c r="EJ389" i="1"/>
  <c r="P447" i="1"/>
  <c r="X451" i="1"/>
  <c r="F507" i="1"/>
  <c r="X511" i="1"/>
  <c r="DO177" i="1"/>
  <c r="P535" i="1"/>
  <c r="DQ177" i="1"/>
  <c r="P537" i="1"/>
  <c r="EN451" i="1"/>
  <c r="P487" i="1"/>
  <c r="AP18" i="1"/>
  <c r="F662" i="1"/>
  <c r="AR269" i="1"/>
  <c r="F323" i="1"/>
  <c r="EJ327" i="1"/>
  <c r="P385" i="1"/>
  <c r="DK94" i="1"/>
  <c r="P161" i="1"/>
  <c r="DK624" i="1"/>
  <c r="T22" i="1"/>
  <c r="F645" i="1"/>
  <c r="T653" i="1"/>
  <c r="EJ181" i="1"/>
  <c r="P265" i="1"/>
  <c r="EJ511" i="1"/>
  <c r="DN22" i="1"/>
  <c r="DN653" i="1"/>
  <c r="P647" i="1"/>
  <c r="O269" i="1"/>
  <c r="F298" i="1"/>
  <c r="AW451" i="1"/>
  <c r="F488" i="1"/>
  <c r="U22" i="1"/>
  <c r="F646" i="1"/>
  <c r="U653" i="1"/>
  <c r="Y177" i="1"/>
  <c r="F537" i="1"/>
  <c r="AR26" i="1"/>
  <c r="F90" i="1"/>
  <c r="P425" i="1"/>
  <c r="EN389" i="1"/>
  <c r="AS94" i="1"/>
  <c r="F163" i="1"/>
  <c r="AT177" i="1"/>
  <c r="F529" i="1"/>
  <c r="AT624" i="1"/>
  <c r="AV94" i="1"/>
  <c r="F151" i="1"/>
  <c r="DG94" i="1"/>
  <c r="P148" i="1"/>
  <c r="DG624" i="1"/>
  <c r="R624" i="1"/>
  <c r="DK177" i="1"/>
  <c r="P526" i="1"/>
  <c r="Q94" i="1"/>
  <c r="F158" i="1"/>
  <c r="Q624" i="1"/>
  <c r="EK327" i="1"/>
  <c r="P375" i="1"/>
  <c r="W18" i="1"/>
  <c r="F677" i="1"/>
  <c r="EL389" i="1"/>
  <c r="P438" i="1"/>
  <c r="EL511" i="1"/>
  <c r="X26" i="1"/>
  <c r="F88" i="1"/>
  <c r="X624" i="1"/>
  <c r="AY451" i="1"/>
  <c r="F490" i="1"/>
  <c r="AX18" i="1"/>
  <c r="F660" i="1"/>
  <c r="AW511" i="1"/>
  <c r="AV177" i="1"/>
  <c r="F516" i="1"/>
  <c r="V18" i="1"/>
  <c r="F676" i="1"/>
  <c r="AR94" i="1"/>
  <c r="F173" i="1"/>
  <c r="P624" i="1"/>
  <c r="EO511" i="1"/>
  <c r="AR181" i="1"/>
  <c r="F265" i="1"/>
  <c r="AR511" i="1"/>
  <c r="DL18" i="1"/>
  <c r="P674" i="1"/>
  <c r="AW22" i="1" l="1"/>
  <c r="F630" i="1"/>
  <c r="AW653" i="1"/>
  <c r="EJ94" i="1"/>
  <c r="P173" i="1"/>
  <c r="EJ624" i="1"/>
  <c r="DP177" i="1"/>
  <c r="P536" i="1"/>
  <c r="EK94" i="1"/>
  <c r="P163" i="1"/>
  <c r="EK624" i="1"/>
  <c r="AV22" i="1"/>
  <c r="AV653" i="1"/>
  <c r="F629" i="1"/>
  <c r="EQ177" i="1"/>
  <c r="P519" i="1"/>
  <c r="EQ624" i="1"/>
  <c r="T18" i="1"/>
  <c r="F674" i="1"/>
  <c r="O22" i="1"/>
  <c r="F626" i="1"/>
  <c r="O653" i="1"/>
  <c r="R22" i="1"/>
  <c r="F638" i="1"/>
  <c r="R653" i="1"/>
  <c r="Y22" i="1"/>
  <c r="F650" i="1"/>
  <c r="Y653" i="1"/>
  <c r="DP624" i="1"/>
  <c r="X177" i="1"/>
  <c r="F536" i="1"/>
  <c r="DJ22" i="1"/>
  <c r="P638" i="1"/>
  <c r="DJ653" i="1"/>
  <c r="AY22" i="1"/>
  <c r="F632" i="1"/>
  <c r="AY653" i="1"/>
  <c r="EN177" i="1"/>
  <c r="P516" i="1"/>
  <c r="EN624" i="1"/>
  <c r="DI18" i="1"/>
  <c r="P665" i="1"/>
  <c r="AT22" i="1"/>
  <c r="F642" i="1"/>
  <c r="F16" i="2" s="1"/>
  <c r="F18" i="2" s="1"/>
  <c r="AT653" i="1"/>
  <c r="U18" i="1"/>
  <c r="F675" i="1"/>
  <c r="DN18" i="1"/>
  <c r="P676" i="1"/>
  <c r="DK22" i="1"/>
  <c r="P639" i="1"/>
  <c r="Y16" i="2" s="1"/>
  <c r="Y18" i="2" s="1"/>
  <c r="DK653" i="1"/>
  <c r="BA18" i="1"/>
  <c r="F673" i="1"/>
  <c r="S18" i="1"/>
  <c r="F668" i="1"/>
  <c r="AS181" i="1"/>
  <c r="F255" i="1"/>
  <c r="AS511" i="1"/>
  <c r="X22" i="1"/>
  <c r="X653" i="1"/>
  <c r="F649" i="1"/>
  <c r="Q22" i="1"/>
  <c r="Q653" i="1"/>
  <c r="F636" i="1"/>
  <c r="AZ18" i="1"/>
  <c r="F664" i="1"/>
  <c r="ES22" i="1"/>
  <c r="ES653" i="1"/>
  <c r="P644" i="1"/>
  <c r="W16" i="2" s="1"/>
  <c r="W18" i="2" s="1"/>
  <c r="EL451" i="1"/>
  <c r="P500" i="1"/>
  <c r="DM18" i="1"/>
  <c r="P675" i="1"/>
  <c r="AR177" i="1"/>
  <c r="F538" i="1"/>
  <c r="AW177" i="1"/>
  <c r="F517" i="1"/>
  <c r="EJ177" i="1"/>
  <c r="P538" i="1"/>
  <c r="DG22" i="1"/>
  <c r="P626" i="1"/>
  <c r="DG653" i="1"/>
  <c r="EO177" i="1"/>
  <c r="P517" i="1"/>
  <c r="EO624" i="1"/>
  <c r="EL177" i="1"/>
  <c r="P529" i="1"/>
  <c r="EL624" i="1"/>
  <c r="P22" i="1"/>
  <c r="F627" i="1"/>
  <c r="P653" i="1"/>
  <c r="AR624" i="1"/>
  <c r="DQ22" i="1"/>
  <c r="P650" i="1"/>
  <c r="DQ653" i="1"/>
  <c r="EK177" i="1"/>
  <c r="P528" i="1"/>
  <c r="DO18" i="1"/>
  <c r="P677" i="1"/>
  <c r="EN22" i="1" l="1"/>
  <c r="P629" i="1"/>
  <c r="EN653" i="1"/>
  <c r="Q18" i="1"/>
  <c r="F665" i="1"/>
  <c r="O18" i="1"/>
  <c r="F655" i="1"/>
  <c r="EJ22" i="1"/>
  <c r="P651" i="1"/>
  <c r="EJ653" i="1"/>
  <c r="EO22" i="1"/>
  <c r="P630" i="1"/>
  <c r="EO653" i="1"/>
  <c r="X18" i="1"/>
  <c r="F678" i="1"/>
  <c r="AT18" i="1"/>
  <c r="F671" i="1"/>
  <c r="AY18" i="1"/>
  <c r="F661" i="1"/>
  <c r="DP22" i="1"/>
  <c r="DP653" i="1"/>
  <c r="P649" i="1"/>
  <c r="AV18" i="1"/>
  <c r="F658" i="1"/>
  <c r="DQ18" i="1"/>
  <c r="P679" i="1"/>
  <c r="DK18" i="1"/>
  <c r="P668" i="1"/>
  <c r="Y18" i="1"/>
  <c r="F679" i="1"/>
  <c r="ES18" i="1"/>
  <c r="P673" i="1"/>
  <c r="DG18" i="1"/>
  <c r="P655" i="1"/>
  <c r="EK22" i="1"/>
  <c r="EK653" i="1"/>
  <c r="P641" i="1"/>
  <c r="T16" i="2" s="1"/>
  <c r="AW18" i="1"/>
  <c r="F659" i="1"/>
  <c r="AR22" i="1"/>
  <c r="AR653" i="1"/>
  <c r="F651" i="1"/>
  <c r="P18" i="1"/>
  <c r="F656" i="1"/>
  <c r="DJ18" i="1"/>
  <c r="P667" i="1"/>
  <c r="AS177" i="1"/>
  <c r="F528" i="1"/>
  <c r="AS624" i="1"/>
  <c r="EL22" i="1"/>
  <c r="EL653" i="1"/>
  <c r="P642" i="1"/>
  <c r="U16" i="2" s="1"/>
  <c r="U18" i="2" s="1"/>
  <c r="R18" i="1"/>
  <c r="F667" i="1"/>
  <c r="EQ22" i="1"/>
  <c r="EQ653" i="1"/>
  <c r="P632" i="1"/>
  <c r="DP18" i="1" l="1"/>
  <c r="P678" i="1"/>
  <c r="EO18" i="1"/>
  <c r="P659" i="1"/>
  <c r="EK18" i="1"/>
  <c r="P670" i="1"/>
  <c r="EL18" i="1"/>
  <c r="P671" i="1"/>
  <c r="EN18" i="1"/>
  <c r="P658" i="1"/>
  <c r="EQ18" i="1"/>
  <c r="P661" i="1"/>
  <c r="T18" i="2"/>
  <c r="X16" i="2"/>
  <c r="X18" i="2" s="1"/>
  <c r="EJ18" i="1"/>
  <c r="P680" i="1"/>
  <c r="AS22" i="1"/>
  <c r="AS653" i="1"/>
  <c r="F641" i="1"/>
  <c r="E16" i="2" s="1"/>
  <c r="AR18" i="1"/>
  <c r="F680" i="1"/>
  <c r="AS18" i="1" l="1"/>
  <c r="F670" i="1"/>
  <c r="I16" i="2"/>
  <c r="I18" i="2" s="1"/>
  <c r="E18" i="2"/>
</calcChain>
</file>

<file path=xl/sharedStrings.xml><?xml version="1.0" encoding="utf-8"?>
<sst xmlns="http://schemas.openxmlformats.org/spreadsheetml/2006/main" count="15471" uniqueCount="971">
  <si>
    <t>Smeta.RU  (495) 974-1589</t>
  </si>
  <si>
    <t>_PS_</t>
  </si>
  <si>
    <t>Smeta.RU</t>
  </si>
  <si>
    <t/>
  </si>
  <si>
    <t>Общестроительные работы ДГП №150 ф2 (ТСН-2001 (Мосгосэкспертиза))</t>
  </si>
  <si>
    <t>Трубецкая Т.И.</t>
  </si>
  <si>
    <t>инженер-сметчик</t>
  </si>
  <si>
    <t>Сатаров А.Д.</t>
  </si>
  <si>
    <t>Начальник управления</t>
  </si>
  <si>
    <t>Сметные нормы списания</t>
  </si>
  <si>
    <t>Коды ОКП для ТСН-2001 МГЭ</t>
  </si>
  <si>
    <t>ТСН 2001- Ремонт</t>
  </si>
  <si>
    <t>Типовой расчет для ТСН-2001 МГЭ (Ремонт), Доп 48</t>
  </si>
  <si>
    <t>Территориальные сметные нормативы для Москвы ТСН-2001 (МГЭ)</t>
  </si>
  <si>
    <t>Локальная смета №1</t>
  </si>
  <si>
    <t>Смета на общестроительные работы</t>
  </si>
  <si>
    <t>Новый раздел</t>
  </si>
  <si>
    <t>Наружные работы</t>
  </si>
  <si>
    <t>1</t>
  </si>
  <si>
    <t>6.68-51-4</t>
  </si>
  <si>
    <t>Разборка покрытий и оснований асфальтобетонных</t>
  </si>
  <si>
    <t>100 м3 конструкций</t>
  </si>
  <si>
    <t>ТСН-2001.6. Доп. 1-42. Сб. 68, т. 51, поз. 4</t>
  </si>
  <si>
    <t>Ремонтно-строительные работы</t>
  </si>
  <si>
    <t>ТСН-2001.6-68. 68-51...68-53</t>
  </si>
  <si>
    <t>ТСН-2001.6-68-21</t>
  </si>
  <si>
    <t>1,1</t>
  </si>
  <si>
    <t>9999990001</t>
  </si>
  <si>
    <t>Масса мусора 2,4кг/1м3</t>
  </si>
  <si>
    <t>т</t>
  </si>
  <si>
    <t>2</t>
  </si>
  <si>
    <t>3.1-52-1</t>
  </si>
  <si>
    <t>Копание ям вручную без креплений для стоек и столбов без откосов глубиной до 0,7 м группа грунтов 1-3(газон.,плодородный слой 13,16м2*0,25)</t>
  </si>
  <si>
    <t>100 м3 грунта</t>
  </si>
  <si>
    <t>ТСН-2001.3. Доп. 1-42. Сб. 1, т. 52, поз. 1</t>
  </si>
  <si>
    <t>Поправка: ТСН-2001.О.П. п.3.4. 6  Наименование: Выполняемые при ремонте и реконструкции работы аналогичные технологическим процессам, характерным для нового строительства и отсутствующим в сборниках на ремонтно-строительные работы</t>
  </si>
  <si>
    <t>)*1,25</t>
  </si>
  <si>
    <t>)*1,15</t>
  </si>
  <si>
    <t>Строительные работы</t>
  </si>
  <si>
    <t>ТСН-2001.3-1. 1-49...1-55</t>
  </si>
  <si>
    <t>ТСН-2001.3-1-15</t>
  </si>
  <si>
    <t>Поправка: ТСН-2001.О.П. п.3.4. 6</t>
  </si>
  <si>
    <t>3</t>
  </si>
  <si>
    <t>6.59-4-1</t>
  </si>
  <si>
    <t>Разборка металлических лестничных решеток, массой 1 м решетки до 60 кг (ограждение газона)</t>
  </si>
  <si>
    <t>100 м решетки</t>
  </si>
  <si>
    <t>ТСН-2001.6. Доп. 1-42. Сб. 59, т. 4, поз. 1</t>
  </si>
  <si>
    <t>ТСН-2001.6-59. 59-1...59-6, 59-7-1</t>
  </si>
  <si>
    <t>ТСН-2001.6-59-1</t>
  </si>
  <si>
    <t>3,1</t>
  </si>
  <si>
    <t>Масса мусора</t>
  </si>
  <si>
    <t>4</t>
  </si>
  <si>
    <t>3.27-42-1</t>
  </si>
  <si>
    <t>Устройство покрытий из горячих асфальтобетонных смесей толщиной 4 см комплектом машин</t>
  </si>
  <si>
    <t>100 м2 покрытия</t>
  </si>
  <si>
    <t>ТСН-2001.3. Доп. 1-42. Сб. 27, т. 42, поз. 1</t>
  </si>
  <si>
    <t>ТСН-2001.3-27. 27-42...27-46</t>
  </si>
  <si>
    <t>ТСН-2001.3-27-13</t>
  </si>
  <si>
    <t>4,1</t>
  </si>
  <si>
    <t>1.3-3-4</t>
  </si>
  <si>
    <t>Смеси асфальтобетонные дорожные горячие крупнозернистые, тип II</t>
  </si>
  <si>
    <t>ТСН-2001.1. Доп. 1-42. Р. 3, о. 3, поз. 4</t>
  </si>
  <si>
    <t>5</t>
  </si>
  <si>
    <t>3.27-43-1</t>
  </si>
  <si>
    <t>Добавляется на каждый 1 см изменения толщины слоя сверх 4 см к позиции 3.27-42-1 9см</t>
  </si>
  <si>
    <t>ТСН-2001.3. Доп. 1-42. Сб. 27, т. 43, поз. 1</t>
  </si>
  <si>
    <t>)*9</t>
  </si>
  <si>
    <t>)*9*1,25</t>
  </si>
  <si>
    <t>)*9*1,15</t>
  </si>
  <si>
    <t>5,1</t>
  </si>
  <si>
    <t>6</t>
  </si>
  <si>
    <t>3.47-26-4</t>
  </si>
  <si>
    <t>Подготовка почвы для устройства партерного и обыкновенного газонов с внесением растительной земли слоем 15 см вручную</t>
  </si>
  <si>
    <t>100 м2</t>
  </si>
  <si>
    <t>ТСН-2001.3. Доп. 1-42. Сб. 47, т. 26, поз. 4</t>
  </si>
  <si>
    <t>ТСН-2001.3-47. 47-23...47-33</t>
  </si>
  <si>
    <t>ТСН-2001.3-47-4</t>
  </si>
  <si>
    <t>6,1</t>
  </si>
  <si>
    <t>1.4-6-1</t>
  </si>
  <si>
    <t>Земля растительная</t>
  </si>
  <si>
    <t>м3</t>
  </si>
  <si>
    <t>ТСН-2001.1. Доп. 1-42. Р. 4, о. 6, поз. 1</t>
  </si>
  <si>
    <t>7</t>
  </si>
  <si>
    <t>3.47-26-6</t>
  </si>
  <si>
    <t>Посев газонов партерных, мавританских, и обыкновенных вручную</t>
  </si>
  <si>
    <t>ТСН-2001.3. Доп. 1-42. Сб. 47, т. 26, поз. 6</t>
  </si>
  <si>
    <t>7,1</t>
  </si>
  <si>
    <t>1.4-6-6</t>
  </si>
  <si>
    <t>Семена (смесь универсальная) газонных трав</t>
  </si>
  <si>
    <t>кг</t>
  </si>
  <si>
    <t>ТСН-2001.1. Доп. 1-42. Р. 4, о. 6, поз. 6</t>
  </si>
  <si>
    <t>8</t>
  </si>
  <si>
    <t>6.68-73-2</t>
  </si>
  <si>
    <t>Установка секций металлического ограждения газонов из профилированной трубы, масса секции до 10 кг</t>
  </si>
  <si>
    <t>1 м2</t>
  </si>
  <si>
    <t>ТСН-2001.6 Доп. 47, Сб. 68, т. 73, поз. 2</t>
  </si>
  <si>
    <t>ТСН-2001.6-68. 68-72, 68-73 (доп. 8)</t>
  </si>
  <si>
    <t>ТСН-2001.6-68-31</t>
  </si>
  <si>
    <t>8,1</t>
  </si>
  <si>
    <t>1.7-9-8</t>
  </si>
  <si>
    <t>Ограждение газонное из металлической профильной трубы 20х20х1,5 мм</t>
  </si>
  <si>
    <t>м2</t>
  </si>
  <si>
    <t>ТСН-2001.1. Доп. 1-42. Р. 7, о. 9, поз. 8</t>
  </si>
  <si>
    <t>9</t>
  </si>
  <si>
    <t>6.51-6-1</t>
  </si>
  <si>
    <t>Погрузка грунта вручную в автомобили-самосвалы с выгрузкой</t>
  </si>
  <si>
    <t>ТСН-2001.6. Доп. 1-42. Сб. 51, т. 6, поз. 1</t>
  </si>
  <si>
    <t>ТСН-2001.6-51. 51-6</t>
  </si>
  <si>
    <t>ТСН-2001.6-51-4</t>
  </si>
  <si>
    <t>10</t>
  </si>
  <si>
    <t>15.1-29-1</t>
  </si>
  <si>
    <t>Перевозка грунта с I по V группы на расстояние 29 км автосамосвалами грузоподъемностью до 10 т (ЮВАО)</t>
  </si>
  <si>
    <t>1 м3</t>
  </si>
  <si>
    <t>ТСН-2001.15. Доп. 1-42. Сб. 1, т. 29, поз. 1</t>
  </si>
  <si>
    <t>Транспортные затраты</t>
  </si>
  <si>
    <t>ТСН-2001.15-1. Содержание свалки</t>
  </si>
  <si>
    <t>ТСН-2001.15-1-2</t>
  </si>
  <si>
    <t>ПЗ</t>
  </si>
  <si>
    <t>Прямые затраты</t>
  </si>
  <si>
    <t>СтМатОб</t>
  </si>
  <si>
    <t>Стоимость материальных ресурсов (всего)</t>
  </si>
  <si>
    <t>СтМатОбЗак</t>
  </si>
  <si>
    <t>Стоимость материалов и оборудования заказчика</t>
  </si>
  <si>
    <t>СтМатОбПод</t>
  </si>
  <si>
    <t>Стоимость материалов и оборудования подрядчика</t>
  </si>
  <si>
    <t>СтМат</t>
  </si>
  <si>
    <t>Стоимость материалов (всего)</t>
  </si>
  <si>
    <t>СтМатЗак</t>
  </si>
  <si>
    <t>Стоимость материалов заказчика</t>
  </si>
  <si>
    <t>СтМатПод</t>
  </si>
  <si>
    <t>Стоимость материалов подрядчика</t>
  </si>
  <si>
    <t>Оборуд</t>
  </si>
  <si>
    <t>Стоимость оборудования (всего)</t>
  </si>
  <si>
    <t>ОборудЗак</t>
  </si>
  <si>
    <t>Стоимость оборудования заказчика</t>
  </si>
  <si>
    <t>ОборудПод</t>
  </si>
  <si>
    <t>Стоимость оборудования подрядчика</t>
  </si>
  <si>
    <t>ЭММ</t>
  </si>
  <si>
    <t>Эксплуатация машин</t>
  </si>
  <si>
    <t>ЭММсНРиСП</t>
  </si>
  <si>
    <t>Эксплуатация машин по ТСН-2001.16</t>
  </si>
  <si>
    <t>ЗПМ</t>
  </si>
  <si>
    <t>ЗП машинистов</t>
  </si>
  <si>
    <t>ОЗП</t>
  </si>
  <si>
    <t>Основная ЗП рабочих</t>
  </si>
  <si>
    <t>ОЗПсНРиСП</t>
  </si>
  <si>
    <t>Основная ЗП рабочих по ТСН-2001.16</t>
  </si>
  <si>
    <t>Строит</t>
  </si>
  <si>
    <t>Строительные работы с НР и СП</t>
  </si>
  <si>
    <t>Монтаж</t>
  </si>
  <si>
    <t>Монтажные работы с НР и СП</t>
  </si>
  <si>
    <t>Прочие</t>
  </si>
  <si>
    <t>Прочие работы с НР и СП</t>
  </si>
  <si>
    <t>ПрочиеЗатр</t>
  </si>
  <si>
    <t>Прочие затраты по ТСН-2001.16</t>
  </si>
  <si>
    <t>ВозврМат</t>
  </si>
  <si>
    <t>Возврат материалов</t>
  </si>
  <si>
    <t>ТрудСтр</t>
  </si>
  <si>
    <t>Трудозатраты строителей</t>
  </si>
  <si>
    <t>ТрудМаш</t>
  </si>
  <si>
    <t>Трудозатраты машинистов</t>
  </si>
  <si>
    <t>ТранспМат</t>
  </si>
  <si>
    <t>Транспорт материалов</t>
  </si>
  <si>
    <t>НР</t>
  </si>
  <si>
    <t>Накладные расходы</t>
  </si>
  <si>
    <t>СмПриб</t>
  </si>
  <si>
    <t>Сметная прибыль</t>
  </si>
  <si>
    <t>Всего</t>
  </si>
  <si>
    <t>Всего с НР и СП</t>
  </si>
  <si>
    <t>Демонтажные работы</t>
  </si>
  <si>
    <t>Новый подраздел</t>
  </si>
  <si>
    <t>Входная группа</t>
  </si>
  <si>
    <t>11</t>
  </si>
  <si>
    <t>3.9-36-1</t>
  </si>
  <si>
    <t>Монтаж конструкций дверей и люков (Демонтаж)</t>
  </si>
  <si>
    <t>1 т конструкций</t>
  </si>
  <si>
    <t>ТСН-2001.3. Доп. 1-42. Сб. 9, т. 36, поз. 1</t>
  </si>
  <si>
    <t>Поправка: ТСН-2001.6. О.П. п.23.6  Наименование: Демонтаж. Металлических конструкций (к=0,6 к стоимости вспомогательных материалов)</t>
  </si>
  <si>
    <t>)*0,6</t>
  </si>
  <si>
    <t>ТСН-2001.3-9. 9-1...9-72</t>
  </si>
  <si>
    <t>ТСН-2001.3-9-1</t>
  </si>
  <si>
    <t>Поправка: ТСН-2001.6. О.П. п.23.6</t>
  </si>
  <si>
    <t>11,1</t>
  </si>
  <si>
    <t>12</t>
  </si>
  <si>
    <t>6.56-38-3</t>
  </si>
  <si>
    <t>Разборка деревянных заполнений проемов дверных, воротных 1,02*2,2*1шт=2,24м2</t>
  </si>
  <si>
    <t>ТСН-2001.6. Доп. 1-42. Сб. 56, т. 38, поз. 3</t>
  </si>
  <si>
    <t>ТСН-2001.6-56. 56-38</t>
  </si>
  <si>
    <t>ТСН-2001.6-56-10</t>
  </si>
  <si>
    <t>12,1</t>
  </si>
  <si>
    <t>13</t>
  </si>
  <si>
    <t>6.52-1-3</t>
  </si>
  <si>
    <t>Разборка фундаментов железобетонных (ограждение крыльца)</t>
  </si>
  <si>
    <t>ТСН-2001.6. Доп. 1-42. Сб. 52, т. 1, поз. 3</t>
  </si>
  <si>
    <t>ТСН-2001.6-52. 52-1</t>
  </si>
  <si>
    <t>ТСН-2001.6-52-1</t>
  </si>
  <si>
    <t>13,1</t>
  </si>
  <si>
    <t>14</t>
  </si>
  <si>
    <t>3.8-8-3</t>
  </si>
  <si>
    <t>Установка металлических решеток приямков (грязезащитная)</t>
  </si>
  <si>
    <t>1 т металлических изделий</t>
  </si>
  <si>
    <t>ТСН-2001.3 Доп. 47, Сб. 8, т. 8, поз. 3</t>
  </si>
  <si>
    <t>ТСН-2001.3-8. 8-3...8-19</t>
  </si>
  <si>
    <t>ТСН-2001.3-8-3</t>
  </si>
  <si>
    <t>14,1</t>
  </si>
  <si>
    <t>Монтажные работы</t>
  </si>
  <si>
    <t>15</t>
  </si>
  <si>
    <t>3.11-10-1</t>
  </si>
  <si>
    <t>Устройство стяжек цементных толщиной 20 мм</t>
  </si>
  <si>
    <t>100 м2 стяжки</t>
  </si>
  <si>
    <t>ТСН-2001.3. Доп. 1-42. Сб. 11, т. 10, поз. 1</t>
  </si>
  <si>
    <t>ТСН-2001.3-11. 11-4...11-11 (доп. 11)</t>
  </si>
  <si>
    <t>ТСН-2001.3-11-2</t>
  </si>
  <si>
    <t>15,1</t>
  </si>
  <si>
    <t>1.3-2-6</t>
  </si>
  <si>
    <t>Растворы цементные, марка 150</t>
  </si>
  <si>
    <t>ТСН-2001.1. Доп. 1-42. Р. 3, о. 2, поз. 6</t>
  </si>
  <si>
    <t>16</t>
  </si>
  <si>
    <t>3.11-18-1</t>
  </si>
  <si>
    <t>Устройство покрытий на цементном растворе из плиток бетонных, цементных или мозаичных</t>
  </si>
  <si>
    <t>ТСН-2001.3. Доп. 1-42. Сб. 11, т. 18, поз. 1</t>
  </si>
  <si>
    <t>ТСН-2001.3-11. 11-13...11-35 (доп. 11)</t>
  </si>
  <si>
    <t>ТСН-2001.3-11-4</t>
  </si>
  <si>
    <t>16,1</t>
  </si>
  <si>
    <t>1.5-1-192</t>
  </si>
  <si>
    <t>Плиты бетонные тротуарные, толщина 70 мм, цвет серый</t>
  </si>
  <si>
    <t>ТСН-2001.1. Доп. 1-42. Р. 5, о. 1, поз. 192</t>
  </si>
  <si>
    <t>17</t>
  </si>
  <si>
    <t>3.11-36-1</t>
  </si>
  <si>
    <t>Устройство полов из керамических крупноразмерных плиток типа керамогранит на клее из сухих смесей толщиной слоя 4 мм с затиркой швов</t>
  </si>
  <si>
    <t>100 м2 пола</t>
  </si>
  <si>
    <t>ТСН-2001.3. Доп. 1-42. Сб. 11, т. 36, поз. 1</t>
  </si>
  <si>
    <t>ТСН-2001.3-11. 11-36</t>
  </si>
  <si>
    <t>ТСН-2001.3-11-5</t>
  </si>
  <si>
    <t>17,1</t>
  </si>
  <si>
    <t>1.3-2-138</t>
  </si>
  <si>
    <t>Смеси сухие для заполнения швов между плитками, цветные</t>
  </si>
  <si>
    <t>ТСН-2001.1. Доп. 1-42. Р. 3, о. 2, поз. 138</t>
  </si>
  <si>
    <t>17,2</t>
  </si>
  <si>
    <t>1.3-2-168</t>
  </si>
  <si>
    <t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t>
  </si>
  <si>
    <t>ТСН-2001.1. Доп. 1-42. Р. 3, о. 2, поз. 168</t>
  </si>
  <si>
    <t>17,3</t>
  </si>
  <si>
    <t>1.1-1-2398</t>
  </si>
  <si>
    <t>Плитки керамические, типа керамогранит, неполированные, размер 30х30 см, толщина 8 мм, цвет: светло-серый, серый, светло-зеленый, бежевый</t>
  </si>
  <si>
    <t>ТСН-2001.1. Доп. 1-42. Р. 1, о. 1, поз. 2398</t>
  </si>
  <si>
    <t>18</t>
  </si>
  <si>
    <t>3.7-60-4</t>
  </si>
  <si>
    <t>Установка металлических ограждений без поручня</t>
  </si>
  <si>
    <t>100 м ограждений</t>
  </si>
  <si>
    <t>ТСН-2001.3. Доп. 1-42. Сб. 7, т. 60, поз. 4</t>
  </si>
  <si>
    <t>ТСН-2001.3-7. 7-54-4...7-54-12, 7-55...7-63</t>
  </si>
  <si>
    <t>ТСН-2001.3-7-7</t>
  </si>
  <si>
    <t>18,1</t>
  </si>
  <si>
    <t>1.1-1-1328</t>
  </si>
  <si>
    <t>Цемент общестроительный, портландцемент общего назначения, марка 300</t>
  </si>
  <si>
    <t>ТСН-2001.1. Доп. 1-42. Р. 1, о. 1, поз. 1328</t>
  </si>
  <si>
    <t>18,2</t>
  </si>
  <si>
    <t>цена поставщика</t>
  </si>
  <si>
    <t>Ограждение пандуса из нержавеющей</t>
  </si>
  <si>
    <t>ПМ</t>
  </si>
  <si>
    <t>[4 300 / 1,18 /  5,23] +  2% Заг.скл</t>
  </si>
  <si>
    <t>18,3</t>
  </si>
  <si>
    <t>Ограждения из нержавеющей стали лестниц</t>
  </si>
  <si>
    <t>[4 200 / 1,18 /  5,23] +  2% Заг.скл</t>
  </si>
  <si>
    <t>19</t>
  </si>
  <si>
    <t>3.15-57-1</t>
  </si>
  <si>
    <t>Штукатурка поверхностей оконных и дверных откосов по бетону и камню плоских 5,4*0,15=0,81м2+1,24*0,4=5,3м2</t>
  </si>
  <si>
    <t>100 м2 оштукатуриваемой поверхности</t>
  </si>
  <si>
    <t>ТСН-2001.3. Доп. 1-42. Сб. 15, т. 57, поз. 1</t>
  </si>
  <si>
    <t>ТСН-2001.3-15. 15-51...15-81</t>
  </si>
  <si>
    <t>ТСН-2001.3-15-7</t>
  </si>
  <si>
    <t>19,1</t>
  </si>
  <si>
    <t>1.1-1-118</t>
  </si>
  <si>
    <t>Вода</t>
  </si>
  <si>
    <t>ТСН-2001.1. Доп. 1-42. Р. 1, о. 1, поз. 118</t>
  </si>
  <si>
    <t>19,2</t>
  </si>
  <si>
    <t>1.3-2-26</t>
  </si>
  <si>
    <t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t>
  </si>
  <si>
    <t>ТСН-2001.1. Доп. 1-42. Р. 3, о. 2, поз. 26</t>
  </si>
  <si>
    <t>19,3</t>
  </si>
  <si>
    <t>1.3-2-11</t>
  </si>
  <si>
    <t>Растворы цементно-известковые, марка 25</t>
  </si>
  <si>
    <t>ТСН-2001.1. Доп. 1-42. Р. 3, о. 2, поз. 11</t>
  </si>
  <si>
    <t>20</t>
  </si>
  <si>
    <t>3.15-96-3</t>
  </si>
  <si>
    <t>Улучшенная окраска поливинилацетатными водоэмульсионными составами по штукатурке стен</t>
  </si>
  <si>
    <t>100 м2 окрашиваемой поверхности</t>
  </si>
  <si>
    <t>ТСН-2001.3. Доп. 1-42. Сб. 15, т. 96, поз. 3</t>
  </si>
  <si>
    <t>ТСН-2001.3-15. 15-91-3, 15-91-4, 15-92...15-115</t>
  </si>
  <si>
    <t>ТСН-2001.3-15-9</t>
  </si>
  <si>
    <t>20,1</t>
  </si>
  <si>
    <t>1.1-1-1487</t>
  </si>
  <si>
    <t>Шпатлевка масляно-клеевая универсальная</t>
  </si>
  <si>
    <t>ТСН-2001.1. Доп. 1-42. Р. 1, о. 1, поз. 1487</t>
  </si>
  <si>
    <t>20,2</t>
  </si>
  <si>
    <t>1.1-1-438</t>
  </si>
  <si>
    <t>Краски водно-дисперсионные поливинилацетатные, белые, марка ВД-ВА-17</t>
  </si>
  <si>
    <t>ТСН-2001.1. Доп. 1-42. Р. 1, о. 1, поз. 438</t>
  </si>
  <si>
    <t>21</t>
  </si>
  <si>
    <t>Монтаж конструкций дверей и люков</t>
  </si>
  <si>
    <t>21,1</t>
  </si>
  <si>
    <t>1.7-2-261</t>
  </si>
  <si>
    <t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t>
  </si>
  <si>
    <t>шт.</t>
  </si>
  <si>
    <t>ТСН-2001.1. Доп. 1-42. Р. 7, о. 2, поз. 261</t>
  </si>
  <si>
    <t>21,2</t>
  </si>
  <si>
    <t>1.7-2-264</t>
  </si>
  <si>
    <t>Фрамуги наддверные металлические противопожарные, с заполнением минеральной ватой, окрашенные порошковыми красками, ФПМ 04-10, размеры 984х371 мм (0,6*0,9)</t>
  </si>
  <si>
    <t>ТСН-2001.1. Доп. 1-42. Р. 7, о. 2, поз. 264</t>
  </si>
  <si>
    <t>22</t>
  </si>
  <si>
    <t>3.9-74-1</t>
  </si>
  <si>
    <t>Установка противопожарных металлических однопольных дверных блоков</t>
  </si>
  <si>
    <t>10 шт.</t>
  </si>
  <si>
    <t>ТСН-2001.3 Доп. 47, Сб. 9, т. 74, поз. 1</t>
  </si>
  <si>
    <t>ТСН-2001.3-9. 9-74 (доп. 22)</t>
  </si>
  <si>
    <t>ТСН-2001.3-9-3</t>
  </si>
  <si>
    <t>22,1</t>
  </si>
  <si>
    <t>22,2</t>
  </si>
  <si>
    <t>23</t>
  </si>
  <si>
    <t>3.10-82-1</t>
  </si>
  <si>
    <t>Установка дверного доводчика к металлическим дверям</t>
  </si>
  <si>
    <t>1  ШТ.</t>
  </si>
  <si>
    <t>ТСН-2001.3 Доп. 44, Сб. 10, т. 82, поз. 1</t>
  </si>
  <si>
    <t>)*1,25)</t>
  </si>
  <si>
    <t>)*1,15)</t>
  </si>
  <si>
    <t>ТСН-2001.3-10. 10-82</t>
  </si>
  <si>
    <t>ТСН-2001.3-10-7</t>
  </si>
  <si>
    <t>23,1</t>
  </si>
  <si>
    <t>1.8-1-83</t>
  </si>
  <si>
    <t>Доводчик дверной типа «ДОРМА» TS/83, масса двери до 150 кг</t>
  </si>
  <si>
    <t>КОМПЛЕКТ</t>
  </si>
  <si>
    <t>ТСН-2001.1 Доп. 44, Р. 8, о. 1, поз. 83</t>
  </si>
  <si>
    <t>Обеспечение доступа МГН</t>
  </si>
  <si>
    <t>24</t>
  </si>
  <si>
    <t>3.11-47-1</t>
  </si>
  <si>
    <t>Укладка тактильных плиток (указателей) поливинилхлоридных размером 300х300х4 мм на клее</t>
  </si>
  <si>
    <t>ТСН-2001.3. Доп. 1-42. Сб. 11, т. 47, поз. 1</t>
  </si>
  <si>
    <t>ТСН-2001.3-11. 11-47 (доп. 22)</t>
  </si>
  <si>
    <t>ТСН-2001.3-11-18</t>
  </si>
  <si>
    <t>24,1</t>
  </si>
  <si>
    <t>1.1-1-3574</t>
  </si>
  <si>
    <t>Плитка тактильная поливинилхлоридная, размеры 300х300х4 мм</t>
  </si>
  <si>
    <t>ТСН-2001.1. Доп. 1-42. Р. 1, о. 1, поз. 3574</t>
  </si>
  <si>
    <t>25</t>
  </si>
  <si>
    <t>3.47-76-4</t>
  </si>
  <si>
    <t>Укладка наземных тактильных плит (указателей) на слой сухой цементно-песчаной смеси вручную, плитка размером 500х500х100 (80) мм</t>
  </si>
  <si>
    <t>ТСН-2001.3 Доп. 47, Сб. 47, т. 76, поз. 4</t>
  </si>
  <si>
    <t>ТСН-2001.3-47. 47-76 (доп. 21)</t>
  </si>
  <si>
    <t>ТСН-2001.3-47-19</t>
  </si>
  <si>
    <t>25,1</t>
  </si>
  <si>
    <t>1.3-2-163</t>
  </si>
  <si>
    <t>Смеси сухие цементно-песчаные, универсальные для общестроительных и штукатурных работ, марка М-150</t>
  </si>
  <si>
    <t>ТСН-2001.1. Доп. 1-42. Р. 3, о. 2, поз. 163</t>
  </si>
  <si>
    <t>25,2</t>
  </si>
  <si>
    <t>1.5-3-492</t>
  </si>
  <si>
    <t>Плиты бетонные тротуарные тактильные, толщина 80 мм, цвет серый</t>
  </si>
  <si>
    <t>ТСН-2001.1. Доп. 1-42. Р. 5, о. 3, поз. 492</t>
  </si>
  <si>
    <t>26</t>
  </si>
  <si>
    <t>3.11-27-1</t>
  </si>
  <si>
    <t>Покрытие полов мягкими коврами по готовому основанию без галтелей или плинтусов на клей "Бустилат" (лента противоскользящаям 0,025*3,4м)</t>
  </si>
  <si>
    <t>ТСН-2001.3. Доп. 1-42. Сб. 11, т. 27, поз. 1</t>
  </si>
  <si>
    <t>26,1</t>
  </si>
  <si>
    <t>Цветная нескользящая лента Л-25, светонакопительная. 25мм</t>
  </si>
  <si>
    <t>м</t>
  </si>
  <si>
    <t>[123 / 1,18 /  5,23] +  2% Заг.скл</t>
  </si>
  <si>
    <t>26,2</t>
  </si>
  <si>
    <t>1.1-1-389</t>
  </si>
  <si>
    <t>Клей дисперсный, "АДМ-К"</t>
  </si>
  <si>
    <t>ТСН-2001.1. Доп. 1-42. Р. 1, о. 1, поз. 389</t>
  </si>
  <si>
    <t>27</t>
  </si>
  <si>
    <t>3.9-65-1</t>
  </si>
  <si>
    <t>Установка номерных табличек для квартир</t>
  </si>
  <si>
    <t>ТСН-2001.3. Доп. 1-42. Сб. 9, т. 65, поз. 1</t>
  </si>
  <si>
    <t>27,1</t>
  </si>
  <si>
    <t>Цена поставщика</t>
  </si>
  <si>
    <t>Таблички с шрифтом Брайля 270х50</t>
  </si>
  <si>
    <t>[425 / 1,18 /  5,23] +  2% Заг.скл</t>
  </si>
  <si>
    <t>27,2</t>
  </si>
  <si>
    <t>Пиктограмма СП-11 Направление движения, поворот. 200 x 200мм</t>
  </si>
  <si>
    <t>[952 / 1,18 /  5,23] +  2% Заг.скл</t>
  </si>
  <si>
    <t>27,3</t>
  </si>
  <si>
    <t>Маяк световой для дверных проемов (пара). 150 x 290 x 40мм</t>
  </si>
  <si>
    <t>пара</t>
  </si>
  <si>
    <t>[1 420 / 1,18 /  5,23] +  2% Заг.скл</t>
  </si>
  <si>
    <t>Конструктивные решения</t>
  </si>
  <si>
    <t>28</t>
  </si>
  <si>
    <t>3.27-12-1</t>
  </si>
  <si>
    <t>Устройство подстилающих и выравнивающих слоев оснований из песка</t>
  </si>
  <si>
    <t>100 м3 материала основания (в плотном теле)</t>
  </si>
  <si>
    <t>ТСН-2001.3. Доп. 1-42. Сб. 27, т. 12, поз. 1</t>
  </si>
  <si>
    <t>ТСН-2001.3-27. 27-1...27-21</t>
  </si>
  <si>
    <t>ТСН-2001.3-27-1</t>
  </si>
  <si>
    <t>28,1</t>
  </si>
  <si>
    <t>1.1-1-766</t>
  </si>
  <si>
    <t>Песок для строительных работ, рядовой</t>
  </si>
  <si>
    <t>ТСН-2001.1. Доп. 1-42. Р. 1, о. 1, поз. 766</t>
  </si>
  <si>
    <t>29</t>
  </si>
  <si>
    <t>3.6-1-1</t>
  </si>
  <si>
    <t>Устройство бетонной подготовки</t>
  </si>
  <si>
    <t>100 м3 в деле</t>
  </si>
  <si>
    <t>ТСН-2001.3 Доп. 47, Сб. 6, т. 1, поз. 1</t>
  </si>
  <si>
    <t>ТСН-2001.3-6. 6-1...6-13</t>
  </si>
  <si>
    <t>ТСН-2001.3-6-1</t>
  </si>
  <si>
    <t>29,1</t>
  </si>
  <si>
    <t>1.3-1-64</t>
  </si>
  <si>
    <t>Смеси бетонные, БСГ, песчаного бетона, класс прочности В7,5 (М100); П1, F50, W2</t>
  </si>
  <si>
    <t>ТСН-2001.1. Доп. 1-42. Р. 3, о. 1, поз. 64</t>
  </si>
  <si>
    <t>30</t>
  </si>
  <si>
    <t>3.6-1-15</t>
  </si>
  <si>
    <t>Устройство фундаментных плит железобетонных плоских</t>
  </si>
  <si>
    <t>ТСН-2001.3 Доп. 47, Сб. 6, т. 1, поз. 15</t>
  </si>
  <si>
    <t>30,1</t>
  </si>
  <si>
    <t>1.3-4-20</t>
  </si>
  <si>
    <t>Арматурные заготовки (стержни, хомуты и т.п.), не собранные в каркасы или сетки, арматурная сталь периодического профиля, класс А-III, диаметр 8 мм</t>
  </si>
  <si>
    <t>ТСН-2001.1. Доп. 1-42. Р. 3, о. 4, поз. 20</t>
  </si>
  <si>
    <t>30,2</t>
  </si>
  <si>
    <t>1.3-4-22</t>
  </si>
  <si>
    <t>Арматурные заготовки (стержни, хомуты и т.п.), не собранные в каркасы или сетки, арматурная сталь периодического профиля, класс А-III, диаметр 12-14 мм</t>
  </si>
  <si>
    <t>ТСН-2001.1. Доп. 1-42. Р. 3, о. 4, поз. 22</t>
  </si>
  <si>
    <t>30,3</t>
  </si>
  <si>
    <t>1.3-1-39</t>
  </si>
  <si>
    <t>Смеси бетонные, БСГ, тяжелого бетона на гранитном щебне, класс прочности В20 (М250); П3, фракция 5-20, F100, W2</t>
  </si>
  <si>
    <t>ТСН-2001.1. Доп. 1-42. Р. 3, о. 1, поз. 39</t>
  </si>
  <si>
    <t>31</t>
  </si>
  <si>
    <t>3.9-20-1</t>
  </si>
  <si>
    <t>Монтаж площадок с настилом и ограждением из листовой, рифленой, просечной и круглой стали</t>
  </si>
  <si>
    <t>ТСН-2001.3. Доп. 1-42. Сб. 9, т. 20, поз. 1</t>
  </si>
  <si>
    <t>31,1</t>
  </si>
  <si>
    <t>1.1-1-60</t>
  </si>
  <si>
    <t>Болты строительные с гайками с шестигранной головкой, диаметр резьбы 6 мм</t>
  </si>
  <si>
    <t>ТСН-2001.1. Доп. 1-42. Р. 1, о. 1, поз. 60</t>
  </si>
  <si>
    <t>31,2</t>
  </si>
  <si>
    <t>1.1-1-2284</t>
  </si>
  <si>
    <t>Профили стальные электросварные квадратного сечения трубчатые, размер стороны 60 мм, толщина стенки 3 мм</t>
  </si>
  <si>
    <t>ТСН-2001.1. Доп. 1-42. Р. 1, о. 1, поз. 2284</t>
  </si>
  <si>
    <t>31,3</t>
  </si>
  <si>
    <t>1.1-1-1112</t>
  </si>
  <si>
    <t>Сталь угловая равнополочная общего назначения, марка Ст0, ширина полки более 70 мм</t>
  </si>
  <si>
    <t>ТСН-2001.1 Доп. 48, Р. 1, о. 1, поз. 1112</t>
  </si>
  <si>
    <t>31,4</t>
  </si>
  <si>
    <t>1.1-1-1104</t>
  </si>
  <si>
    <t>Сталь толстолистовая, толщина более 4 мм, общего назначения, марка Ст1сп-Ст6сп</t>
  </si>
  <si>
    <t>ТСН-2001.1 Доп. 48, Р. 1, о. 1, поз. 1104</t>
  </si>
  <si>
    <t>31,5</t>
  </si>
  <si>
    <t>1.6-1-216</t>
  </si>
  <si>
    <t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t>
  </si>
  <si>
    <t>ТСН-2001.1. Доп. 1-42. Р. 6, о. 1, поз. 216</t>
  </si>
  <si>
    <t>Сети связи</t>
  </si>
  <si>
    <t>32</t>
  </si>
  <si>
    <t>4.10-69-5</t>
  </si>
  <si>
    <t>Аппаратура настенного типа, звонок ( МР-413W8)</t>
  </si>
  <si>
    <t>ТСН-2001.4. Доп. 1-42. Сб. 10, т. 69, поз. 5</t>
  </si>
  <si>
    <t>Монтаж оборудования</t>
  </si>
  <si>
    <t>ТСН-2001.4-10. 10-1...10-91</t>
  </si>
  <si>
    <t>ТСН-2001.4-10-1</t>
  </si>
  <si>
    <t>33</t>
  </si>
  <si>
    <t>4.10-76-7</t>
  </si>
  <si>
    <t>Громкоговоритель или звуковая колонка в помещении( МР-821W1)</t>
  </si>
  <si>
    <t>ТСН-2001.4. Доп. 1-42. Сб. 10, т. 76, поз. 7</t>
  </si>
  <si>
    <t>34</t>
  </si>
  <si>
    <t>4.8-245-10</t>
  </si>
  <si>
    <t>Светильники для ламп накаливания, световые настенные указатели (Gc-0611W2)</t>
  </si>
  <si>
    <t>100 шт.</t>
  </si>
  <si>
    <t>ТСН-2001.4. Доп. 1-42. Сб. 8, т. 245, поз. 10</t>
  </si>
  <si>
    <t>ТСН-2001.4-8. 8-188...8-272</t>
  </si>
  <si>
    <t>ТСН-2001.4-8-18</t>
  </si>
  <si>
    <t>35</t>
  </si>
  <si>
    <t>4.11-3-1</t>
  </si>
  <si>
    <t>Приборы, устанавливаемые на металлоконструкциях или щитах, масса приборов до 5 кг (Привод 3)</t>
  </si>
  <si>
    <t>ТСН-2001.4. Доп. 1-42. Сб. 11, т. 3, поз. 1</t>
  </si>
  <si>
    <t>ТСН-2001.4-11. 11-1...11-30</t>
  </si>
  <si>
    <t>ТСН-2001.4-11-1</t>
  </si>
  <si>
    <t>36</t>
  </si>
  <si>
    <t>4.10-32-1</t>
  </si>
  <si>
    <t>Стойка, полустойка, каркас стойки или шкаф, масса до 100 кг</t>
  </si>
  <si>
    <t>ТСН-2001.4. Доп. 1-42. Сб. 10, т. 32, поз. 1</t>
  </si>
  <si>
    <t>36,1</t>
  </si>
  <si>
    <t>Штольц 150*250 тр.60*30 стойка</t>
  </si>
  <si>
    <t>[7 676 / 1,18 /  5,23] +  2% Заг.скл</t>
  </si>
  <si>
    <t>37</t>
  </si>
  <si>
    <t>4.8-288-1</t>
  </si>
  <si>
    <t>Трубы гофрированные поливинилхлоридные наружным диаметром 16 мм открыто по стенам и потолкам с установкой соединительных коробок</t>
  </si>
  <si>
    <t>100 м</t>
  </si>
  <si>
    <t>ТСН-2001.4. Доп. 1-42. Сб. 8, т. 288, поз. 1</t>
  </si>
  <si>
    <t>ТСН-2001.4-8. 8-288 (доп. 19)</t>
  </si>
  <si>
    <t>ТСН-2001.4-8-27</t>
  </si>
  <si>
    <t>37,1</t>
  </si>
  <si>
    <t>1.12-5-371</t>
  </si>
  <si>
    <t>Трубы электротехнические гофрированные, поливинилхлоридные, негорючие, с зондом, наружный диаметр 16 мм</t>
  </si>
  <si>
    <t>ТСН-2001.1. Доп. 1-42. Р. 12, о. 5, поз. 371</t>
  </si>
  <si>
    <t>37,2</t>
  </si>
  <si>
    <t>1.21-5-1135</t>
  </si>
  <si>
    <t>Держатели пластиковые с защелкой для крепления труб, рукавов и гибких вводов диаметром 16 мм</t>
  </si>
  <si>
    <t>ТСН-2001.1. Доп. 1-42. Р. 21, о. 5, поз. 1135</t>
  </si>
  <si>
    <t>38</t>
  </si>
  <si>
    <t>4.8-175-1</t>
  </si>
  <si>
    <t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2,5 мм2</t>
  </si>
  <si>
    <t>ТСН-2001.4. Доп. 1-42. Сб. 8, т. 175, поз. 1</t>
  </si>
  <si>
    <t>ТСН-2001.4-8. 8-155...8-184</t>
  </si>
  <si>
    <t>ТСН-2001.4-8-16</t>
  </si>
  <si>
    <t>38,1</t>
  </si>
  <si>
    <t>КПВСВнг(А)-FRLSLTx 2х2х0,5</t>
  </si>
  <si>
    <t>км</t>
  </si>
  <si>
    <t>ТСН-2001.1 Доп. 46, Р. 23, о. 8, поз. 389</t>
  </si>
  <si>
    <t>[94 280 / 1,18 /  5,23] +  2% Заг.скл</t>
  </si>
  <si>
    <t>1.23-8-389</t>
  </si>
  <si>
    <t>39</t>
  </si>
  <si>
    <t>4.8-175-9</t>
  </si>
  <si>
    <t>Затягивание проводов и кабелей в проложенные трубы и металлические рукава, провод каждый последующий одножильный или многожильный в общей оплетке, суммарное сечение до 6 мм2</t>
  </si>
  <si>
    <t>ТСН-2001.4. Доп. 1-42. Сб. 8, т. 175, поз. 9</t>
  </si>
  <si>
    <t>39,1</t>
  </si>
  <si>
    <t>1.23-8-415</t>
  </si>
  <si>
    <t>Кабели силовые с медными жилами, напряжение 1000 В, марка ВВГнг(А)-LS, число жил и сечение 3х1,5 мм2</t>
  </si>
  <si>
    <t>ТСН-2001.1 Доп. 46, Р. 23, о. 8, поз. 415</t>
  </si>
  <si>
    <t>39,2</t>
  </si>
  <si>
    <t>Электромонтажные работы</t>
  </si>
  <si>
    <t>40</t>
  </si>
  <si>
    <t>4.8-280-1</t>
  </si>
  <si>
    <t>Прокладка пластикового кабель-канала по кирпичному основанию 15шт*2м</t>
  </si>
  <si>
    <t>ТСН-2001.4. Доп. 1-42. Сб. 8, т. 280, поз. 1</t>
  </si>
  <si>
    <t>ТСН-2001.4-8. 8-280, 8-281</t>
  </si>
  <si>
    <t>ТСН-2001.4-8-20</t>
  </si>
  <si>
    <t>40,1</t>
  </si>
  <si>
    <t>1.1-1-2828</t>
  </si>
  <si>
    <t>Кабель-каналы, размер 16х16 мм, короба с направляющими</t>
  </si>
  <si>
    <t>ТСН-2001.1. Доп. 1-42. Р. 1, о. 1, поз. 2828</t>
  </si>
  <si>
    <t>40,2</t>
  </si>
  <si>
    <t>1.21-5-696</t>
  </si>
  <si>
    <t>Коробки для протяжки проводов, тип У-409</t>
  </si>
  <si>
    <t>ТСН-2001.1. Доп. 1-42. Р. 21, о. 5, поз. 696</t>
  </si>
  <si>
    <t>41</t>
  </si>
  <si>
    <t>4.8-162-1</t>
  </si>
  <si>
    <t>Провода и кабели в коробах, провод, сечением до 6 мм2</t>
  </si>
  <si>
    <t>ТСН-2001.4. Доп. 1-42. Сб. 8, т. 162, поз. 1</t>
  </si>
  <si>
    <t>41,1</t>
  </si>
  <si>
    <t>Кабели силовые с медными жилами, напряжение 660 В, марка ВВГнг(А)-LS, число жил и сечение 3х1,5 мм2</t>
  </si>
  <si>
    <t>41,2</t>
  </si>
  <si>
    <t>1.23-8-625</t>
  </si>
  <si>
    <t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t>
  </si>
  <si>
    <t>ТСН-2001.1. Доп. 1-42. Р. 23, о. 8, поз. 625</t>
  </si>
  <si>
    <t>42</t>
  </si>
  <si>
    <t>4.8-243-2</t>
  </si>
  <si>
    <t>Выключатель одноклавишный утопленного типа при скрытой проводке</t>
  </si>
  <si>
    <t>ТСН-2001.4. Доп. 1-42. Сб. 8, т. 243, поз. 2</t>
  </si>
  <si>
    <t>42,1</t>
  </si>
  <si>
    <t>1.21-5-1266</t>
  </si>
  <si>
    <t>Выключатели скрытой установки, серия "Селена", напряжение 250 В, номинальный ток 10 А, типа С110-395, одноклавишный, со светоиндикацией (16А,220В,ip20)</t>
  </si>
  <si>
    <t>ТСН-2001.1. Доп. 1-42. Р. 21, о. 5, поз. 1266</t>
  </si>
  <si>
    <t>42,2</t>
  </si>
  <si>
    <t>1.21-5-192</t>
  </si>
  <si>
    <t>Коробки для установки выключателей, переключателей и штепсельных розеток при скрытой электропроводке, тип КУВ-1М УХЛЗ</t>
  </si>
  <si>
    <t>1000 шт.</t>
  </si>
  <si>
    <t>ТСН-2001.1. Доп. 1-42. Р. 21, о. 5, поз. 192</t>
  </si>
  <si>
    <t>43</t>
  </si>
  <si>
    <t>4.8-246-2</t>
  </si>
  <si>
    <t>Светильники с люминесцентными лампами, светильник отдельно устанавливаемый на штырях с количеством ламп в светильнике 2</t>
  </si>
  <si>
    <t>ТСН-2001.4. Доп. 1-42. Сб. 8, т. 246, поз. 2</t>
  </si>
  <si>
    <t>43,1</t>
  </si>
  <si>
    <t>1.22-1-106</t>
  </si>
  <si>
    <t>Светильники с лампами накаливания, потолочные, степень защиты IP40, с опаловым рассеивателем, артикул RKL 2х60</t>
  </si>
  <si>
    <t>ТСН-2001.1. Доп. 1-42. Р. 22, о. 1, поз. 106</t>
  </si>
  <si>
    <t>44</t>
  </si>
  <si>
    <t>4.8-246-3</t>
  </si>
  <si>
    <t>Светильники с люминесцентными лампами, светильник отдельно устанавливаемый на штырях с количеством ламп в светильнике до 4</t>
  </si>
  <si>
    <t>ТСН-2001.4. Доп. 1-42. Сб. 8, т. 246, поз. 3</t>
  </si>
  <si>
    <t>44,1</t>
  </si>
  <si>
    <t>1.22-3-203</t>
  </si>
  <si>
    <t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t>
  </si>
  <si>
    <t>ТСН-2001.1 Доп. 46, Р. 22, о. 3, поз. 203</t>
  </si>
  <si>
    <t>44,2</t>
  </si>
  <si>
    <t>1.21-5-1007</t>
  </si>
  <si>
    <t>Фотовыключатели, тип ФР-7Н УХЛ, фотореле</t>
  </si>
  <si>
    <t>ТСН-2001.1. Доп. 1-42. Р. 21, о. 5, поз. 1007</t>
  </si>
  <si>
    <t>Оборудование</t>
  </si>
  <si>
    <t>45</t>
  </si>
  <si>
    <t>цена поставщиеп</t>
  </si>
  <si>
    <t>Тактильно-звуковая мнемосхема для помещения</t>
  </si>
  <si>
    <t>Сметная стоимость оборудования</t>
  </si>
  <si>
    <t>ТСН-2001.13-1.</t>
  </si>
  <si>
    <t>ТСН-2001.13-1-1</t>
  </si>
  <si>
    <t>[218 400 / 1,18 /  4,17] +  3% Трансп +  1,2% Заг.скл</t>
  </si>
  <si>
    <t>46</t>
  </si>
  <si>
    <t>GC-0611W2 Сигнальная лампа</t>
  </si>
  <si>
    <t>[2 189 / 1,18 /  4,17] +  3% Трансп +  1,2% Заг.скл</t>
  </si>
  <si>
    <t>47</t>
  </si>
  <si>
    <t>MP-413W8 Влагозащищенная радиокнопка вызова</t>
  </si>
  <si>
    <t>[2 928 / 1,18 /  4,17] +  3% Трансп +  1,2% Заг.скл</t>
  </si>
  <si>
    <t>48</t>
  </si>
  <si>
    <t>MP-821W1 приемник</t>
  </si>
  <si>
    <t>[3 549,56 / 1,18 /  4,17] +  3% Трансп +  1,2% Заг.скл</t>
  </si>
  <si>
    <t>49</t>
  </si>
  <si>
    <t>Свето-звуковой маяк "Привод-3", датчик температуры, пульт управления, активация по датчику движения, радиомодуль</t>
  </si>
  <si>
    <t>[50 414 / 1,18 /  4,17] +  3% Трансп +  1,2% Заг.скл</t>
  </si>
  <si>
    <t>Прочие работы</t>
  </si>
  <si>
    <t>50</t>
  </si>
  <si>
    <t>6.68-13-1</t>
  </si>
  <si>
    <t>Механизированная погрузка строительного мусора в автомобили-самосвалы</t>
  </si>
  <si>
    <t>1 Т</t>
  </si>
  <si>
    <t>ТСН-2001.6. Доп. 1-42. Сб. 68, т. 13, поз. 1</t>
  </si>
  <si>
    <t>ТСН-2001.6-68. 68-13</t>
  </si>
  <si>
    <t>ТСН-2001.6-68-5</t>
  </si>
  <si>
    <t>51</t>
  </si>
  <si>
    <t>15.1-26-10</t>
  </si>
  <si>
    <t>Перевозка строительного мусора на расстояние 26 км автосамосвалами грузоподъемностью до 10 т (ЮВАО)</t>
  </si>
  <si>
    <t>ТСН-2001.15. Доп. 1-42. Сб. 1, т. 26, поз. 10</t>
  </si>
  <si>
    <t>52</t>
  </si>
  <si>
    <t>15.1-0-1</t>
  </si>
  <si>
    <t>Размещение строительного мусора</t>
  </si>
  <si>
    <t>ТСН-2001.15 Доп. 44, Сб. 1, т. 0, поз. 1</t>
  </si>
  <si>
    <t>( Возврат материалов: Цена согласовываемая Вид лом 12А 0.348т х 9520 руб..)</t>
  </si>
  <si>
    <t>Уровень цен</t>
  </si>
  <si>
    <t>Текущий уровень цен</t>
  </si>
  <si>
    <t>Сборник индексов</t>
  </si>
  <si>
    <t>ТСН-2001 ремонт</t>
  </si>
  <si>
    <t>139</t>
  </si>
  <si>
    <t>_OBSM_</t>
  </si>
  <si>
    <t>9999990008</t>
  </si>
  <si>
    <t>Трудозатраты рабочих</t>
  </si>
  <si>
    <t>чел.-ч.</t>
  </si>
  <si>
    <t>2.1-10-5</t>
  </si>
  <si>
    <t>ТСН-2001.2. Доп. 46. п.1-10-5 (101002)</t>
  </si>
  <si>
    <t>Компрессоры прицепные с двигателем внутреннего сгорания, производительность до 5 м3/мин, мощность двигателя до 29 кВт (39,4 л.с.)</t>
  </si>
  <si>
    <t>маш.-ч.</t>
  </si>
  <si>
    <t>2.1-30-54</t>
  </si>
  <si>
    <t>ТСН-2001.2. Доп. 1-42, п. 1-30-54 (308901)</t>
  </si>
  <si>
    <t>Молотки отбойные</t>
  </si>
  <si>
    <t>2.1-5-48</t>
  </si>
  <si>
    <t>ТСН-2001.2. Доп. 1-42, п. 1-5-48 (056003)</t>
  </si>
  <si>
    <t>Автогрейдеры, мощность 99-147 кВт (130-200 л.с.)</t>
  </si>
  <si>
    <t>9999990007</t>
  </si>
  <si>
    <t>Стоимость прочих машин (ЭСН)</t>
  </si>
  <si>
    <t>руб.</t>
  </si>
  <si>
    <t>2.1-4-3</t>
  </si>
  <si>
    <t>ТСН-2001.2. Доп. 1-42, п. 1-4-3 (040103)</t>
  </si>
  <si>
    <t>Погрузчики универсальные на пневмоколесном ходу, грузоподъемность до 3 т</t>
  </si>
  <si>
    <t>2.1-5-17</t>
  </si>
  <si>
    <t>ТСН-2001.2. Доп. 1-42, п. 1-5-17 (050901)</t>
  </si>
  <si>
    <t>Поливомоечные машины, емкость цистерны до 5000 л</t>
  </si>
  <si>
    <t>2.1-5-19</t>
  </si>
  <si>
    <t>ТСН-2001.2. Доп. 1-42, п. 1-5-19 (051001)</t>
  </si>
  <si>
    <t>Асфальтоукладчики, производительность до 350 т/ч</t>
  </si>
  <si>
    <t>2.1-5-2</t>
  </si>
  <si>
    <t>ТСН-2001.2. Доп. 1-42, п. 1-5-2 (050102)</t>
  </si>
  <si>
    <t>Катки самоходные вибрационные, масса до 8 т</t>
  </si>
  <si>
    <t>2.1-5-35</t>
  </si>
  <si>
    <t>ТСН-2001.2. Доп. 1-42, п. 1-5-35 (053601)</t>
  </si>
  <si>
    <t>Автогудронаторы битумные, емкость до 3500 л</t>
  </si>
  <si>
    <t>2.1-5-6</t>
  </si>
  <si>
    <t>ТСН-2001.2. Доп. 1-42, п. 1-5-6 (050203)</t>
  </si>
  <si>
    <t>Катки дорожные самоходные статические, масса более 10 т</t>
  </si>
  <si>
    <t>2.1-5-7</t>
  </si>
  <si>
    <t>ТСН-2001.2. Доп. 1-42, п. 1-5-7 (050301)</t>
  </si>
  <si>
    <t>Катки дорожные самоходные на пневмоколесном ходу, масса до 16 т</t>
  </si>
  <si>
    <t>1.3-3-19</t>
  </si>
  <si>
    <t>ТСН-2001.1. Доп. 1-42. Р. 3, о. 3, поз. 19</t>
  </si>
  <si>
    <t>Эмульсии дорожные, битумные</t>
  </si>
  <si>
    <t>2.1-13-15</t>
  </si>
  <si>
    <t>ТСН-2001.2. Доп. 1-42, п. 1-13-15 (136201)</t>
  </si>
  <si>
    <t>Аппараты сварочные</t>
  </si>
  <si>
    <t>2.1-18-7</t>
  </si>
  <si>
    <t>ТСН-2001.2. Доп. 47. п.1-18-7 (183001)</t>
  </si>
  <si>
    <t>Автомобили грузовые бортовые, грузоподъемность до 5 т</t>
  </si>
  <si>
    <t>2.1-30-19</t>
  </si>
  <si>
    <t>ТСН-2001.2. Доп. 1-42, п. 1-30-19 (305001)</t>
  </si>
  <si>
    <t>Машины шлифовальные электрические</t>
  </si>
  <si>
    <t>1.1-1-1566</t>
  </si>
  <si>
    <t>ТСН-2001.1. Доп. 1-42. Р. 1, о. 1, поз. 1566</t>
  </si>
  <si>
    <t>Электроды, тип Э-42, 46, 50, диаметр 4 - 6 мм</t>
  </si>
  <si>
    <t>2.1-13-21</t>
  </si>
  <si>
    <t>ТСН-2001.2. Доп. 1-42, п. 1-13-21 (138501)</t>
  </si>
  <si>
    <t>Печи электрические для сушки сварочных материалов с регулированием температуры в пределах 80-500С</t>
  </si>
  <si>
    <t>2.1-30-46</t>
  </si>
  <si>
    <t>ТСН-2001.2. Доп. 1-42, п. 1-30-46 (308001)</t>
  </si>
  <si>
    <t>Преобразователи частоты тока до 500 А</t>
  </si>
  <si>
    <t>9999990006</t>
  </si>
  <si>
    <t>Стоимость прочих материалов (ЭСН)</t>
  </si>
  <si>
    <t>1.1-1-491</t>
  </si>
  <si>
    <t>ТСН-2001.1. Доп. 1-42. Р. 1, о. 1, поз. 491</t>
  </si>
  <si>
    <t>Лак битумный, марка БТ-123</t>
  </si>
  <si>
    <t>1.1-1-923</t>
  </si>
  <si>
    <t>ТСН-2001.1. Доп. 1-42. Р. 1, о. 1, поз. 923</t>
  </si>
  <si>
    <t>Поковки строительные (скобы, закрепы, хомуты) простые, масса 1,8 кг</t>
  </si>
  <si>
    <t>2.1-6-51</t>
  </si>
  <si>
    <t>ТСН-2001.2. Доп. 1-42, п. 1-6-51 (069401)</t>
  </si>
  <si>
    <t>Вибраторы поверхностные</t>
  </si>
  <si>
    <t>2.1-30-6</t>
  </si>
  <si>
    <t>ТСН-2001.2. Доп. 1-42, п. 1-30-6 (303701)</t>
  </si>
  <si>
    <t>Дрели электрические</t>
  </si>
  <si>
    <t>2.1-30-75</t>
  </si>
  <si>
    <t>ТСН-2001.2. Доп. 1-42, п. 1-30-75 (370001)</t>
  </si>
  <si>
    <t>Станки для резки плит</t>
  </si>
  <si>
    <t>1.1-1-2480</t>
  </si>
  <si>
    <t>ТСН-2001.1. Доп. 1-42. Р. 1, о. 1, поз. 2480</t>
  </si>
  <si>
    <t>Грунтовка акриловая на латексной основе, марка "Грундирмиттель"</t>
  </si>
  <si>
    <t>2.1-30-103</t>
  </si>
  <si>
    <t>ТСН-2001.2. Доп. 46. п.1-30-103 (304104)</t>
  </si>
  <si>
    <t>Перфораторы электрические, мощность до 1,2 кВт</t>
  </si>
  <si>
    <t>2.1-30-27</t>
  </si>
  <si>
    <t>ТСН-2001.2. Доп. 1-42, п. 1-30-27 (306101)</t>
  </si>
  <si>
    <t>Пилы дисковые электрические для резки пиломатериалов</t>
  </si>
  <si>
    <t>1.1-1-2470</t>
  </si>
  <si>
    <t>ТСН-2001.1. Доп. 1-42. Р. 1, о. 1, поз. 2470</t>
  </si>
  <si>
    <t>Герметик акриловый, марка "Illbruck"</t>
  </si>
  <si>
    <t>л</t>
  </si>
  <si>
    <t>1.1-1-3571</t>
  </si>
  <si>
    <t>ТСН-2001.1. Доп. 1-42. Р. 1, о. 1, поз. 3571</t>
  </si>
  <si>
    <t>Пена монтажная противопожарная, обеспечивающая акустическую и термическую изоляцию, предел огнестойкости ЕI 60</t>
  </si>
  <si>
    <t>1.1-1-79</t>
  </si>
  <si>
    <t>ТСН-2001.1. Доп. 1-42. Р. 1, о. 1, поз. 79</t>
  </si>
  <si>
    <t>Бруски хвойных пород обрезные, длина 2-6,5 м, сорт III, толщина 50-60 мм</t>
  </si>
  <si>
    <t>1.7-3-122</t>
  </si>
  <si>
    <t>ТСН-2001.1 Доп. 44, Р. 7, о. 3, поз. 122</t>
  </si>
  <si>
    <t>Бур с наконечником из твердого сплава, с хвостовиком SDS-plus, диаметр 10 мм, длина 260 мм</t>
  </si>
  <si>
    <t>1.7-5-155</t>
  </si>
  <si>
    <t>ТСН-2001.1 Доп. 48, Р. 7, о. 5, поз. 155</t>
  </si>
  <si>
    <t>Анкер-шпилька распорный, оцинкованный, для установки в бетон, "Hilti", HST M10х110/30</t>
  </si>
  <si>
    <t>2.1-13-14</t>
  </si>
  <si>
    <t>ТСН-2001.2. Доп. 1-42, п. 1-13-14 (136001)</t>
  </si>
  <si>
    <t>Установки для сварки ручной дуговой (постоянного тока)</t>
  </si>
  <si>
    <t>2.1-30-56</t>
  </si>
  <si>
    <t>ТСН-2001.2. Доп. 1-42, п. 1-30-56 (309101)</t>
  </si>
  <si>
    <t>Шуруповерты</t>
  </si>
  <si>
    <t>1.1-1-2627</t>
  </si>
  <si>
    <t>ТСН-2001.1. Доп. 1-42. Р. 1, о. 1, поз. 2627</t>
  </si>
  <si>
    <t>Винты самонарезающие 5х40 мм для металла</t>
  </si>
  <si>
    <t>2.1-14-13</t>
  </si>
  <si>
    <t>ТСН-2001.2. Доп. 1-42, п. 1-14-13 (148501)</t>
  </si>
  <si>
    <t>Пылесосы</t>
  </si>
  <si>
    <t>1.1-1-3379</t>
  </si>
  <si>
    <t>ТСН-2001.1. Доп. 1-42. Р. 1, о. 1, поз. 3379</t>
  </si>
  <si>
    <t>Клей акриловый универсальный высокопрочный для приклеивания напольных и тяжелых типов настенных покрытий "Полином-101"</t>
  </si>
  <si>
    <t>1.1-1-3552</t>
  </si>
  <si>
    <t>ТСН-2001.1. Доп. 1-42. Р. 1, о. 1, поз. 3552</t>
  </si>
  <si>
    <t>Грунтовка акриловая концентрированная универсальная с высокой клеевой и проникающей способностью</t>
  </si>
  <si>
    <t>2.1-18-24</t>
  </si>
  <si>
    <t>ТСН-2001.2. Доп. 48. п.1-18-24 (183102)</t>
  </si>
  <si>
    <t>Автомобили полупассажирские типа ГАЗ, грузоподъемность до 2 т</t>
  </si>
  <si>
    <t>1.1-1-1615</t>
  </si>
  <si>
    <t>ТСН-2001.1. Доп. 1-42. Р. 1, о. 1, поз. 1615</t>
  </si>
  <si>
    <t>Шурупы с потайной головкой, оцинкованные, длина 13-20 мм</t>
  </si>
  <si>
    <t>2.1-2-1</t>
  </si>
  <si>
    <t>ТСН-2001.2. Доп. 1-42, п. 1-2-1 (020101)</t>
  </si>
  <si>
    <t>Тракторы на гусеничном ходу, мощность до 60 кВт (81 л.с.)</t>
  </si>
  <si>
    <t>2.1-5-15</t>
  </si>
  <si>
    <t>ТСН-2001.2. Доп. 1-42, п. 1-5-15 (050703)</t>
  </si>
  <si>
    <t>Катки прицепные пневмоколесные, масса до 50 т</t>
  </si>
  <si>
    <t>2.1-5-18</t>
  </si>
  <si>
    <t>ТСН-2001.2. Доп. 1-42, п. 1-5-18 (050902)</t>
  </si>
  <si>
    <t>Поливомоечные машины, емкость цистерны более 5000 л</t>
  </si>
  <si>
    <t>2.1-18-9</t>
  </si>
  <si>
    <t>ТСН-2001.2. Доп. 47. п.1-18-9 (183003)</t>
  </si>
  <si>
    <t>Автомобили грузовые бортовые, грузоподъемность до 8 т</t>
  </si>
  <si>
    <t>1.1-1-655</t>
  </si>
  <si>
    <t>ТСН-2001.1. Доп. 1-42. Р. 1, о. 1, поз. 655</t>
  </si>
  <si>
    <t>Мешковина</t>
  </si>
  <si>
    <t>2.1-30-26</t>
  </si>
  <si>
    <t>ТСН-2001.2. Доп. 1-42, п. 1-30-26 (306001)</t>
  </si>
  <si>
    <t>Пилы ручные электрические</t>
  </si>
  <si>
    <t>2.1-3-35</t>
  </si>
  <si>
    <t>ТСН-2001.2. Доп. 1-42, п. 1-3-35 (032006)</t>
  </si>
  <si>
    <t>Краны на автомобильном ходу, грузоподъемность до 10 т</t>
  </si>
  <si>
    <t>2.1-4-12</t>
  </si>
  <si>
    <t>ТСН-2001.2. Доп. 1-42, п. 1-4-12 (040205)</t>
  </si>
  <si>
    <t>Погрузчики на автомобильном ходу, грузоподъемность до 5 т</t>
  </si>
  <si>
    <t>2.1-6-52</t>
  </si>
  <si>
    <t>ТСН-2001.2. Доп. 1-42, п. 1-6-52 (069402)</t>
  </si>
  <si>
    <t>Вибраторы глубинные</t>
  </si>
  <si>
    <t>1.1-1-132</t>
  </si>
  <si>
    <t>ТСН-2001.1. Доп. 1-42. Р. 1, о. 1, поз. 132</t>
  </si>
  <si>
    <t>Гвозди строительные</t>
  </si>
  <si>
    <t>1.1-1-227</t>
  </si>
  <si>
    <t>ТСН-2001.1. Доп. 1-42. Р. 1, о. 1, поз. 227</t>
  </si>
  <si>
    <t>Доски хвойных пород, обрезные, длина 2-6,5 м, сорт III, толщина 40-60 мм</t>
  </si>
  <si>
    <t>1.1-1-256</t>
  </si>
  <si>
    <t>ТСН-2001.1. Доп. 1-42. Р. 1, о. 1, поз. 256</t>
  </si>
  <si>
    <t>Известь негашеная комовая</t>
  </si>
  <si>
    <t>1.9-11-4</t>
  </si>
  <si>
    <t>ТСН-2001.1. Доп. 1-42. Р. 9, о. 11, поз. 4</t>
  </si>
  <si>
    <t>Щиты деревянные для фундаментов, колонн, балок, перекрытий, стен, перегородок и других конструкций из досок, толщина 40 мм</t>
  </si>
  <si>
    <t>2.1-4-45</t>
  </si>
  <si>
    <t>ТСН-2001.2. Доп. 1-42, п. 1-4-45 (043403)</t>
  </si>
  <si>
    <t>Домкраты гидравлические, грузоподъемность до 100 т</t>
  </si>
  <si>
    <t>1.6-1-271</t>
  </si>
  <si>
    <t>ТСН-2001.1. Доп. 1-42. Р. 6, о. 1, поз. 271</t>
  </si>
  <si>
    <t>Отдельные конструктивные элементы с преобладанием горячекатаных профилей, средняя масса сборочной единицы от 0,11 до 0,5 т</t>
  </si>
  <si>
    <t>9999990002</t>
  </si>
  <si>
    <t>Масса оборудования</t>
  </si>
  <si>
    <t>5718400000</t>
  </si>
  <si>
    <t>Смеси асфальтобетонные</t>
  </si>
  <si>
    <t>9797020000</t>
  </si>
  <si>
    <t>9749950000</t>
  </si>
  <si>
    <t>Семена газонных трав</t>
  </si>
  <si>
    <t>5262150000</t>
  </si>
  <si>
    <t>Секции оград</t>
  </si>
  <si>
    <t>5291000000</t>
  </si>
  <si>
    <t>Стальные конструкции дверей, люков и лазов (529623)</t>
  </si>
  <si>
    <t>5261600000</t>
  </si>
  <si>
    <t>Металлические изделия</t>
  </si>
  <si>
    <t>5745510000</t>
  </si>
  <si>
    <t>Растворы тяжелые цементные</t>
  </si>
  <si>
    <t>Растворы готовые кладочные тяжелые цементные, марки 150</t>
  </si>
  <si>
    <t>5846300000</t>
  </si>
  <si>
    <t>Плиты бетонные, цементные или (5898330000) мозаичные</t>
  </si>
  <si>
    <t>5745150000</t>
  </si>
  <si>
    <t>Смеси сухие для затирки швов</t>
  </si>
  <si>
    <t>5745170000</t>
  </si>
  <si>
    <t>Смеси сухие клеевые для плиточных работ</t>
  </si>
  <si>
    <t>5752421000</t>
  </si>
  <si>
    <t>Плитки керамические типа "керамогранит"</t>
  </si>
  <si>
    <t>5262420000</t>
  </si>
  <si>
    <t>Лестницы, косоуры, площадки, ограждения</t>
  </si>
  <si>
    <t>5733110000</t>
  </si>
  <si>
    <t>Цемент</t>
  </si>
  <si>
    <t>0131000000</t>
  </si>
  <si>
    <t>5745120000</t>
  </si>
  <si>
    <t>Смеси сухие для штукатурных работ</t>
  </si>
  <si>
    <t>5745520000</t>
  </si>
  <si>
    <t>Растворы тяжелые цементно-известковые, марки 75</t>
  </si>
  <si>
    <t>Растворы известковые, марки 4</t>
  </si>
  <si>
    <t>2312940000</t>
  </si>
  <si>
    <t>Шпатлевка универсальная</t>
  </si>
  <si>
    <t>2322000000</t>
  </si>
  <si>
    <t>Пигменты цветные</t>
  </si>
  <si>
    <t>2388410000</t>
  </si>
  <si>
    <t>Краски водно-дисперсионные поливинилацетатные</t>
  </si>
  <si>
    <t>Анкер-шпилька распорный, высокоэффективный, с шестигранной гайкой и шайбой, из оцинкованной стали, для использования в бетоне с трещинами, диаметр 10 мм, длина 110 мм, толщина прикрепляемой детали минимальная/максимальная 30/50 мм</t>
  </si>
  <si>
    <t>5262178000</t>
  </si>
  <si>
    <t>Блоки дверные металлические противопожарные</t>
  </si>
  <si>
    <t>4985110000</t>
  </si>
  <si>
    <t>Доводчик дверной (4987110000)</t>
  </si>
  <si>
    <t>2249320000</t>
  </si>
  <si>
    <t>Плитка тактильная поливинилхлоридная</t>
  </si>
  <si>
    <t>Автомобили полупассажирские, грузоподъемность до 2 т</t>
  </si>
  <si>
    <t>5745110000</t>
  </si>
  <si>
    <t>Смеси сухие монтажно-кладочные цементно-песчаные</t>
  </si>
  <si>
    <t>5846303000</t>
  </si>
  <si>
    <t>Плиты бетонные тротуарные тактильные</t>
  </si>
  <si>
    <t>2385120000</t>
  </si>
  <si>
    <t>Клей "Бустилат"</t>
  </si>
  <si>
    <t>8171170000</t>
  </si>
  <si>
    <t>Ковры безворсовые</t>
  </si>
  <si>
    <t>5215040000</t>
  </si>
  <si>
    <t>Таблички</t>
  </si>
  <si>
    <t>5711400000</t>
  </si>
  <si>
    <t>Песок природный для строительных работ</t>
  </si>
  <si>
    <t>5745010000</t>
  </si>
  <si>
    <t>Смеси бетонные, БСГ, тяжелого бетона</t>
  </si>
  <si>
    <t>0930110000</t>
  </si>
  <si>
    <t>Арматура</t>
  </si>
  <si>
    <t>1297020000</t>
  </si>
  <si>
    <t>Болты строительные с гайками и шайбами</t>
  </si>
  <si>
    <t>Стальные конструкции лестниц и площадок</t>
  </si>
  <si>
    <t>2248200000</t>
  </si>
  <si>
    <t>Трубы поливинилхлоридные гофрированные</t>
  </si>
  <si>
    <t>3434200000</t>
  </si>
  <si>
    <t>Коробки соединительные</t>
  </si>
  <si>
    <t>3449651000</t>
  </si>
  <si>
    <t>Держатели пластиковые для труб</t>
  </si>
  <si>
    <t>5772110000</t>
  </si>
  <si>
    <t>Короба с направляющими</t>
  </si>
  <si>
    <t>Перегородки разделительные</t>
  </si>
  <si>
    <t>Углы наружные</t>
  </si>
  <si>
    <t>Заглушки</t>
  </si>
  <si>
    <t>Накладки стыковые</t>
  </si>
  <si>
    <t>Углы внутренние</t>
  </si>
  <si>
    <t>Углы плоские</t>
  </si>
  <si>
    <t>"СОГЛАСОВАНО"</t>
  </si>
  <si>
    <t>"УТВЕРЖДАЮ"</t>
  </si>
  <si>
    <t>Форма № 1б</t>
  </si>
  <si>
    <t>"_____"________________ 2018 г.</t>
  </si>
  <si>
    <t>(наименование стройки)</t>
  </si>
  <si>
    <t>(локальный сметный расчет)</t>
  </si>
  <si>
    <t>(наименование работ и затрат, наименование объекта)</t>
  </si>
  <si>
    <t>базовая    цена</t>
  </si>
  <si>
    <t>текущая   цена</t>
  </si>
  <si>
    <t>Сметная стоимость</t>
  </si>
  <si>
    <t>Средства на оплату труда</t>
  </si>
  <si>
    <t>№№ п/п</t>
  </si>
  <si>
    <t>Шифр расценки и коды ресурсов</t>
  </si>
  <si>
    <t>Наименование работ и затрат</t>
  </si>
  <si>
    <t>Единица измерения</t>
  </si>
  <si>
    <t>Кол-во единиц</t>
  </si>
  <si>
    <t>Цена на ед. изм. руб.</t>
  </si>
  <si>
    <t>Попра-вочные коэфф.</t>
  </si>
  <si>
    <t>Коэфф. зимних удоро-жаний</t>
  </si>
  <si>
    <t>ВСЕГО в базисном уровне цен, руб.</t>
  </si>
  <si>
    <t>Коэфф. пересчета и нормы НР и СП</t>
  </si>
  <si>
    <t>Всего в текущем уровне цен, руб.</t>
  </si>
  <si>
    <t>Составлен(а) в уровне текущих (прогнозных) цен ТСН-2001 ремонт №139 апрель 2018 года</t>
  </si>
  <si>
    <t>ЗП</t>
  </si>
  <si>
    <t>ЭМ</t>
  </si>
  <si>
    <t>в т.ч. ЗПМ</t>
  </si>
  <si>
    <t>НР от ЗП</t>
  </si>
  <si>
    <t>%</t>
  </si>
  <si>
    <t>СП от ЗП</t>
  </si>
  <si>
    <t>НР и СП от ЗПМ</t>
  </si>
  <si>
    <t>ЗТР</t>
  </si>
  <si>
    <t>чел-ч</t>
  </si>
  <si>
    <t>МР</t>
  </si>
  <si>
    <t xml:space="preserve">   Итого по ТСН-2001.16</t>
  </si>
  <si>
    <r>
      <t>Ограждение пандуса из нержавеющей</t>
    </r>
    <r>
      <rPr>
        <i/>
        <sz val="10"/>
        <rFont val="Arial"/>
        <family val="2"/>
        <charset val="204"/>
      </rPr>
      <t xml:space="preserve">
Базисная стоимость: 710,70 = [4 300 / 1,18 /  5,23] +  2% Заг.скл</t>
    </r>
  </si>
  <si>
    <r>
      <t>Ограждения из нержавеющей стали лестниц</t>
    </r>
    <r>
      <rPr>
        <i/>
        <sz val="10"/>
        <rFont val="Arial"/>
        <family val="2"/>
        <charset val="204"/>
      </rPr>
      <t xml:space="preserve">
Базисная стоимость: 694,17 = [4 200 / 1,18 /  5,23] +  2% Заг.скл</t>
    </r>
  </si>
  <si>
    <r>
      <t>Цветная нескользящая лента Л-25, светонакопительная. 25мм</t>
    </r>
    <r>
      <rPr>
        <i/>
        <sz val="10"/>
        <rFont val="Arial"/>
        <family val="2"/>
        <charset val="204"/>
      </rPr>
      <t xml:space="preserve">
Базисная стоимость: 20,33 = [123 / 1,18 /  5,23] +  2% Заг.скл</t>
    </r>
  </si>
  <si>
    <r>
      <t>Таблички с шрифтом Брайля 270х50</t>
    </r>
    <r>
      <rPr>
        <i/>
        <sz val="10"/>
        <rFont val="Arial"/>
        <family val="2"/>
        <charset val="204"/>
      </rPr>
      <t xml:space="preserve">
Базисная стоимость: 70,25 = [425 / 1,18 /  5,23] +  2% Заг.скл</t>
    </r>
  </si>
  <si>
    <r>
      <t>Пиктограмма СП-11 Направление движения, поворот. 200 x 200мм</t>
    </r>
    <r>
      <rPr>
        <i/>
        <sz val="10"/>
        <rFont val="Arial"/>
        <family val="2"/>
        <charset val="204"/>
      </rPr>
      <t xml:space="preserve">
Базисная стоимость: 157,35 = [952 / 1,18 /  5,23] +  2% Заг.скл</t>
    </r>
  </si>
  <si>
    <r>
      <t>Маяк световой для дверных проемов (пара). 150 x 290 x 40мм</t>
    </r>
    <r>
      <rPr>
        <i/>
        <sz val="10"/>
        <rFont val="Arial"/>
        <family val="2"/>
        <charset val="204"/>
      </rPr>
      <t xml:space="preserve">
Базисная стоимость: 234,69 = [1 420 / 1,18 /  5,23] +  2% Заг.скл</t>
    </r>
  </si>
  <si>
    <r>
      <t>Штольц 150*250 тр.60*30 стойка</t>
    </r>
    <r>
      <rPr>
        <i/>
        <sz val="10"/>
        <rFont val="Arial"/>
        <family val="2"/>
        <charset val="204"/>
      </rPr>
      <t xml:space="preserve">
Базисная стоимость: 1 268,68 = [7 676 / 1,18 /  5,23] +  2% Заг.скл</t>
    </r>
  </si>
  <si>
    <r>
      <t>КПВСВнг(А)-FRLSLTx 2х2х0,5</t>
    </r>
    <r>
      <rPr>
        <i/>
        <sz val="10"/>
        <rFont val="Arial"/>
        <family val="2"/>
        <charset val="204"/>
      </rPr>
      <t xml:space="preserve">
Базисная стоимость: 15 582,46 = [94 280 / 1,18 /  5,23] +  2% Заг.скл</t>
    </r>
  </si>
  <si>
    <r>
      <t>Тактильно-звуковая мнемосхема для помещения</t>
    </r>
    <r>
      <rPr>
        <i/>
        <sz val="10"/>
        <rFont val="Arial"/>
        <family val="2"/>
        <charset val="204"/>
      </rPr>
      <t xml:space="preserve">
Базисная стоимость: 46 264,97 = [218 400 / 1,18 /  4,17] +  3% Трансп +  1,2% Заг.скл</t>
    </r>
  </si>
  <si>
    <r>
      <t>GC-0611W2 Сигнальная лампа</t>
    </r>
    <r>
      <rPr>
        <i/>
        <sz val="10"/>
        <rFont val="Arial"/>
        <family val="2"/>
        <charset val="204"/>
      </rPr>
      <t xml:space="preserve">
Базисная стоимость: 463,71 = [2 189 / 1,18 /  4,17] +  3% Трансп +  1,2% Заг.скл</t>
    </r>
  </si>
  <si>
    <r>
      <t>MP-413W8 Влагозащищенная радиокнопка вызова</t>
    </r>
    <r>
      <rPr>
        <i/>
        <sz val="10"/>
        <rFont val="Arial"/>
        <family val="2"/>
        <charset val="204"/>
      </rPr>
      <t xml:space="preserve">
Базисная стоимость: 620,25 = [2 928 / 1,18 /  4,17] +  3% Трансп +  1,2% Заг.скл</t>
    </r>
  </si>
  <si>
    <r>
      <t>MP-821W1 приемник</t>
    </r>
    <r>
      <rPr>
        <i/>
        <sz val="10"/>
        <rFont val="Arial"/>
        <family val="2"/>
        <charset val="204"/>
      </rPr>
      <t xml:space="preserve">
Базисная стоимость: 751,93 = [3 549,56 / 1,18 /  4,17] +  3% Трансп +  1,2% Заг.скл</t>
    </r>
  </si>
  <si>
    <r>
      <t>Свето-звуковой маяк "Привод-3", датчик температуры, пульт управления, активация по датчику движения, радиомодуль</t>
    </r>
    <r>
      <rPr>
        <i/>
        <sz val="10"/>
        <rFont val="Arial"/>
        <family val="2"/>
        <charset val="204"/>
      </rPr>
      <t xml:space="preserve">
Базисная стоимость: 10 679,50 = [50 414 / 1,18 /  4,17] +  3% Трансп +  1,2% Заг.скл</t>
    </r>
  </si>
  <si>
    <t xml:space="preserve">  тыс.руб</t>
  </si>
  <si>
    <t xml:space="preserve">Составил   </t>
  </si>
  <si>
    <t>[должность,подпись(инициалы,фамилия)]</t>
  </si>
  <si>
    <t xml:space="preserve">Проверил   </t>
  </si>
  <si>
    <t>___________________________</t>
  </si>
  <si>
    <t>" ___ " ___________ 20 ___ г.</t>
  </si>
  <si>
    <t xml:space="preserve">Мы, нижеподписавшиеся, произвели осмотр объекта </t>
  </si>
  <si>
    <t xml:space="preserve">и постановили произвести ремонт объекта в </t>
  </si>
  <si>
    <t>следующем объеме:</t>
  </si>
  <si>
    <t>№ п/п</t>
  </si>
  <si>
    <t>Количество</t>
  </si>
  <si>
    <t>Примечание</t>
  </si>
  <si>
    <t>Заказчик _________________</t>
  </si>
  <si>
    <t>Подрядчик _________________</t>
  </si>
  <si>
    <t>TYPE</t>
  </si>
  <si>
    <t>LINK</t>
  </si>
  <si>
    <t>RABMAT_EX</t>
  </si>
  <si>
    <t>TIP_RAB</t>
  </si>
  <si>
    <t>TYPE_TRUD</t>
  </si>
  <si>
    <t>TAB</t>
  </si>
  <si>
    <t>NAME</t>
  </si>
  <si>
    <t>EDIZM</t>
  </si>
  <si>
    <t>KOLL</t>
  </si>
  <si>
    <t>UCH</t>
  </si>
  <si>
    <t>PRICE_B</t>
  </si>
  <si>
    <t>STOIM_B</t>
  </si>
  <si>
    <t>PRICE_C</t>
  </si>
  <si>
    <t>STOIM_C</t>
  </si>
  <si>
    <t>CRC_GR_RES</t>
  </si>
  <si>
    <t>CRC_B</t>
  </si>
  <si>
    <t>CRC_C</t>
  </si>
  <si>
    <t>BuildingFinished</t>
  </si>
  <si>
    <t>Trud</t>
  </si>
  <si>
    <t>Mash</t>
  </si>
  <si>
    <t>Mat</t>
  </si>
  <si>
    <t>MatZak</t>
  </si>
  <si>
    <t>Oborud</t>
  </si>
  <si>
    <t>OborudZak</t>
  </si>
  <si>
    <t>ZeroStoim</t>
  </si>
  <si>
    <t>NegativeKoll</t>
  </si>
  <si>
    <t>ReUnionKollResurcy</t>
  </si>
  <si>
    <t>Ресурсная ведомость на</t>
  </si>
  <si>
    <t>Объект: Общестроительные работы ДГП №150 ф2 (ТСН-2001 (Мосгосэкспертиза))</t>
  </si>
  <si>
    <t>Обоснование</t>
  </si>
  <si>
    <t>Наименование</t>
  </si>
  <si>
    <t>Объем</t>
  </si>
  <si>
    <t>Текущая</t>
  </si>
  <si>
    <t>цена</t>
  </si>
  <si>
    <t>стоимость</t>
  </si>
  <si>
    <t xml:space="preserve">Материальные ресурсы </t>
  </si>
  <si>
    <t xml:space="preserve">Итого материальные ресурсы </t>
  </si>
  <si>
    <t xml:space="preserve">Итого материалы заказчика </t>
  </si>
  <si>
    <t xml:space="preserve">Итого оборудование </t>
  </si>
  <si>
    <t xml:space="preserve">Итого оборудование заказчика </t>
  </si>
  <si>
    <t xml:space="preserve">Оборудование </t>
  </si>
  <si>
    <t>Итого по объекту: Общестроительные работы ДГП №150 ф2 (ТСН-2001 (Мосгосэкспертиза))</t>
  </si>
  <si>
    <t>Общестроительные работы ДГП №150 ф2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</si>
</sst>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\-\ #,##0.00"/>
    <numFmt numFmtId="165" formatCode="#,##0.00####;[Red]\-\ #,##0.00####"/>
  </numFmts>
  <fonts count="22" x14ac:knownFonts="1">
    <font>
      <sz val="10"/>
      <name val="Arial"/>
      <charset val="204"/>
    </font>
    <font>
      <b/>
      <sz val="10"/>
      <color indexed="12"/>
      <name val="Arial"/>
      <family val="2"/>
      <charset val="204"/>
    </font>
    <font>
      <sz val="10"/>
      <color indexed="18"/>
      <name val="Arial"/>
      <family val="2"/>
      <charset val="204"/>
    </font>
    <font>
      <b/>
      <sz val="10"/>
      <color indexed="16"/>
      <name val="Arial"/>
      <family val="2"/>
      <charset val="204"/>
    </font>
    <font>
      <b/>
      <sz val="10"/>
      <color indexed="2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sz val="10"/>
      <color indexed="12"/>
      <name val="Arial"/>
      <family val="2"/>
      <charset val="204"/>
    </font>
    <font>
      <sz val="10"/>
      <color indexed="14"/>
      <name val="Arial"/>
      <family val="2"/>
      <charset val="204"/>
    </font>
    <font>
      <sz val="10"/>
      <color indexed="16"/>
      <name val="Arial"/>
      <family val="2"/>
      <charset val="204"/>
    </font>
    <font>
      <b/>
      <sz val="10"/>
      <color indexed="14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11"/>
      <name val="Arial"/>
      <family val="2"/>
      <charset val="204"/>
    </font>
    <font>
      <b/>
      <sz val="13"/>
      <name val="Arial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sz val="13"/>
      <name val="Arial"/>
      <family val="2"/>
      <charset val="204"/>
    </font>
    <font>
      <i/>
      <sz val="11"/>
      <name val="Arial"/>
      <family val="2"/>
      <charset val="204"/>
    </font>
    <font>
      <b/>
      <sz val="11"/>
      <name val="Arial"/>
      <family val="2"/>
      <charset val="204"/>
    </font>
    <font>
      <i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2" fillId="0" borderId="0" xfId="0" applyFont="1"/>
    <xf numFmtId="0" fontId="13" fillId="0" borderId="0" xfId="0" applyFont="1" applyAlignment="1">
      <alignment horizontal="right"/>
    </xf>
    <xf numFmtId="0" fontId="13" fillId="0" borderId="0" xfId="0" applyFont="1"/>
    <xf numFmtId="0" fontId="14" fillId="0" borderId="0" xfId="0" applyFont="1" applyAlignment="1"/>
    <xf numFmtId="0" fontId="13" fillId="0" borderId="0" xfId="0" applyFont="1" applyAlignment="1"/>
    <xf numFmtId="0" fontId="13" fillId="0" borderId="0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3" fillId="0" borderId="0" xfId="0" applyFont="1" applyBorder="1" applyAlignment="1">
      <alignment wrapText="1"/>
    </xf>
    <xf numFmtId="0" fontId="13" fillId="0" borderId="0" xfId="0" applyFont="1" applyAlignment="1">
      <alignment horizontal="center" wrapText="1"/>
    </xf>
    <xf numFmtId="164" fontId="13" fillId="0" borderId="0" xfId="0" applyNumberFormat="1" applyFont="1"/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9" fillId="0" borderId="0" xfId="0" applyFont="1" applyAlignment="1">
      <alignment horizontal="right" wrapText="1"/>
    </xf>
    <xf numFmtId="0" fontId="13" fillId="0" borderId="0" xfId="0" applyFont="1" applyAlignment="1">
      <alignment horizontal="right" wrapText="1"/>
    </xf>
    <xf numFmtId="165" fontId="13" fillId="0" borderId="0" xfId="0" applyNumberFormat="1" applyFont="1" applyAlignment="1">
      <alignment horizontal="right"/>
    </xf>
    <xf numFmtId="164" fontId="13" fillId="0" borderId="0" xfId="0" applyNumberFormat="1" applyFont="1" applyAlignment="1">
      <alignment horizontal="right"/>
    </xf>
    <xf numFmtId="0" fontId="11" fillId="0" borderId="0" xfId="0" applyFont="1" applyAlignment="1">
      <alignment wrapText="1"/>
    </xf>
    <xf numFmtId="164" fontId="19" fillId="0" borderId="0" xfId="0" applyNumberFormat="1" applyFont="1" applyAlignment="1">
      <alignment horizontal="right"/>
    </xf>
    <xf numFmtId="0" fontId="13" fillId="0" borderId="0" xfId="0" quotePrefix="1" applyFont="1" applyAlignment="1">
      <alignment horizontal="right" wrapText="1"/>
    </xf>
    <xf numFmtId="164" fontId="0" fillId="0" borderId="0" xfId="0" applyNumberFormat="1"/>
    <xf numFmtId="0" fontId="0" fillId="0" borderId="5" xfId="0" applyBorder="1"/>
    <xf numFmtId="0" fontId="20" fillId="0" borderId="0" xfId="0" applyFont="1"/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 wrapText="1"/>
    </xf>
    <xf numFmtId="0" fontId="13" fillId="0" borderId="1" xfId="0" applyFont="1" applyBorder="1"/>
    <xf numFmtId="0" fontId="20" fillId="0" borderId="0" xfId="0" applyFont="1" applyBorder="1" applyAlignment="1">
      <alignment horizontal="right"/>
    </xf>
    <xf numFmtId="0" fontId="20" fillId="0" borderId="0" xfId="0" applyFont="1" applyAlignment="1">
      <alignment horizontal="left" vertical="top"/>
    </xf>
    <xf numFmtId="0" fontId="20" fillId="0" borderId="0" xfId="0" applyFont="1" applyAlignment="1">
      <alignment horizontal="center" wrapText="1"/>
    </xf>
    <xf numFmtId="0" fontId="13" fillId="0" borderId="4" xfId="0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3" xfId="0" applyFont="1" applyBorder="1" applyAlignment="1">
      <alignment horizontal="left" vertical="top"/>
    </xf>
    <xf numFmtId="0" fontId="13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right" wrapText="1"/>
    </xf>
    <xf numFmtId="0" fontId="13" fillId="0" borderId="3" xfId="0" applyFont="1" applyBorder="1" applyAlignment="1">
      <alignment horizontal="right"/>
    </xf>
    <xf numFmtId="0" fontId="13" fillId="0" borderId="4" xfId="0" applyFont="1" applyBorder="1" applyAlignment="1">
      <alignment horizontal="left" vertical="top"/>
    </xf>
    <xf numFmtId="0" fontId="13" fillId="0" borderId="4" xfId="0" applyFont="1" applyBorder="1" applyAlignment="1">
      <alignment horizontal="left" wrapText="1"/>
    </xf>
    <xf numFmtId="0" fontId="13" fillId="0" borderId="4" xfId="0" applyFont="1" applyBorder="1" applyAlignment="1">
      <alignment horizontal="right" wrapText="1"/>
    </xf>
    <xf numFmtId="0" fontId="13" fillId="0" borderId="4" xfId="0" applyFont="1" applyBorder="1" applyAlignment="1">
      <alignment horizontal="right"/>
    </xf>
    <xf numFmtId="0" fontId="14" fillId="0" borderId="3" xfId="0" quotePrefix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top" wrapText="1"/>
    </xf>
    <xf numFmtId="164" fontId="13" fillId="0" borderId="3" xfId="0" applyNumberFormat="1" applyFont="1" applyBorder="1" applyAlignment="1">
      <alignment horizontal="right" wrapText="1"/>
    </xf>
    <xf numFmtId="0" fontId="12" fillId="0" borderId="2" xfId="0" applyFont="1" applyBorder="1" applyAlignment="1">
      <alignment horizontal="center"/>
    </xf>
    <xf numFmtId="164" fontId="20" fillId="0" borderId="0" xfId="0" applyNumberFormat="1" applyFont="1" applyAlignment="1">
      <alignment horizontal="right"/>
    </xf>
    <xf numFmtId="0" fontId="20" fillId="0" borderId="0" xfId="0" applyFont="1" applyAlignment="1">
      <alignment horizontal="right"/>
    </xf>
    <xf numFmtId="0" fontId="20" fillId="0" borderId="0" xfId="0" applyFont="1" applyAlignment="1">
      <alignment horizontal="left" wrapText="1"/>
    </xf>
    <xf numFmtId="0" fontId="13" fillId="0" borderId="0" xfId="0" applyFont="1" applyAlignment="1">
      <alignment horizontal="right" vertical="center"/>
    </xf>
    <xf numFmtId="164" fontId="20" fillId="0" borderId="5" xfId="0" applyNumberFormat="1" applyFont="1" applyBorder="1" applyAlignment="1">
      <alignment horizontal="right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horizontal="left"/>
    </xf>
    <xf numFmtId="0" fontId="13" fillId="0" borderId="1" xfId="0" applyFont="1" applyBorder="1" applyAlignment="1">
      <alignment horizontal="left" wrapText="1"/>
    </xf>
    <xf numFmtId="0" fontId="17" fillId="0" borderId="0" xfId="0" applyFont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/>
    <xf numFmtId="0" fontId="13" fillId="0" borderId="0" xfId="0" applyFont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15" fillId="0" borderId="1" xfId="0" applyFont="1" applyBorder="1" applyAlignment="1">
      <alignment horizontal="center" wrapText="1"/>
    </xf>
    <xf numFmtId="0" fontId="16" fillId="0" borderId="1" xfId="0" applyFont="1" applyBorder="1" applyAlignment="1">
      <alignment horizontal="center" wrapText="1"/>
    </xf>
    <xf numFmtId="0" fontId="15" fillId="0" borderId="0" xfId="0" applyFont="1" applyAlignment="1">
      <alignment horizontal="left"/>
    </xf>
    <xf numFmtId="0" fontId="14" fillId="0" borderId="4" xfId="0" applyFont="1" applyBorder="1" applyAlignment="1">
      <alignment horizontal="center" wrapText="1"/>
    </xf>
    <xf numFmtId="0" fontId="20" fillId="0" borderId="0" xfId="0" applyFont="1" applyBorder="1" applyAlignment="1">
      <alignment horizontal="right"/>
    </xf>
    <xf numFmtId="0" fontId="15" fillId="0" borderId="0" xfId="0" applyFont="1" applyAlignment="1">
      <alignment horizontal="center" wrapText="1"/>
    </xf>
    <xf numFmtId="0" fontId="20" fillId="0" borderId="0" xfId="0" applyFont="1" applyAlignment="1">
      <alignment horizontal="center" wrapText="1"/>
    </xf>
    <xf numFmtId="0" fontId="20" fillId="0" borderId="3" xfId="0" applyFont="1" applyBorder="1" applyAlignment="1">
      <alignment horizontal="right"/>
    </xf>
    <xf numFmtId="164" fontId="20" fillId="0" borderId="3" xfId="0" applyNumberFormat="1" applyFont="1" applyBorder="1" applyAlignment="1">
      <alignment horizontal="right"/>
    </xf>
    <xf numFmtId="0" fontId="14" fillId="0" borderId="7" xfId="0" applyFont="1" applyBorder="1" applyAlignment="1">
      <alignment horizontal="left" vertical="center" wrapText="1"/>
    </xf>
    <xf numFmtId="0" fontId="18" fillId="0" borderId="8" xfId="0" applyFont="1" applyBorder="1" applyAlignment="1">
      <alignment horizontal="left" vertical="center" wrapText="1"/>
    </xf>
    <xf numFmtId="0" fontId="18" fillId="0" borderId="9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left" vertical="top" wrapText="1"/>
    </xf>
    <xf numFmtId="0" fontId="19" fillId="2" borderId="0" xfId="0" applyFont="1" applyFill="1" applyAlignment="1">
      <alignment horizontal="right" wrapText="1"/>
    </xf>
    <xf numFmtId="0" fontId="13" fillId="2" borderId="0" xfId="0" applyFont="1" applyFill="1" applyAlignment="1">
      <alignment horizontal="right"/>
    </xf>
    <xf numFmtId="165" fontId="13" fillId="2" borderId="0" xfId="0" applyNumberFormat="1" applyFont="1" applyFill="1" applyAlignment="1">
      <alignment horizontal="right"/>
    </xf>
    <xf numFmtId="0" fontId="13" fillId="2" borderId="0" xfId="0" applyFont="1" applyFill="1" applyAlignment="1">
      <alignment horizontal="right" wrapText="1"/>
    </xf>
    <xf numFmtId="164" fontId="13" fillId="2" borderId="0" xfId="0" applyNumberFormat="1" applyFont="1" applyFill="1" applyAlignment="1">
      <alignment horizontal="right"/>
    </xf>
    <xf numFmtId="164" fontId="19" fillId="2" borderId="0" xfId="0" applyNumberFormat="1" applyFont="1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607"/>
  <sheetViews>
    <sheetView tabSelected="1" topLeftCell="A268" zoomScaleNormal="100" workbookViewId="0">
      <selection activeCell="C274" sqref="C274:K275"/>
    </sheetView>
  </sheetViews>
  <sheetFormatPr defaultRowHeight="12.75" x14ac:dyDescent="0.2"/>
  <cols>
    <col min="1" max="1" width="5.7109375" customWidth="1"/>
    <col min="2" max="2" width="11.7109375" customWidth="1"/>
    <col min="3" max="3" width="40.7109375" customWidth="1"/>
    <col min="4" max="6" width="11.7109375" customWidth="1"/>
    <col min="7" max="7" width="12.7109375" customWidth="1"/>
    <col min="8" max="8" width="10.7109375" customWidth="1"/>
    <col min="9" max="11" width="12.7109375" customWidth="1"/>
    <col min="15" max="33" width="0" hidden="1" customWidth="1"/>
    <col min="34" max="34" width="104.7109375" hidden="1" customWidth="1"/>
    <col min="35" max="38" width="0" hidden="1" customWidth="1"/>
  </cols>
  <sheetData>
    <row r="1" spans="1:11" x14ac:dyDescent="0.2">
      <c r="A1" s="11" t="str">
        <f>Source!B1</f>
        <v>Smeta.RU  (495) 974-1589</v>
      </c>
    </row>
    <row r="2" spans="1:11" ht="14.25" x14ac:dyDescent="0.2">
      <c r="A2" s="12"/>
      <c r="B2" s="12"/>
      <c r="C2" s="12"/>
      <c r="D2" s="12"/>
      <c r="E2" s="12"/>
      <c r="F2" s="12"/>
      <c r="G2" s="12"/>
      <c r="H2" s="12"/>
      <c r="I2" s="12"/>
      <c r="J2" s="12"/>
      <c r="K2" s="13" t="s">
        <v>869</v>
      </c>
    </row>
    <row r="3" spans="1:11" ht="16.5" x14ac:dyDescent="0.25">
      <c r="A3" s="14"/>
      <c r="B3" s="71" t="s">
        <v>867</v>
      </c>
      <c r="C3" s="71"/>
      <c r="D3" s="71"/>
      <c r="E3" s="71"/>
      <c r="F3" s="13"/>
      <c r="G3" s="71" t="s">
        <v>868</v>
      </c>
      <c r="H3" s="71"/>
      <c r="I3" s="71"/>
      <c r="J3" s="71"/>
      <c r="K3" s="71"/>
    </row>
    <row r="4" spans="1:11" ht="14.25" x14ac:dyDescent="0.2">
      <c r="A4" s="13"/>
      <c r="B4" s="61"/>
      <c r="C4" s="61"/>
      <c r="D4" s="61"/>
      <c r="E4" s="61"/>
      <c r="F4" s="13"/>
      <c r="G4" s="61"/>
      <c r="H4" s="61"/>
      <c r="I4" s="61"/>
      <c r="J4" s="61"/>
      <c r="K4" s="61"/>
    </row>
    <row r="5" spans="1:11" ht="14.25" x14ac:dyDescent="0.2">
      <c r="A5" s="15"/>
      <c r="B5" s="15"/>
      <c r="C5" s="16"/>
      <c r="D5" s="16"/>
      <c r="E5" s="16"/>
      <c r="F5" s="13"/>
      <c r="G5" s="17"/>
      <c r="H5" s="16"/>
      <c r="I5" s="16"/>
      <c r="J5" s="16"/>
      <c r="K5" s="17"/>
    </row>
    <row r="6" spans="1:11" ht="14.25" x14ac:dyDescent="0.2">
      <c r="A6" s="17"/>
      <c r="B6" s="61" t="str">
        <f>CONCATENATE("______________________ ", IF(Source!AL12&lt;&gt;"", Source!AL12, ""))</f>
        <v xml:space="preserve">______________________ </v>
      </c>
      <c r="C6" s="61"/>
      <c r="D6" s="61"/>
      <c r="E6" s="61"/>
      <c r="F6" s="13"/>
      <c r="G6" s="61" t="str">
        <f>CONCATENATE("______________________ ", IF(Source!AH12&lt;&gt;"", Source!AH12, ""))</f>
        <v xml:space="preserve">______________________ </v>
      </c>
      <c r="H6" s="61"/>
      <c r="I6" s="61"/>
      <c r="J6" s="61"/>
      <c r="K6" s="61"/>
    </row>
    <row r="7" spans="1:11" ht="14.25" x14ac:dyDescent="0.2">
      <c r="A7" s="18"/>
      <c r="B7" s="68" t="s">
        <v>870</v>
      </c>
      <c r="C7" s="68"/>
      <c r="D7" s="68"/>
      <c r="E7" s="68"/>
      <c r="F7" s="13"/>
      <c r="G7" s="68" t="s">
        <v>870</v>
      </c>
      <c r="H7" s="68"/>
      <c r="I7" s="68"/>
      <c r="J7" s="68"/>
      <c r="K7" s="68"/>
    </row>
    <row r="9" spans="1:11" ht="14.25" x14ac:dyDescent="0.2">
      <c r="A9" s="13"/>
      <c r="B9" s="13"/>
      <c r="C9" s="13"/>
      <c r="D9" s="13"/>
      <c r="E9" s="13"/>
      <c r="F9" s="13"/>
      <c r="G9" s="13"/>
      <c r="H9" s="13"/>
      <c r="I9" s="13"/>
      <c r="J9" s="13"/>
      <c r="K9" s="13"/>
    </row>
    <row r="10" spans="1:11" ht="15.75" x14ac:dyDescent="0.25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</row>
    <row r="11" spans="1:11" x14ac:dyDescent="0.2">
      <c r="A11" s="54" t="s">
        <v>871</v>
      </c>
      <c r="B11" s="54"/>
      <c r="C11" s="54"/>
      <c r="D11" s="54"/>
      <c r="E11" s="54"/>
      <c r="F11" s="54"/>
      <c r="G11" s="54"/>
      <c r="H11" s="54"/>
      <c r="I11" s="54"/>
      <c r="J11" s="54"/>
      <c r="K11" s="54"/>
    </row>
    <row r="12" spans="1:11" ht="14.25" x14ac:dyDescent="0.2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</row>
    <row r="13" spans="1:11" ht="15.75" x14ac:dyDescent="0.25">
      <c r="A13" s="69" t="str">
        <f>CONCATENATE( "ЛОКАЛЬНАЯ СМЕТА № ",IF(Source!F20&lt;&gt;"Новая локальная смета", Source!F20, ""))</f>
        <v>ЛОКАЛЬНАЯ СМЕТА № Локальная смета №1</v>
      </c>
      <c r="B13" s="70"/>
      <c r="C13" s="70"/>
      <c r="D13" s="70"/>
      <c r="E13" s="70"/>
      <c r="F13" s="70"/>
      <c r="G13" s="70"/>
      <c r="H13" s="70"/>
      <c r="I13" s="70"/>
      <c r="J13" s="70"/>
      <c r="K13" s="70"/>
    </row>
    <row r="14" spans="1:11" x14ac:dyDescent="0.2">
      <c r="A14" s="65" t="s">
        <v>872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</row>
    <row r="15" spans="1:11" ht="14.25" x14ac:dyDescent="0.2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</row>
    <row r="16" spans="1:11" ht="18" x14ac:dyDescent="0.25">
      <c r="A16" s="63" t="str">
        <f>IF(Source!G20&lt;&gt;"Новая локальная смета", Source!G20, "")</f>
        <v>Смета на общестроительные работы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</row>
    <row r="17" spans="1:11" ht="14.25" x14ac:dyDescent="0.2">
      <c r="A17" s="13"/>
      <c r="B17" s="13"/>
      <c r="C17" s="13"/>
      <c r="D17" s="13"/>
      <c r="E17" s="13"/>
      <c r="F17" s="13"/>
      <c r="G17" s="13"/>
      <c r="H17" s="13"/>
      <c r="I17" s="13"/>
      <c r="J17" s="13"/>
      <c r="K17" s="13"/>
    </row>
    <row r="18" spans="1:11" ht="18" x14ac:dyDescent="0.25">
      <c r="A18" s="64" t="str">
        <f>IF(Source!G12&lt;&gt;"Новый объект", Source!G12, "")</f>
        <v>Общестроительные работы ДГП №150 ф2</v>
      </c>
      <c r="B18" s="64"/>
      <c r="C18" s="64"/>
      <c r="D18" s="64"/>
      <c r="E18" s="64"/>
      <c r="F18" s="64"/>
      <c r="G18" s="64"/>
      <c r="H18" s="64"/>
      <c r="I18" s="64"/>
      <c r="J18" s="64"/>
      <c r="K18" s="64"/>
    </row>
    <row r="19" spans="1:11" x14ac:dyDescent="0.2">
      <c r="A19" s="65" t="s">
        <v>873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</row>
    <row r="20" spans="1:11" ht="14.25" x14ac:dyDescent="0.2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</row>
    <row r="21" spans="1:11" ht="14.25" x14ac:dyDescent="0.2">
      <c r="A21" s="67" t="str">
        <f>CONCATENATE( "Основание: чертежи № ", Source!J20)</f>
        <v xml:space="preserve">Основание: чертежи № 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</row>
    <row r="22" spans="1:11" ht="28.5" x14ac:dyDescent="0.2">
      <c r="A22" s="13"/>
      <c r="B22" s="13"/>
      <c r="C22" s="13"/>
      <c r="D22" s="13"/>
      <c r="E22" s="13"/>
      <c r="F22" s="13"/>
      <c r="G22" s="13"/>
      <c r="H22" s="13"/>
      <c r="I22" s="19" t="s">
        <v>874</v>
      </c>
      <c r="J22" s="19" t="s">
        <v>875</v>
      </c>
      <c r="K22" s="13"/>
    </row>
    <row r="23" spans="1:11" ht="14.25" x14ac:dyDescent="0.2">
      <c r="A23" s="13"/>
      <c r="B23" s="13"/>
      <c r="C23" s="13"/>
      <c r="D23" s="13"/>
      <c r="E23" s="13"/>
      <c r="F23" s="61" t="s">
        <v>876</v>
      </c>
      <c r="G23" s="61"/>
      <c r="H23" s="61"/>
      <c r="I23" s="20">
        <f>SUM(O32:O597)/1000</f>
        <v>154.72742000000002</v>
      </c>
      <c r="J23" s="20">
        <f>(Source!P651/1000)</f>
        <v>608.22555</v>
      </c>
      <c r="K23" s="13" t="s">
        <v>914</v>
      </c>
    </row>
    <row r="24" spans="1:11" ht="14.25" x14ac:dyDescent="0.2">
      <c r="A24" s="13"/>
      <c r="B24" s="13"/>
      <c r="C24" s="13"/>
      <c r="D24" s="13"/>
      <c r="E24" s="13"/>
      <c r="F24" s="61" t="s">
        <v>38</v>
      </c>
      <c r="G24" s="61"/>
      <c r="H24" s="61"/>
      <c r="I24" s="20">
        <f>SUM(X32:X597)/1000</f>
        <v>83.99536999999998</v>
      </c>
      <c r="J24" s="20">
        <f>(Source!P641)/1000</f>
        <v>303.91164000000003</v>
      </c>
      <c r="K24" s="13" t="s">
        <v>914</v>
      </c>
    </row>
    <row r="25" spans="1:11" ht="14.25" x14ac:dyDescent="0.2">
      <c r="A25" s="13"/>
      <c r="B25" s="13"/>
      <c r="C25" s="13"/>
      <c r="D25" s="13"/>
      <c r="E25" s="13"/>
      <c r="F25" s="61" t="s">
        <v>205</v>
      </c>
      <c r="G25" s="61"/>
      <c r="H25" s="61"/>
      <c r="I25" s="20">
        <f>SUM(Y32:Y597)/1000</f>
        <v>11.121310000000003</v>
      </c>
      <c r="J25" s="20">
        <f>(Source!P642)/1000</f>
        <v>54.7592</v>
      </c>
      <c r="K25" s="13" t="s">
        <v>914</v>
      </c>
    </row>
    <row r="26" spans="1:11" ht="14.25" x14ac:dyDescent="0.2">
      <c r="A26" s="13"/>
      <c r="B26" s="13"/>
      <c r="C26" s="13"/>
      <c r="D26" s="13"/>
      <c r="E26" s="13"/>
      <c r="F26" s="61" t="s">
        <v>574</v>
      </c>
      <c r="G26" s="61"/>
      <c r="H26" s="61"/>
      <c r="I26" s="20">
        <f>SUM(Z32:Z597)/1000</f>
        <v>59.40061</v>
      </c>
      <c r="J26" s="20">
        <f>(Source!P633)/1000</f>
        <v>247.70054999999999</v>
      </c>
      <c r="K26" s="13" t="s">
        <v>914</v>
      </c>
    </row>
    <row r="27" spans="1:11" ht="14.25" x14ac:dyDescent="0.2">
      <c r="A27" s="13"/>
      <c r="B27" s="13"/>
      <c r="C27" s="13"/>
      <c r="D27" s="13"/>
      <c r="E27" s="13"/>
      <c r="F27" s="61" t="s">
        <v>594</v>
      </c>
      <c r="G27" s="61"/>
      <c r="H27" s="61"/>
      <c r="I27" s="20">
        <f>SUM(AA32:AA597)/1000</f>
        <v>0.21012999999999998</v>
      </c>
      <c r="J27" s="20">
        <f>(Source!P643+Source!P644)/1000</f>
        <v>1.85416</v>
      </c>
      <c r="K27" s="13" t="s">
        <v>914</v>
      </c>
    </row>
    <row r="28" spans="1:11" ht="14.25" x14ac:dyDescent="0.2">
      <c r="A28" s="13"/>
      <c r="B28" s="13"/>
      <c r="C28" s="13"/>
      <c r="D28" s="13"/>
      <c r="E28" s="13"/>
      <c r="F28" s="61" t="s">
        <v>877</v>
      </c>
      <c r="G28" s="61"/>
      <c r="H28" s="61"/>
      <c r="I28" s="20">
        <f>SUM(W32:W597)/1000</f>
        <v>2.0081100000000003</v>
      </c>
      <c r="J28" s="20">
        <f>((Source!P639 + Source!P638)/1000)</f>
        <v>40.965309999999995</v>
      </c>
      <c r="K28" s="13" t="s">
        <v>914</v>
      </c>
    </row>
    <row r="29" spans="1:11" ht="14.25" x14ac:dyDescent="0.2">
      <c r="A29" s="62" t="s">
        <v>889</v>
      </c>
      <c r="B29" s="62"/>
      <c r="C29" s="62"/>
      <c r="D29" s="62"/>
      <c r="E29" s="62"/>
      <c r="F29" s="62"/>
      <c r="G29" s="62"/>
      <c r="H29" s="62"/>
      <c r="I29" s="62"/>
      <c r="J29" s="62"/>
      <c r="K29" s="62"/>
    </row>
    <row r="30" spans="1:11" ht="57" x14ac:dyDescent="0.2">
      <c r="A30" s="21" t="s">
        <v>878</v>
      </c>
      <c r="B30" s="21" t="s">
        <v>879</v>
      </c>
      <c r="C30" s="21" t="s">
        <v>880</v>
      </c>
      <c r="D30" s="21" t="s">
        <v>881</v>
      </c>
      <c r="E30" s="21" t="s">
        <v>882</v>
      </c>
      <c r="F30" s="21" t="s">
        <v>883</v>
      </c>
      <c r="G30" s="22" t="s">
        <v>884</v>
      </c>
      <c r="H30" s="22" t="s">
        <v>885</v>
      </c>
      <c r="I30" s="21" t="s">
        <v>886</v>
      </c>
      <c r="J30" s="21" t="s">
        <v>887</v>
      </c>
      <c r="K30" s="21" t="s">
        <v>888</v>
      </c>
    </row>
    <row r="31" spans="1:11" ht="14.25" x14ac:dyDescent="0.2">
      <c r="A31" s="21">
        <v>1</v>
      </c>
      <c r="B31" s="21">
        <v>2</v>
      </c>
      <c r="C31" s="21">
        <v>3</v>
      </c>
      <c r="D31" s="21">
        <v>4</v>
      </c>
      <c r="E31" s="21">
        <v>5</v>
      </c>
      <c r="F31" s="21">
        <v>6</v>
      </c>
      <c r="G31" s="21">
        <v>7</v>
      </c>
      <c r="H31" s="21">
        <v>8</v>
      </c>
      <c r="I31" s="21">
        <v>9</v>
      </c>
      <c r="J31" s="21">
        <v>10</v>
      </c>
      <c r="K31" s="21">
        <v>11</v>
      </c>
    </row>
    <row r="33" spans="1:27" ht="16.5" x14ac:dyDescent="0.25">
      <c r="A33" s="60" t="str">
        <f>CONCATENATE("Раздел: ",IF(Source!G24&lt;&gt;"Новый раздел", Source!G24, ""))</f>
        <v>Раздел: Наружные работы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</row>
    <row r="34" spans="1:27" ht="42.75" x14ac:dyDescent="0.2">
      <c r="A34" s="23" t="str">
        <f>Source!E29</f>
        <v>1</v>
      </c>
      <c r="B34" s="24" t="str">
        <f>Source!F29</f>
        <v>6.68-51-4</v>
      </c>
      <c r="C34" s="24" t="str">
        <f>Source!G29</f>
        <v>Разборка покрытий и оснований асфальтобетонных</v>
      </c>
      <c r="D34" s="25" t="str">
        <f>Source!H29</f>
        <v>100 м3 конструкций</v>
      </c>
      <c r="E34" s="12">
        <f>Source!I29</f>
        <v>9.7099999999999999E-3</v>
      </c>
      <c r="F34" s="27"/>
      <c r="G34" s="26"/>
      <c r="H34" s="12"/>
      <c r="I34" s="28"/>
      <c r="J34" s="12"/>
      <c r="K34" s="28"/>
      <c r="Q34">
        <f>ROUND((Source!DN29/100)*ROUND((Source!AF29*Source!AV29)*Source!I29, 2), 2)</f>
        <v>13.11</v>
      </c>
      <c r="R34">
        <f>Source!X29</f>
        <v>227.36</v>
      </c>
      <c r="S34">
        <f>ROUND((Source!DO29/100)*ROUND((Source!AF29*Source!AV29)*Source!I29, 2), 2)</f>
        <v>9.01</v>
      </c>
      <c r="T34">
        <f>Source!Y29</f>
        <v>137.09</v>
      </c>
      <c r="U34">
        <f>ROUND((175/100)*ROUND((Source!AE29*Source!AV29)*Source!I29, 2), 2)</f>
        <v>12.5</v>
      </c>
      <c r="V34">
        <f>ROUND((168/100)*ROUND(Source!CS29*Source!I29, 2), 2)</f>
        <v>244.68</v>
      </c>
    </row>
    <row r="35" spans="1:27" x14ac:dyDescent="0.2">
      <c r="C35" s="29" t="str">
        <f>"Объем: "&amp;Source!I29&amp;"=0,971/"&amp;"100"</f>
        <v>Объем: 0,00971=0,971/100</v>
      </c>
    </row>
    <row r="36" spans="1:27" ht="14.25" x14ac:dyDescent="0.2">
      <c r="A36" s="23"/>
      <c r="B36" s="24"/>
      <c r="C36" s="24" t="s">
        <v>890</v>
      </c>
      <c r="D36" s="25"/>
      <c r="E36" s="12"/>
      <c r="F36" s="27">
        <f>Source!AO29</f>
        <v>1687.95</v>
      </c>
      <c r="G36" s="26" t="str">
        <f>Source!DG29</f>
        <v/>
      </c>
      <c r="H36" s="12">
        <f>Source!AV29</f>
        <v>1</v>
      </c>
      <c r="I36" s="28">
        <f>ROUND((Source!AF29*Source!AV29)*Source!I29, 2)</f>
        <v>16.39</v>
      </c>
      <c r="J36" s="12">
        <f>IF(Source!BA29&lt;&gt; 0, Source!BA29, 1)</f>
        <v>20.399999999999999</v>
      </c>
      <c r="K36" s="28">
        <f>Source!S29</f>
        <v>334.36</v>
      </c>
      <c r="W36">
        <f>I36</f>
        <v>16.39</v>
      </c>
    </row>
    <row r="37" spans="1:27" ht="14.25" x14ac:dyDescent="0.2">
      <c r="A37" s="23"/>
      <c r="B37" s="24"/>
      <c r="C37" s="24" t="s">
        <v>891</v>
      </c>
      <c r="D37" s="25"/>
      <c r="E37" s="12"/>
      <c r="F37" s="27">
        <f>Source!AM29</f>
        <v>2713.55</v>
      </c>
      <c r="G37" s="26" t="str">
        <f>Source!DE29</f>
        <v/>
      </c>
      <c r="H37" s="12">
        <f>Source!AV29</f>
        <v>1</v>
      </c>
      <c r="I37" s="28">
        <f>ROUND((Source!AD29*Source!AV29)*Source!I29, 2)</f>
        <v>26.35</v>
      </c>
      <c r="J37" s="12">
        <f>IF(Source!BB29&lt;&gt; 0, Source!BB29, 1)</f>
        <v>9.4499999999999993</v>
      </c>
      <c r="K37" s="28">
        <f>Source!Q29</f>
        <v>248.99</v>
      </c>
    </row>
    <row r="38" spans="1:27" ht="14.25" x14ac:dyDescent="0.2">
      <c r="A38" s="23"/>
      <c r="B38" s="24"/>
      <c r="C38" s="24" t="s">
        <v>892</v>
      </c>
      <c r="D38" s="25"/>
      <c r="E38" s="12"/>
      <c r="F38" s="27">
        <f>Source!AN29</f>
        <v>735.23</v>
      </c>
      <c r="G38" s="26" t="str">
        <f>Source!DF29</f>
        <v/>
      </c>
      <c r="H38" s="12">
        <f>Source!AV29</f>
        <v>1</v>
      </c>
      <c r="I38" s="30">
        <f>ROUND((Source!AE29*Source!AV29)*Source!I29, 2)</f>
        <v>7.14</v>
      </c>
      <c r="J38" s="12">
        <f>IF(Source!BS29&lt;&gt; 0, Source!BS29, 1)</f>
        <v>20.399999999999999</v>
      </c>
      <c r="K38" s="30">
        <f>Source!R29</f>
        <v>145.63999999999999</v>
      </c>
      <c r="W38">
        <f>I38</f>
        <v>7.14</v>
      </c>
    </row>
    <row r="39" spans="1:27" ht="28.5" x14ac:dyDescent="0.2">
      <c r="A39" s="23" t="str">
        <f>Source!E31</f>
        <v>1,1</v>
      </c>
      <c r="B39" s="24" t="str">
        <f>Source!F31</f>
        <v>9999990001</v>
      </c>
      <c r="C39" s="24" t="str">
        <f>Source!G31</f>
        <v>Масса мусора 2,4кг/1м3</v>
      </c>
      <c r="D39" s="25" t="str">
        <f>Source!H31</f>
        <v>т</v>
      </c>
      <c r="E39" s="12">
        <f>Source!I31</f>
        <v>3.0000000000000001E-3</v>
      </c>
      <c r="F39" s="27">
        <f>Source!AK31</f>
        <v>0</v>
      </c>
      <c r="G39" s="31" t="s">
        <v>3</v>
      </c>
      <c r="H39" s="12">
        <f>Source!AW31</f>
        <v>1</v>
      </c>
      <c r="I39" s="28">
        <f>ROUND((Source!AC31*Source!AW31)*Source!I31, 2)+ROUND((Source!AD31*Source!AV31)*Source!I31, 2)+ROUND((Source!AF31*Source!AV31)*Source!I31, 2)</f>
        <v>0</v>
      </c>
      <c r="J39" s="12">
        <f>IF(Source!BC31&lt;&gt; 0, Source!BC31, 1)</f>
        <v>1</v>
      </c>
      <c r="K39" s="28">
        <f>Source!O31</f>
        <v>0</v>
      </c>
      <c r="Q39">
        <f>ROUND((Source!DN31/100)*ROUND((Source!AF31*Source!AV31)*Source!I31, 2), 2)</f>
        <v>0</v>
      </c>
      <c r="R39">
        <f>Source!X31</f>
        <v>0</v>
      </c>
      <c r="S39">
        <f>ROUND((Source!DO31/100)*ROUND((Source!AF31*Source!AV31)*Source!I31, 2), 2)</f>
        <v>0</v>
      </c>
      <c r="T39">
        <f>Source!Y31</f>
        <v>0</v>
      </c>
      <c r="U39">
        <f>ROUND((175/100)*ROUND((Source!AE31*Source!AV31)*Source!I31, 2), 2)</f>
        <v>0</v>
      </c>
      <c r="V39">
        <f>ROUND((168/100)*ROUND(Source!CS31*Source!I31, 2), 2)</f>
        <v>0</v>
      </c>
      <c r="X39">
        <f>IF(Source!BI31&lt;=1,I39, 0)</f>
        <v>0</v>
      </c>
      <c r="Y39">
        <f>IF(Source!BI31=2,I39, 0)</f>
        <v>0</v>
      </c>
      <c r="Z39">
        <f>IF(Source!BI31=3,I39, 0)</f>
        <v>0</v>
      </c>
      <c r="AA39">
        <f>IF(Source!BI31=4,I39, 0)</f>
        <v>0</v>
      </c>
    </row>
    <row r="40" spans="1:27" ht="14.25" x14ac:dyDescent="0.2">
      <c r="A40" s="23"/>
      <c r="B40" s="24"/>
      <c r="C40" s="24" t="s">
        <v>893</v>
      </c>
      <c r="D40" s="25" t="s">
        <v>894</v>
      </c>
      <c r="E40" s="12">
        <f>Source!DN29</f>
        <v>80</v>
      </c>
      <c r="F40" s="27"/>
      <c r="G40" s="26"/>
      <c r="H40" s="12"/>
      <c r="I40" s="28">
        <f>SUM(Q34:Q39)</f>
        <v>13.11</v>
      </c>
      <c r="J40" s="12">
        <f>Source!BZ29</f>
        <v>68</v>
      </c>
      <c r="K40" s="28">
        <f>SUM(R34:R39)</f>
        <v>227.36</v>
      </c>
    </row>
    <row r="41" spans="1:27" ht="14.25" x14ac:dyDescent="0.2">
      <c r="A41" s="23"/>
      <c r="B41" s="24"/>
      <c r="C41" s="24" t="s">
        <v>895</v>
      </c>
      <c r="D41" s="25" t="s">
        <v>894</v>
      </c>
      <c r="E41" s="12">
        <f>Source!DO29</f>
        <v>55</v>
      </c>
      <c r="F41" s="27"/>
      <c r="G41" s="26"/>
      <c r="H41" s="12"/>
      <c r="I41" s="28">
        <f>SUM(S34:S40)</f>
        <v>9.01</v>
      </c>
      <c r="J41" s="12">
        <f>Source!CA29</f>
        <v>41</v>
      </c>
      <c r="K41" s="28">
        <f>SUM(T34:T40)</f>
        <v>137.09</v>
      </c>
    </row>
    <row r="42" spans="1:27" ht="14.25" x14ac:dyDescent="0.2">
      <c r="A42" s="23"/>
      <c r="B42" s="24"/>
      <c r="C42" s="24" t="s">
        <v>896</v>
      </c>
      <c r="D42" s="25" t="s">
        <v>894</v>
      </c>
      <c r="E42" s="12">
        <f>175</f>
        <v>175</v>
      </c>
      <c r="F42" s="27"/>
      <c r="G42" s="26"/>
      <c r="H42" s="12"/>
      <c r="I42" s="28">
        <f>SUM(U34:U41)</f>
        <v>12.5</v>
      </c>
      <c r="J42" s="12">
        <f>168</f>
        <v>168</v>
      </c>
      <c r="K42" s="28">
        <f>SUM(V34:V41)</f>
        <v>244.68</v>
      </c>
    </row>
    <row r="43" spans="1:27" ht="14.25" x14ac:dyDescent="0.2">
      <c r="A43" s="23"/>
      <c r="B43" s="24"/>
      <c r="C43" s="24" t="s">
        <v>897</v>
      </c>
      <c r="D43" s="25" t="s">
        <v>898</v>
      </c>
      <c r="E43" s="12">
        <f>Source!AQ29</f>
        <v>155</v>
      </c>
      <c r="F43" s="27"/>
      <c r="G43" s="26" t="str">
        <f>Source!DI29</f>
        <v/>
      </c>
      <c r="H43" s="12">
        <f>Source!AV29</f>
        <v>1</v>
      </c>
      <c r="I43" s="28">
        <f>Source!U29</f>
        <v>1.50505</v>
      </c>
      <c r="J43" s="12"/>
      <c r="K43" s="28"/>
    </row>
    <row r="44" spans="1:27" ht="15" x14ac:dyDescent="0.25">
      <c r="A44" s="33"/>
      <c r="B44" s="33"/>
      <c r="C44" s="33"/>
      <c r="D44" s="33"/>
      <c r="E44" s="33"/>
      <c r="F44" s="33"/>
      <c r="G44" s="33"/>
      <c r="H44" s="59">
        <f>I36+I37+I40+I41+I42+SUM(I39:I39)</f>
        <v>77.36</v>
      </c>
      <c r="I44" s="59"/>
      <c r="J44" s="59">
        <f>K36+K37+K40+K41+K42+SUM(K39:K39)</f>
        <v>1192.48</v>
      </c>
      <c r="K44" s="59"/>
      <c r="O44" s="32">
        <f>I36+I37+I40+I41+I42+SUM(I39:I39)</f>
        <v>77.36</v>
      </c>
      <c r="P44" s="32">
        <f>K36+K37+K40+K41+K42+SUM(K39:K39)</f>
        <v>1192.48</v>
      </c>
      <c r="X44">
        <f>IF(Source!BI29&lt;=1,I36+I37+I40+I41+I42-0, 0)</f>
        <v>77.36</v>
      </c>
      <c r="Y44">
        <f>IF(Source!BI29=2,I36+I37+I40+I41+I42-0, 0)</f>
        <v>0</v>
      </c>
      <c r="Z44">
        <f>IF(Source!BI29=3,I36+I37+I40+I41+I42-0, 0)</f>
        <v>0</v>
      </c>
      <c r="AA44">
        <f>IF(Source!BI29=4,I36+I37+I40+I41+I42,0)</f>
        <v>0</v>
      </c>
    </row>
    <row r="45" spans="1:27" ht="71.25" x14ac:dyDescent="0.2">
      <c r="A45" s="23" t="str">
        <f>Source!E33</f>
        <v>2</v>
      </c>
      <c r="B45" s="24" t="str">
        <f>Source!F33</f>
        <v>3.1-52-1</v>
      </c>
      <c r="C45" s="24" t="str">
        <f>Source!G33</f>
        <v>Копание ям вручную без креплений для стоек и столбов без откосов глубиной до 0,7 м группа грунтов 1-3(газон.,плодородный слой 13,16м2*0,25)</v>
      </c>
      <c r="D45" s="25" t="str">
        <f>Source!H33</f>
        <v>100 м3 грунта</v>
      </c>
      <c r="E45" s="12">
        <f>Source!I33</f>
        <v>3.2899999999999999E-2</v>
      </c>
      <c r="F45" s="27"/>
      <c r="G45" s="26"/>
      <c r="H45" s="12"/>
      <c r="I45" s="28"/>
      <c r="J45" s="12"/>
      <c r="K45" s="28"/>
      <c r="Q45">
        <f>ROUND((Source!DN33/100)*ROUND((Source!AF33*Source!AV33)*Source!I33, 2), 2)</f>
        <v>121.22</v>
      </c>
      <c r="R45">
        <f>Source!X33</f>
        <v>1983.78</v>
      </c>
      <c r="S45">
        <f>ROUND((Source!DO33/100)*ROUND((Source!AF33*Source!AV33)*Source!I33, 2), 2)</f>
        <v>89.25</v>
      </c>
      <c r="T45">
        <f>Source!Y33</f>
        <v>1114.18</v>
      </c>
      <c r="U45">
        <f>ROUND((175/100)*ROUND((Source!AE33*Source!AV33)*Source!I33, 2), 2)</f>
        <v>0</v>
      </c>
      <c r="V45">
        <f>ROUND((168/100)*ROUND(Source!CS33*Source!I33, 2), 2)</f>
        <v>0</v>
      </c>
    </row>
    <row r="46" spans="1:27" x14ac:dyDescent="0.2">
      <c r="C46" s="29" t="str">
        <f>"Объем: "&amp;Source!I33&amp;"=3,29/"&amp;"100"</f>
        <v>Объем: 0,0329=3,29/100</v>
      </c>
    </row>
    <row r="47" spans="1:27" ht="14.25" x14ac:dyDescent="0.2">
      <c r="A47" s="23"/>
      <c r="B47" s="24"/>
      <c r="C47" s="24" t="s">
        <v>890</v>
      </c>
      <c r="D47" s="25"/>
      <c r="E47" s="12"/>
      <c r="F47" s="27">
        <f>Source!AO33</f>
        <v>3520.83</v>
      </c>
      <c r="G47" s="26" t="str">
        <f>Source!DG33</f>
        <v>)*1,15</v>
      </c>
      <c r="H47" s="12">
        <f>Source!AV33</f>
        <v>1</v>
      </c>
      <c r="I47" s="28">
        <f>ROUND((Source!AF33*Source!AV33)*Source!I33, 2)</f>
        <v>133.21</v>
      </c>
      <c r="J47" s="12">
        <f>IF(Source!BA33&lt;&gt; 0, Source!BA33, 1)</f>
        <v>20.399999999999999</v>
      </c>
      <c r="K47" s="28">
        <f>Source!S33</f>
        <v>2717.5</v>
      </c>
      <c r="W47">
        <f>I47</f>
        <v>133.21</v>
      </c>
    </row>
    <row r="48" spans="1:27" ht="14.25" x14ac:dyDescent="0.2">
      <c r="A48" s="23"/>
      <c r="B48" s="24"/>
      <c r="C48" s="24" t="s">
        <v>893</v>
      </c>
      <c r="D48" s="25" t="s">
        <v>894</v>
      </c>
      <c r="E48" s="12">
        <f>Source!DN33</f>
        <v>91</v>
      </c>
      <c r="F48" s="27"/>
      <c r="G48" s="26"/>
      <c r="H48" s="12"/>
      <c r="I48" s="28">
        <f>SUM(Q45:Q47)</f>
        <v>121.22</v>
      </c>
      <c r="J48" s="12">
        <f>Source!BZ33</f>
        <v>73</v>
      </c>
      <c r="K48" s="28">
        <f>SUM(R45:R47)</f>
        <v>1983.78</v>
      </c>
    </row>
    <row r="49" spans="1:27" ht="14.25" x14ac:dyDescent="0.2">
      <c r="A49" s="23"/>
      <c r="B49" s="24"/>
      <c r="C49" s="24" t="s">
        <v>895</v>
      </c>
      <c r="D49" s="25" t="s">
        <v>894</v>
      </c>
      <c r="E49" s="12">
        <f>Source!DO33</f>
        <v>67</v>
      </c>
      <c r="F49" s="27"/>
      <c r="G49" s="26"/>
      <c r="H49" s="12"/>
      <c r="I49" s="28">
        <f>SUM(S45:S48)</f>
        <v>89.25</v>
      </c>
      <c r="J49" s="12">
        <f>Source!CA33</f>
        <v>41</v>
      </c>
      <c r="K49" s="28">
        <f>SUM(T45:T48)</f>
        <v>1114.18</v>
      </c>
    </row>
    <row r="50" spans="1:27" ht="14.25" x14ac:dyDescent="0.2">
      <c r="A50" s="23"/>
      <c r="B50" s="24"/>
      <c r="C50" s="24" t="s">
        <v>897</v>
      </c>
      <c r="D50" s="25" t="s">
        <v>898</v>
      </c>
      <c r="E50" s="12">
        <f>Source!AQ33</f>
        <v>329.05</v>
      </c>
      <c r="F50" s="27"/>
      <c r="G50" s="26" t="str">
        <f>Source!DI33</f>
        <v>)*1,15</v>
      </c>
      <c r="H50" s="12">
        <f>Source!AV33</f>
        <v>1</v>
      </c>
      <c r="I50" s="28">
        <f>Source!U33</f>
        <v>12.449606749999999</v>
      </c>
      <c r="J50" s="12"/>
      <c r="K50" s="28"/>
    </row>
    <row r="51" spans="1:27" ht="15" x14ac:dyDescent="0.25">
      <c r="A51" s="33"/>
      <c r="B51" s="33"/>
      <c r="C51" s="33"/>
      <c r="D51" s="33"/>
      <c r="E51" s="33"/>
      <c r="F51" s="33"/>
      <c r="G51" s="33"/>
      <c r="H51" s="59">
        <f>I47+I48+I49</f>
        <v>343.68</v>
      </c>
      <c r="I51" s="59"/>
      <c r="J51" s="59">
        <f>K47+K48+K49</f>
        <v>5815.46</v>
      </c>
      <c r="K51" s="59"/>
      <c r="O51" s="32">
        <f>I47+I48+I49</f>
        <v>343.68</v>
      </c>
      <c r="P51" s="32">
        <f>K47+K48+K49</f>
        <v>5815.46</v>
      </c>
      <c r="X51">
        <f>IF(Source!BI33&lt;=1,I47+I48+I49-0, 0)</f>
        <v>343.68</v>
      </c>
      <c r="Y51">
        <f>IF(Source!BI33=2,I47+I48+I49-0, 0)</f>
        <v>0</v>
      </c>
      <c r="Z51">
        <f>IF(Source!BI33=3,I47+I48+I49-0, 0)</f>
        <v>0</v>
      </c>
      <c r="AA51">
        <f>IF(Source!BI33=4,I47+I48+I49,0)</f>
        <v>0</v>
      </c>
    </row>
    <row r="52" spans="1:27" ht="42.75" x14ac:dyDescent="0.2">
      <c r="A52" s="23" t="str">
        <f>Source!E35</f>
        <v>3</v>
      </c>
      <c r="B52" s="24" t="str">
        <f>Source!F35</f>
        <v>6.59-4-1</v>
      </c>
      <c r="C52" s="24" t="str">
        <f>Source!G35</f>
        <v>Разборка металлических лестничных решеток, массой 1 м решетки до 60 кг (ограждение газона)</v>
      </c>
      <c r="D52" s="25" t="str">
        <f>Source!H35</f>
        <v>100 м решетки</v>
      </c>
      <c r="E52" s="12">
        <f>Source!I35</f>
        <v>8.6900000000000005E-2</v>
      </c>
      <c r="F52" s="27"/>
      <c r="G52" s="26"/>
      <c r="H52" s="12"/>
      <c r="I52" s="28"/>
      <c r="J52" s="12"/>
      <c r="K52" s="28"/>
      <c r="Q52">
        <f>ROUND((Source!DN35/100)*ROUND((Source!AF35*Source!AV35)*Source!I35, 2), 2)</f>
        <v>34.229999999999997</v>
      </c>
      <c r="R52">
        <f>Source!X35</f>
        <v>593.57000000000005</v>
      </c>
      <c r="S52">
        <f>ROUND((Source!DO35/100)*ROUND((Source!AF35*Source!AV35)*Source!I35, 2), 2)</f>
        <v>23.53</v>
      </c>
      <c r="T52">
        <f>Source!Y35</f>
        <v>357.88</v>
      </c>
      <c r="U52">
        <f>ROUND((175/100)*ROUND((Source!AE35*Source!AV35)*Source!I35, 2), 2)</f>
        <v>1.91</v>
      </c>
      <c r="V52">
        <f>ROUND((168/100)*ROUND(Source!CS35*Source!I35, 2), 2)</f>
        <v>37.53</v>
      </c>
    </row>
    <row r="53" spans="1:27" x14ac:dyDescent="0.2">
      <c r="C53" s="29" t="str">
        <f>"Объем: "&amp;Source!I35&amp;"=8,69/"&amp;"100"</f>
        <v>Объем: 0,0869=8,69/100</v>
      </c>
    </row>
    <row r="54" spans="1:27" ht="14.25" x14ac:dyDescent="0.2">
      <c r="A54" s="23"/>
      <c r="B54" s="24"/>
      <c r="C54" s="24" t="s">
        <v>890</v>
      </c>
      <c r="D54" s="25"/>
      <c r="E54" s="12"/>
      <c r="F54" s="27">
        <f>Source!AO35</f>
        <v>492.39</v>
      </c>
      <c r="G54" s="26" t="str">
        <f>Source!DG35</f>
        <v/>
      </c>
      <c r="H54" s="12">
        <f>Source!AV35</f>
        <v>1</v>
      </c>
      <c r="I54" s="28">
        <f>ROUND((Source!AF35*Source!AV35)*Source!I35, 2)</f>
        <v>42.79</v>
      </c>
      <c r="J54" s="12">
        <f>IF(Source!BA35&lt;&gt; 0, Source!BA35, 1)</f>
        <v>20.399999999999999</v>
      </c>
      <c r="K54" s="28">
        <f>Source!S35</f>
        <v>872.89</v>
      </c>
      <c r="W54">
        <f>I54</f>
        <v>42.79</v>
      </c>
    </row>
    <row r="55" spans="1:27" ht="14.25" x14ac:dyDescent="0.2">
      <c r="A55" s="23"/>
      <c r="B55" s="24"/>
      <c r="C55" s="24" t="s">
        <v>891</v>
      </c>
      <c r="D55" s="25"/>
      <c r="E55" s="12"/>
      <c r="F55" s="27">
        <f>Source!AM35</f>
        <v>203.98</v>
      </c>
      <c r="G55" s="26" t="str">
        <f>Source!DE35</f>
        <v/>
      </c>
      <c r="H55" s="12">
        <f>Source!AV35</f>
        <v>1</v>
      </c>
      <c r="I55" s="28">
        <f>ROUND((Source!AD35*Source!AV35)*Source!I35, 2)</f>
        <v>17.73</v>
      </c>
      <c r="J55" s="12">
        <f>IF(Source!BB35&lt;&gt; 0, Source!BB35, 1)</f>
        <v>6.34</v>
      </c>
      <c r="K55" s="28">
        <f>Source!Q35</f>
        <v>112.38</v>
      </c>
    </row>
    <row r="56" spans="1:27" ht="14.25" x14ac:dyDescent="0.2">
      <c r="A56" s="23"/>
      <c r="B56" s="24"/>
      <c r="C56" s="24" t="s">
        <v>892</v>
      </c>
      <c r="D56" s="25"/>
      <c r="E56" s="12"/>
      <c r="F56" s="27">
        <f>Source!AN35</f>
        <v>12.6</v>
      </c>
      <c r="G56" s="26" t="str">
        <f>Source!DF35</f>
        <v/>
      </c>
      <c r="H56" s="12">
        <f>Source!AV35</f>
        <v>1</v>
      </c>
      <c r="I56" s="30">
        <f>ROUND((Source!AE35*Source!AV35)*Source!I35, 2)</f>
        <v>1.0900000000000001</v>
      </c>
      <c r="J56" s="12">
        <f>IF(Source!BS35&lt;&gt; 0, Source!BS35, 1)</f>
        <v>20.399999999999999</v>
      </c>
      <c r="K56" s="30">
        <f>Source!R35</f>
        <v>22.34</v>
      </c>
      <c r="W56">
        <f>I56</f>
        <v>1.0900000000000001</v>
      </c>
    </row>
    <row r="57" spans="1:27" ht="28.5" x14ac:dyDescent="0.2">
      <c r="A57" s="23" t="str">
        <f>Source!E37</f>
        <v>3,1</v>
      </c>
      <c r="B57" s="24" t="str">
        <f>Source!F37</f>
        <v>9999990001</v>
      </c>
      <c r="C57" s="24" t="str">
        <f>Source!G37</f>
        <v>Масса мусора</v>
      </c>
      <c r="D57" s="25" t="str">
        <f>Source!H37</f>
        <v>т</v>
      </c>
      <c r="E57" s="12">
        <f>Source!I37</f>
        <v>-0.21725</v>
      </c>
      <c r="F57" s="27">
        <f>Source!AK37</f>
        <v>0</v>
      </c>
      <c r="G57" s="31" t="s">
        <v>3</v>
      </c>
      <c r="H57" s="12">
        <f>Source!AW37</f>
        <v>1</v>
      </c>
      <c r="I57" s="28">
        <f>ROUND((Source!AC37*Source!AW37)*Source!I37, 2)+ROUND((Source!AD37*Source!AV37)*Source!I37, 2)+ROUND((Source!AF37*Source!AV37)*Source!I37, 2)</f>
        <v>0</v>
      </c>
      <c r="J57" s="12">
        <f>IF(Source!BC37&lt;&gt; 0, Source!BC37, 1)</f>
        <v>1</v>
      </c>
      <c r="K57" s="28">
        <f>Source!O37</f>
        <v>0</v>
      </c>
      <c r="Q57">
        <f>ROUND((Source!DN37/100)*ROUND((Source!AF37*Source!AV37)*Source!I37, 2), 2)</f>
        <v>0</v>
      </c>
      <c r="R57">
        <f>Source!X37</f>
        <v>0</v>
      </c>
      <c r="S57">
        <f>ROUND((Source!DO37/100)*ROUND((Source!AF37*Source!AV37)*Source!I37, 2), 2)</f>
        <v>0</v>
      </c>
      <c r="T57">
        <f>Source!Y37</f>
        <v>0</v>
      </c>
      <c r="U57">
        <f>ROUND((175/100)*ROUND((Source!AE37*Source!AV37)*Source!I37, 2), 2)</f>
        <v>0</v>
      </c>
      <c r="V57">
        <f>ROUND((168/100)*ROUND(Source!CS37*Source!I37, 2), 2)</f>
        <v>0</v>
      </c>
      <c r="X57">
        <f>IF(Source!BI37&lt;=1,I57, 0)</f>
        <v>0</v>
      </c>
      <c r="Y57">
        <f>IF(Source!BI37=2,I57, 0)</f>
        <v>0</v>
      </c>
      <c r="Z57">
        <f>IF(Source!BI37=3,I57, 0)</f>
        <v>0</v>
      </c>
      <c r="AA57">
        <f>IF(Source!BI37=4,I57, 0)</f>
        <v>0</v>
      </c>
    </row>
    <row r="58" spans="1:27" ht="14.25" x14ac:dyDescent="0.2">
      <c r="A58" s="23"/>
      <c r="B58" s="24"/>
      <c r="C58" s="24" t="s">
        <v>893</v>
      </c>
      <c r="D58" s="25" t="s">
        <v>894</v>
      </c>
      <c r="E58" s="12">
        <f>Source!DN35</f>
        <v>80</v>
      </c>
      <c r="F58" s="27"/>
      <c r="G58" s="26"/>
      <c r="H58" s="12"/>
      <c r="I58" s="28">
        <f>SUM(Q52:Q57)</f>
        <v>34.229999999999997</v>
      </c>
      <c r="J58" s="12">
        <f>Source!BZ35</f>
        <v>68</v>
      </c>
      <c r="K58" s="28">
        <f>SUM(R52:R57)</f>
        <v>593.57000000000005</v>
      </c>
    </row>
    <row r="59" spans="1:27" ht="14.25" x14ac:dyDescent="0.2">
      <c r="A59" s="23"/>
      <c r="B59" s="24"/>
      <c r="C59" s="24" t="s">
        <v>895</v>
      </c>
      <c r="D59" s="25" t="s">
        <v>894</v>
      </c>
      <c r="E59" s="12">
        <f>Source!DO35</f>
        <v>55</v>
      </c>
      <c r="F59" s="27"/>
      <c r="G59" s="26"/>
      <c r="H59" s="12"/>
      <c r="I59" s="28">
        <f>SUM(S52:S58)</f>
        <v>23.53</v>
      </c>
      <c r="J59" s="12">
        <f>Source!CA35</f>
        <v>41</v>
      </c>
      <c r="K59" s="28">
        <f>SUM(T52:T58)</f>
        <v>357.88</v>
      </c>
    </row>
    <row r="60" spans="1:27" ht="14.25" x14ac:dyDescent="0.2">
      <c r="A60" s="23"/>
      <c r="B60" s="24"/>
      <c r="C60" s="24" t="s">
        <v>896</v>
      </c>
      <c r="D60" s="25" t="s">
        <v>894</v>
      </c>
      <c r="E60" s="12">
        <f>175</f>
        <v>175</v>
      </c>
      <c r="F60" s="27"/>
      <c r="G60" s="26"/>
      <c r="H60" s="12"/>
      <c r="I60" s="28">
        <f>SUM(U52:U59)</f>
        <v>1.91</v>
      </c>
      <c r="J60" s="12">
        <f>168</f>
        <v>168</v>
      </c>
      <c r="K60" s="28">
        <f>SUM(V52:V59)</f>
        <v>37.53</v>
      </c>
    </row>
    <row r="61" spans="1:27" ht="14.25" x14ac:dyDescent="0.2">
      <c r="A61" s="23"/>
      <c r="B61" s="24"/>
      <c r="C61" s="24" t="s">
        <v>897</v>
      </c>
      <c r="D61" s="25" t="s">
        <v>898</v>
      </c>
      <c r="E61" s="12">
        <f>Source!AQ35</f>
        <v>47.3</v>
      </c>
      <c r="F61" s="27"/>
      <c r="G61" s="26" t="str">
        <f>Source!DI35</f>
        <v/>
      </c>
      <c r="H61" s="12">
        <f>Source!AV35</f>
        <v>1</v>
      </c>
      <c r="I61" s="28">
        <f>Source!U35</f>
        <v>4.1103699999999996</v>
      </c>
      <c r="J61" s="12"/>
      <c r="K61" s="28"/>
    </row>
    <row r="62" spans="1:27" ht="15" x14ac:dyDescent="0.25">
      <c r="A62" s="33"/>
      <c r="B62" s="33"/>
      <c r="C62" s="33"/>
      <c r="D62" s="33"/>
      <c r="E62" s="33"/>
      <c r="F62" s="33"/>
      <c r="G62" s="33"/>
      <c r="H62" s="59">
        <f>I54+I55+I58+I59+I60+SUM(I57:I57)</f>
        <v>120.19</v>
      </c>
      <c r="I62" s="59"/>
      <c r="J62" s="59">
        <f>K54+K55+K58+K59+K60+SUM(K57:K57)</f>
        <v>1974.2500000000002</v>
      </c>
      <c r="K62" s="59"/>
      <c r="O62" s="32">
        <f>I54+I55+I58+I59+I60+SUM(I57:I57)</f>
        <v>120.19</v>
      </c>
      <c r="P62" s="32">
        <f>K54+K55+K58+K59+K60+SUM(K57:K57)</f>
        <v>1974.2500000000002</v>
      </c>
      <c r="X62">
        <f>IF(Source!BI35&lt;=1,I54+I55+I58+I59+I60-0, 0)</f>
        <v>120.19</v>
      </c>
      <c r="Y62">
        <f>IF(Source!BI35=2,I54+I55+I58+I59+I60-0, 0)</f>
        <v>0</v>
      </c>
      <c r="Z62">
        <f>IF(Source!BI35=3,I54+I55+I58+I59+I60-0, 0)</f>
        <v>0</v>
      </c>
      <c r="AA62">
        <f>IF(Source!BI35=4,I54+I55+I58+I59+I60,0)</f>
        <v>0</v>
      </c>
    </row>
    <row r="63" spans="1:27" ht="42.75" x14ac:dyDescent="0.2">
      <c r="A63" s="23" t="str">
        <f>Source!E39</f>
        <v>4</v>
      </c>
      <c r="B63" s="24" t="str">
        <f>Source!F39</f>
        <v>3.27-42-1</v>
      </c>
      <c r="C63" s="24" t="str">
        <f>Source!G39</f>
        <v>Устройство покрытий из горячих асфальтобетонных смесей толщиной 4 см комплектом машин</v>
      </c>
      <c r="D63" s="25" t="str">
        <f>Source!H39</f>
        <v>100 м2 покрытия</v>
      </c>
      <c r="E63" s="12">
        <f>Source!I39</f>
        <v>0.19409999999999999</v>
      </c>
      <c r="F63" s="27"/>
      <c r="G63" s="26"/>
      <c r="H63" s="12"/>
      <c r="I63" s="28"/>
      <c r="J63" s="12"/>
      <c r="K63" s="28"/>
      <c r="Q63">
        <f>ROUND((Source!DN39/100)*ROUND((Source!AF39*Source!AV39)*Source!I39, 2), 2)</f>
        <v>16.309999999999999</v>
      </c>
      <c r="R63">
        <f>Source!X39</f>
        <v>266.07</v>
      </c>
      <c r="S63">
        <f>ROUND((Source!DO39/100)*ROUND((Source!AF39*Source!AV39)*Source!I39, 2), 2)</f>
        <v>9.1999999999999993</v>
      </c>
      <c r="T63">
        <f>Source!Y39</f>
        <v>97.4</v>
      </c>
      <c r="U63">
        <f>ROUND((175/100)*ROUND((Source!AE39*Source!AV39)*Source!I39, 2), 2)</f>
        <v>32.36</v>
      </c>
      <c r="V63">
        <f>ROUND((168/100)*ROUND(Source!CS39*Source!I39, 2), 2)</f>
        <v>633.78</v>
      </c>
    </row>
    <row r="64" spans="1:27" x14ac:dyDescent="0.2">
      <c r="C64" s="29" t="str">
        <f>"Объем: "&amp;Source!I39&amp;"=19,41/"&amp;"100"</f>
        <v>Объем: 0,1941=19,41/100</v>
      </c>
    </row>
    <row r="65" spans="1:27" ht="14.25" x14ac:dyDescent="0.2">
      <c r="A65" s="23"/>
      <c r="B65" s="24"/>
      <c r="C65" s="24" t="s">
        <v>890</v>
      </c>
      <c r="D65" s="25"/>
      <c r="E65" s="12"/>
      <c r="F65" s="27">
        <f>Source!AO39</f>
        <v>52.17</v>
      </c>
      <c r="G65" s="26" t="str">
        <f>Source!DG39</f>
        <v>)*1,15</v>
      </c>
      <c r="H65" s="12">
        <f>Source!AV39</f>
        <v>1</v>
      </c>
      <c r="I65" s="28">
        <f>ROUND((Source!AF39*Source!AV39)*Source!I39, 2)</f>
        <v>11.65</v>
      </c>
      <c r="J65" s="12">
        <f>IF(Source!BA39&lt;&gt; 0, Source!BA39, 1)</f>
        <v>20.399999999999999</v>
      </c>
      <c r="K65" s="28">
        <f>Source!S39</f>
        <v>237.56</v>
      </c>
      <c r="W65">
        <f>I65</f>
        <v>11.65</v>
      </c>
    </row>
    <row r="66" spans="1:27" ht="14.25" x14ac:dyDescent="0.2">
      <c r="A66" s="23"/>
      <c r="B66" s="24"/>
      <c r="C66" s="24" t="s">
        <v>891</v>
      </c>
      <c r="D66" s="25"/>
      <c r="E66" s="12"/>
      <c r="F66" s="27">
        <f>Source!AM39</f>
        <v>419.23</v>
      </c>
      <c r="G66" s="26" t="str">
        <f>Source!DE39</f>
        <v>)*1,25</v>
      </c>
      <c r="H66" s="12">
        <f>Source!AV39</f>
        <v>1</v>
      </c>
      <c r="I66" s="28">
        <f>ROUND((Source!AD39*Source!AV39)*Source!I39, 2)</f>
        <v>101.72</v>
      </c>
      <c r="J66" s="12">
        <f>IF(Source!BB39&lt;&gt; 0, Source!BB39, 1)</f>
        <v>9.5399999999999991</v>
      </c>
      <c r="K66" s="28">
        <f>Source!Q39</f>
        <v>970.37</v>
      </c>
    </row>
    <row r="67" spans="1:27" ht="14.25" x14ac:dyDescent="0.2">
      <c r="A67" s="23"/>
      <c r="B67" s="24"/>
      <c r="C67" s="24" t="s">
        <v>892</v>
      </c>
      <c r="D67" s="25"/>
      <c r="E67" s="12"/>
      <c r="F67" s="27">
        <f>Source!AN39</f>
        <v>76.22</v>
      </c>
      <c r="G67" s="26" t="str">
        <f>Source!DF39</f>
        <v>)*1,25</v>
      </c>
      <c r="H67" s="12">
        <f>Source!AV39</f>
        <v>1</v>
      </c>
      <c r="I67" s="30">
        <f>ROUND((Source!AE39*Source!AV39)*Source!I39, 2)</f>
        <v>18.489999999999998</v>
      </c>
      <c r="J67" s="12">
        <f>IF(Source!BS39&lt;&gt; 0, Source!BS39, 1)</f>
        <v>20.399999999999999</v>
      </c>
      <c r="K67" s="30">
        <f>Source!R39</f>
        <v>377.25</v>
      </c>
      <c r="W67">
        <f>I67</f>
        <v>18.489999999999998</v>
      </c>
    </row>
    <row r="68" spans="1:27" ht="14.25" x14ac:dyDescent="0.2">
      <c r="A68" s="23"/>
      <c r="B68" s="24"/>
      <c r="C68" s="24" t="s">
        <v>899</v>
      </c>
      <c r="D68" s="25"/>
      <c r="E68" s="12"/>
      <c r="F68" s="27">
        <f>Source!AL39</f>
        <v>57.83</v>
      </c>
      <c r="G68" s="26" t="str">
        <f>Source!DD39</f>
        <v/>
      </c>
      <c r="H68" s="12">
        <f>Source!AW39</f>
        <v>1</v>
      </c>
      <c r="I68" s="28">
        <f>ROUND((Source!AC39*Source!AW39)*Source!I39, 2)</f>
        <v>11.22</v>
      </c>
      <c r="J68" s="12">
        <f>IF(Source!BC39&lt;&gt; 0, Source!BC39, 1)</f>
        <v>8.9600000000000009</v>
      </c>
      <c r="K68" s="28">
        <f>Source!P39</f>
        <v>100.57</v>
      </c>
    </row>
    <row r="69" spans="1:27" ht="28.5" x14ac:dyDescent="0.2">
      <c r="A69" s="23" t="str">
        <f>Source!E41</f>
        <v>4,1</v>
      </c>
      <c r="B69" s="24" t="str">
        <f>Source!F41</f>
        <v>1.3-3-4</v>
      </c>
      <c r="C69" s="24" t="str">
        <f>Source!G41</f>
        <v>Смеси асфальтобетонные дорожные горячие крупнозернистые, тип II</v>
      </c>
      <c r="D69" s="25" t="str">
        <f>Source!H41</f>
        <v>т</v>
      </c>
      <c r="E69" s="12">
        <f>Source!I41</f>
        <v>1.859478</v>
      </c>
      <c r="F69" s="27">
        <f>Source!AK41</f>
        <v>305.75</v>
      </c>
      <c r="G69" s="31" t="s">
        <v>3</v>
      </c>
      <c r="H69" s="12">
        <f>Source!AW41</f>
        <v>1</v>
      </c>
      <c r="I69" s="28">
        <f>ROUND((Source!AC41*Source!AW41)*Source!I41, 2)+ROUND((Source!AD41*Source!AV41)*Source!I41, 2)+ROUND((Source!AF41*Source!AV41)*Source!I41, 2)</f>
        <v>568.54</v>
      </c>
      <c r="J69" s="12">
        <f>IF(Source!BC41&lt;&gt; 0, Source!BC41, 1)</f>
        <v>8.44</v>
      </c>
      <c r="K69" s="28">
        <f>Source!O41</f>
        <v>4798.4399999999996</v>
      </c>
      <c r="Q69">
        <f>ROUND((Source!DN41/100)*ROUND((Source!AF41*Source!AV41)*Source!I41, 2), 2)</f>
        <v>0</v>
      </c>
      <c r="R69">
        <f>Source!X41</f>
        <v>0</v>
      </c>
      <c r="S69">
        <f>ROUND((Source!DO41/100)*ROUND((Source!AF41*Source!AV41)*Source!I41, 2), 2)</f>
        <v>0</v>
      </c>
      <c r="T69">
        <f>Source!Y41</f>
        <v>0</v>
      </c>
      <c r="U69">
        <f>ROUND((175/100)*ROUND((Source!AE41*Source!AV41)*Source!I41, 2), 2)</f>
        <v>0</v>
      </c>
      <c r="V69">
        <f>ROUND((168/100)*ROUND(Source!CS41*Source!I41, 2), 2)</f>
        <v>0</v>
      </c>
      <c r="X69">
        <f>IF(Source!BI41&lt;=1,I69, 0)</f>
        <v>568.54</v>
      </c>
      <c r="Y69">
        <f>IF(Source!BI41=2,I69, 0)</f>
        <v>0</v>
      </c>
      <c r="Z69">
        <f>IF(Source!BI41=3,I69, 0)</f>
        <v>0</v>
      </c>
      <c r="AA69">
        <f>IF(Source!BI41=4,I69, 0)</f>
        <v>0</v>
      </c>
    </row>
    <row r="70" spans="1:27" ht="14.25" x14ac:dyDescent="0.2">
      <c r="A70" s="23"/>
      <c r="B70" s="24"/>
      <c r="C70" s="24" t="s">
        <v>893</v>
      </c>
      <c r="D70" s="25" t="s">
        <v>894</v>
      </c>
      <c r="E70" s="12">
        <f>Source!DN39</f>
        <v>140</v>
      </c>
      <c r="F70" s="27"/>
      <c r="G70" s="26"/>
      <c r="H70" s="12"/>
      <c r="I70" s="28">
        <f>SUM(Q63:Q69)</f>
        <v>16.309999999999999</v>
      </c>
      <c r="J70" s="12">
        <f>Source!BZ39</f>
        <v>112</v>
      </c>
      <c r="K70" s="28">
        <f>SUM(R63:R69)</f>
        <v>266.07</v>
      </c>
    </row>
    <row r="71" spans="1:27" ht="14.25" x14ac:dyDescent="0.2">
      <c r="A71" s="23"/>
      <c r="B71" s="24"/>
      <c r="C71" s="24" t="s">
        <v>895</v>
      </c>
      <c r="D71" s="25" t="s">
        <v>894</v>
      </c>
      <c r="E71" s="12">
        <f>Source!DO39</f>
        <v>79</v>
      </c>
      <c r="F71" s="27"/>
      <c r="G71" s="26"/>
      <c r="H71" s="12"/>
      <c r="I71" s="28">
        <f>SUM(S63:S70)</f>
        <v>9.1999999999999993</v>
      </c>
      <c r="J71" s="12">
        <f>Source!CA39</f>
        <v>41</v>
      </c>
      <c r="K71" s="28">
        <f>SUM(T63:T70)</f>
        <v>97.4</v>
      </c>
    </row>
    <row r="72" spans="1:27" ht="14.25" x14ac:dyDescent="0.2">
      <c r="A72" s="23"/>
      <c r="B72" s="24"/>
      <c r="C72" s="24" t="s">
        <v>896</v>
      </c>
      <c r="D72" s="25" t="s">
        <v>894</v>
      </c>
      <c r="E72" s="12">
        <f>175</f>
        <v>175</v>
      </c>
      <c r="F72" s="27"/>
      <c r="G72" s="26"/>
      <c r="H72" s="12"/>
      <c r="I72" s="28">
        <f>SUM(U63:U71)</f>
        <v>32.36</v>
      </c>
      <c r="J72" s="12">
        <f>168</f>
        <v>168</v>
      </c>
      <c r="K72" s="28">
        <f>SUM(V63:V71)</f>
        <v>633.78</v>
      </c>
    </row>
    <row r="73" spans="1:27" ht="14.25" x14ac:dyDescent="0.2">
      <c r="A73" s="23"/>
      <c r="B73" s="24"/>
      <c r="C73" s="24" t="s">
        <v>897</v>
      </c>
      <c r="D73" s="25" t="s">
        <v>898</v>
      </c>
      <c r="E73" s="12">
        <f>Source!AQ39</f>
        <v>4.29</v>
      </c>
      <c r="F73" s="27"/>
      <c r="G73" s="26" t="str">
        <f>Source!DI39</f>
        <v>)*1,15</v>
      </c>
      <c r="H73" s="12">
        <f>Source!AV39</f>
        <v>1</v>
      </c>
      <c r="I73" s="28">
        <f>Source!U39</f>
        <v>0.95759234999999987</v>
      </c>
      <c r="J73" s="12"/>
      <c r="K73" s="28"/>
    </row>
    <row r="74" spans="1:27" ht="15" x14ac:dyDescent="0.25">
      <c r="A74" s="33"/>
      <c r="B74" s="33"/>
      <c r="C74" s="33"/>
      <c r="D74" s="33"/>
      <c r="E74" s="33"/>
      <c r="F74" s="33"/>
      <c r="G74" s="33"/>
      <c r="H74" s="59">
        <f>I65+I66+I68+I70+I71+I72+SUM(I69:I69)</f>
        <v>751</v>
      </c>
      <c r="I74" s="59"/>
      <c r="J74" s="59">
        <f>K65+K66+K68+K70+K71+K72+SUM(K69:K69)</f>
        <v>7104.19</v>
      </c>
      <c r="K74" s="59"/>
      <c r="O74" s="32">
        <f>I65+I66+I68+I70+I71+I72+SUM(I69:I69)</f>
        <v>751</v>
      </c>
      <c r="P74" s="32">
        <f>K65+K66+K68+K70+K71+K72+SUM(K69:K69)</f>
        <v>7104.19</v>
      </c>
      <c r="X74">
        <f>IF(Source!BI39&lt;=1,I65+I66+I68+I70+I71+I72-0, 0)</f>
        <v>182.45999999999998</v>
      </c>
      <c r="Y74">
        <f>IF(Source!BI39=2,I65+I66+I68+I70+I71+I72-0, 0)</f>
        <v>0</v>
      </c>
      <c r="Z74">
        <f>IF(Source!BI39=3,I65+I66+I68+I70+I71+I72-0, 0)</f>
        <v>0</v>
      </c>
      <c r="AA74">
        <f>IF(Source!BI39=4,I65+I66+I68+I70+I71+I72,0)</f>
        <v>0</v>
      </c>
    </row>
    <row r="75" spans="1:27" ht="42.75" x14ac:dyDescent="0.2">
      <c r="A75" s="23" t="str">
        <f>Source!E43</f>
        <v>5</v>
      </c>
      <c r="B75" s="24" t="str">
        <f>Source!F43</f>
        <v>3.27-43-1</v>
      </c>
      <c r="C75" s="24" t="str">
        <f>Source!G43</f>
        <v>Добавляется на каждый 1 см изменения толщины слоя сверх 4 см к позиции 3.27-42-1 9см</v>
      </c>
      <c r="D75" s="25" t="str">
        <f>Source!H43</f>
        <v>100 м2 покрытия</v>
      </c>
      <c r="E75" s="12">
        <f>Source!I43</f>
        <v>0.19409999999999999</v>
      </c>
      <c r="F75" s="27"/>
      <c r="G75" s="26"/>
      <c r="H75" s="12"/>
      <c r="I75" s="28"/>
      <c r="J75" s="12"/>
      <c r="K75" s="28"/>
      <c r="Q75">
        <f>ROUND((Source!DN43/100)*ROUND((Source!AF43*Source!AV43)*Source!I43, 2), 2)</f>
        <v>19.489999999999998</v>
      </c>
      <c r="R75">
        <f>Source!X43</f>
        <v>318.08999999999997</v>
      </c>
      <c r="S75">
        <f>ROUND((Source!DO43/100)*ROUND((Source!AF43*Source!AV43)*Source!I43, 2), 2)</f>
        <v>11</v>
      </c>
      <c r="T75">
        <f>Source!Y43</f>
        <v>116.44</v>
      </c>
      <c r="U75">
        <f>ROUND((175/100)*ROUND((Source!AE43*Source!AV43)*Source!I43, 2), 2)</f>
        <v>13.65</v>
      </c>
      <c r="V75">
        <f>ROUND((168/100)*ROUND(Source!CS43*Source!I43, 2), 2)</f>
        <v>267.17</v>
      </c>
    </row>
    <row r="76" spans="1:27" x14ac:dyDescent="0.2">
      <c r="C76" s="29" t="str">
        <f>"Объем: "&amp;Source!I43&amp;"=19,41/"&amp;"100"</f>
        <v>Объем: 0,1941=19,41/100</v>
      </c>
    </row>
    <row r="77" spans="1:27" ht="14.25" x14ac:dyDescent="0.2">
      <c r="A77" s="23"/>
      <c r="B77" s="24"/>
      <c r="C77" s="24" t="s">
        <v>890</v>
      </c>
      <c r="D77" s="25"/>
      <c r="E77" s="12"/>
      <c r="F77" s="27">
        <f>Source!AO43</f>
        <v>6.93</v>
      </c>
      <c r="G77" s="26" t="str">
        <f>Source!DG43</f>
        <v>)*9*1,15</v>
      </c>
      <c r="H77" s="12">
        <f>Source!AV43</f>
        <v>1</v>
      </c>
      <c r="I77" s="28">
        <f>ROUND((Source!AF43*Source!AV43)*Source!I43, 2)</f>
        <v>13.92</v>
      </c>
      <c r="J77" s="12">
        <f>IF(Source!BA43&lt;&gt; 0, Source!BA43, 1)</f>
        <v>20.399999999999999</v>
      </c>
      <c r="K77" s="28">
        <f>Source!S43</f>
        <v>284.01</v>
      </c>
      <c r="W77">
        <f>I77</f>
        <v>13.92</v>
      </c>
    </row>
    <row r="78" spans="1:27" ht="14.25" x14ac:dyDescent="0.2">
      <c r="A78" s="23"/>
      <c r="B78" s="24"/>
      <c r="C78" s="24" t="s">
        <v>891</v>
      </c>
      <c r="D78" s="25"/>
      <c r="E78" s="12"/>
      <c r="F78" s="27">
        <f>Source!AM43</f>
        <v>17.350000000000001</v>
      </c>
      <c r="G78" s="26" t="str">
        <f>Source!DE43</f>
        <v>)*9*1,25</v>
      </c>
      <c r="H78" s="12">
        <f>Source!AV43</f>
        <v>1</v>
      </c>
      <c r="I78" s="28">
        <f>ROUND((Source!AD43*Source!AV43)*Source!I43, 2)</f>
        <v>37.89</v>
      </c>
      <c r="J78" s="12">
        <f>IF(Source!BB43&lt;&gt; 0, Source!BB43, 1)</f>
        <v>8.5500000000000007</v>
      </c>
      <c r="K78" s="28">
        <f>Source!Q43</f>
        <v>323.92</v>
      </c>
    </row>
    <row r="79" spans="1:27" ht="14.25" x14ac:dyDescent="0.2">
      <c r="A79" s="23"/>
      <c r="B79" s="24"/>
      <c r="C79" s="24" t="s">
        <v>892</v>
      </c>
      <c r="D79" s="25"/>
      <c r="E79" s="12"/>
      <c r="F79" s="27">
        <f>Source!AN43</f>
        <v>3.57</v>
      </c>
      <c r="G79" s="26" t="str">
        <f>Source!DF43</f>
        <v>)*9*1,25</v>
      </c>
      <c r="H79" s="12">
        <f>Source!AV43</f>
        <v>1</v>
      </c>
      <c r="I79" s="30">
        <f>ROUND((Source!AE43*Source!AV43)*Source!I43, 2)</f>
        <v>7.8</v>
      </c>
      <c r="J79" s="12">
        <f>IF(Source!BS43&lt;&gt; 0, Source!BS43, 1)</f>
        <v>20.399999999999999</v>
      </c>
      <c r="K79" s="30">
        <f>Source!R43</f>
        <v>159.03</v>
      </c>
      <c r="W79">
        <f>I79</f>
        <v>7.8</v>
      </c>
    </row>
    <row r="80" spans="1:27" ht="28.5" x14ac:dyDescent="0.2">
      <c r="A80" s="23" t="str">
        <f>Source!E45</f>
        <v>5,1</v>
      </c>
      <c r="B80" s="24" t="str">
        <f>Source!F45</f>
        <v>1.3-3-4</v>
      </c>
      <c r="C80" s="24" t="str">
        <f>Source!G45</f>
        <v>Смеси асфальтобетонные дорожные горячие крупнозернистые, тип II</v>
      </c>
      <c r="D80" s="25" t="str">
        <f>Source!H45</f>
        <v>т</v>
      </c>
      <c r="E80" s="12">
        <f>Source!I45</f>
        <v>1.859478</v>
      </c>
      <c r="F80" s="27">
        <f>Source!AK45</f>
        <v>305.75</v>
      </c>
      <c r="G80" s="31" t="s">
        <v>3</v>
      </c>
      <c r="H80" s="12">
        <f>Source!AW45</f>
        <v>1</v>
      </c>
      <c r="I80" s="28">
        <f>ROUND((Source!AC45*Source!AW45)*Source!I45, 2)+ROUND((Source!AD45*Source!AV45)*Source!I45, 2)+ROUND((Source!AF45*Source!AV45)*Source!I45, 2)</f>
        <v>568.54</v>
      </c>
      <c r="J80" s="12">
        <f>IF(Source!BC45&lt;&gt; 0, Source!BC45, 1)</f>
        <v>8.44</v>
      </c>
      <c r="K80" s="28">
        <f>Source!O45</f>
        <v>4798.4399999999996</v>
      </c>
      <c r="Q80">
        <f>ROUND((Source!DN45/100)*ROUND((Source!AF45*Source!AV45)*Source!I45, 2), 2)</f>
        <v>0</v>
      </c>
      <c r="R80">
        <f>Source!X45</f>
        <v>0</v>
      </c>
      <c r="S80">
        <f>ROUND((Source!DO45/100)*ROUND((Source!AF45*Source!AV45)*Source!I45, 2), 2)</f>
        <v>0</v>
      </c>
      <c r="T80">
        <f>Source!Y45</f>
        <v>0</v>
      </c>
      <c r="U80">
        <f>ROUND((175/100)*ROUND((Source!AE45*Source!AV45)*Source!I45, 2), 2)</f>
        <v>0</v>
      </c>
      <c r="V80">
        <f>ROUND((168/100)*ROUND(Source!CS45*Source!I45, 2), 2)</f>
        <v>0</v>
      </c>
      <c r="X80">
        <f>IF(Source!BI45&lt;=1,I80, 0)</f>
        <v>568.54</v>
      </c>
      <c r="Y80">
        <f>IF(Source!BI45=2,I80, 0)</f>
        <v>0</v>
      </c>
      <c r="Z80">
        <f>IF(Source!BI45=3,I80, 0)</f>
        <v>0</v>
      </c>
      <c r="AA80">
        <f>IF(Source!BI45=4,I80, 0)</f>
        <v>0</v>
      </c>
    </row>
    <row r="81" spans="1:27" ht="14.25" x14ac:dyDescent="0.2">
      <c r="A81" s="23"/>
      <c r="B81" s="24"/>
      <c r="C81" s="24" t="s">
        <v>893</v>
      </c>
      <c r="D81" s="25" t="s">
        <v>894</v>
      </c>
      <c r="E81" s="12">
        <f>Source!DN43</f>
        <v>140</v>
      </c>
      <c r="F81" s="27"/>
      <c r="G81" s="26"/>
      <c r="H81" s="12"/>
      <c r="I81" s="28">
        <f>SUM(Q75:Q80)</f>
        <v>19.489999999999998</v>
      </c>
      <c r="J81" s="12">
        <f>Source!BZ43</f>
        <v>112</v>
      </c>
      <c r="K81" s="28">
        <f>SUM(R75:R80)</f>
        <v>318.08999999999997</v>
      </c>
    </row>
    <row r="82" spans="1:27" ht="14.25" x14ac:dyDescent="0.2">
      <c r="A82" s="23"/>
      <c r="B82" s="24"/>
      <c r="C82" s="24" t="s">
        <v>895</v>
      </c>
      <c r="D82" s="25" t="s">
        <v>894</v>
      </c>
      <c r="E82" s="12">
        <f>Source!DO43</f>
        <v>79</v>
      </c>
      <c r="F82" s="27"/>
      <c r="G82" s="26"/>
      <c r="H82" s="12"/>
      <c r="I82" s="28">
        <f>SUM(S75:S81)</f>
        <v>11</v>
      </c>
      <c r="J82" s="12">
        <f>Source!CA43</f>
        <v>41</v>
      </c>
      <c r="K82" s="28">
        <f>SUM(T75:T81)</f>
        <v>116.44</v>
      </c>
    </row>
    <row r="83" spans="1:27" ht="14.25" x14ac:dyDescent="0.2">
      <c r="A83" s="23"/>
      <c r="B83" s="24"/>
      <c r="C83" s="24" t="s">
        <v>896</v>
      </c>
      <c r="D83" s="25" t="s">
        <v>894</v>
      </c>
      <c r="E83" s="12">
        <f>175</f>
        <v>175</v>
      </c>
      <c r="F83" s="27"/>
      <c r="G83" s="26"/>
      <c r="H83" s="12"/>
      <c r="I83" s="28">
        <f>SUM(U75:U82)</f>
        <v>13.65</v>
      </c>
      <c r="J83" s="12">
        <f>168</f>
        <v>168</v>
      </c>
      <c r="K83" s="28">
        <f>SUM(V75:V82)</f>
        <v>267.17</v>
      </c>
    </row>
    <row r="84" spans="1:27" ht="14.25" x14ac:dyDescent="0.2">
      <c r="A84" s="23"/>
      <c r="B84" s="24"/>
      <c r="C84" s="24" t="s">
        <v>897</v>
      </c>
      <c r="D84" s="25" t="s">
        <v>898</v>
      </c>
      <c r="E84" s="12">
        <f>Source!AQ43</f>
        <v>0.53</v>
      </c>
      <c r="F84" s="27"/>
      <c r="G84" s="26" t="str">
        <f>Source!DI43</f>
        <v>)*9*1,15</v>
      </c>
      <c r="H84" s="12">
        <f>Source!AV43</f>
        <v>1</v>
      </c>
      <c r="I84" s="28">
        <f>Source!U43</f>
        <v>1.06473555</v>
      </c>
      <c r="J84" s="12"/>
      <c r="K84" s="28"/>
    </row>
    <row r="85" spans="1:27" ht="15" x14ac:dyDescent="0.25">
      <c r="A85" s="33"/>
      <c r="B85" s="33"/>
      <c r="C85" s="33"/>
      <c r="D85" s="33"/>
      <c r="E85" s="33"/>
      <c r="F85" s="33"/>
      <c r="G85" s="33"/>
      <c r="H85" s="59">
        <f>I77+I78+I81+I82+I83+SUM(I80:I80)</f>
        <v>664.49</v>
      </c>
      <c r="I85" s="59"/>
      <c r="J85" s="59">
        <f>K77+K78+K81+K82+K83+SUM(K80:K80)</f>
        <v>6108.07</v>
      </c>
      <c r="K85" s="59"/>
      <c r="O85" s="32">
        <f>I77+I78+I81+I82+I83+SUM(I80:I80)</f>
        <v>664.49</v>
      </c>
      <c r="P85" s="32">
        <f>K77+K78+K81+K82+K83+SUM(K80:K80)</f>
        <v>6108.07</v>
      </c>
      <c r="X85">
        <f>IF(Source!BI43&lt;=1,I77+I78+I81+I82+I83-0, 0)</f>
        <v>95.95</v>
      </c>
      <c r="Y85">
        <f>IF(Source!BI43=2,I77+I78+I81+I82+I83-0, 0)</f>
        <v>0</v>
      </c>
      <c r="Z85">
        <f>IF(Source!BI43=3,I77+I78+I81+I82+I83-0, 0)</f>
        <v>0</v>
      </c>
      <c r="AA85">
        <f>IF(Source!BI43=4,I77+I78+I81+I82+I83,0)</f>
        <v>0</v>
      </c>
    </row>
    <row r="86" spans="1:27" ht="57" x14ac:dyDescent="0.2">
      <c r="A86" s="23" t="str">
        <f>Source!E47</f>
        <v>6</v>
      </c>
      <c r="B86" s="24" t="str">
        <f>Source!F47</f>
        <v>3.47-26-4</v>
      </c>
      <c r="C86" s="24" t="str">
        <f>Source!G47</f>
        <v>Подготовка почвы для устройства партерного и обыкновенного газонов с внесением растительной земли слоем 15 см вручную</v>
      </c>
      <c r="D86" s="25" t="str">
        <f>Source!H47</f>
        <v>100 м2</v>
      </c>
      <c r="E86" s="12">
        <f>Source!I47</f>
        <v>0.13159999999999999</v>
      </c>
      <c r="F86" s="27"/>
      <c r="G86" s="26"/>
      <c r="H86" s="12"/>
      <c r="I86" s="28"/>
      <c r="J86" s="12"/>
      <c r="K86" s="28"/>
      <c r="Q86">
        <f>ROUND((Source!DN47/100)*ROUND((Source!AF47*Source!AV47)*Source!I47, 2), 2)</f>
        <v>98.31</v>
      </c>
      <c r="R86">
        <f>Source!X47</f>
        <v>1157.01</v>
      </c>
      <c r="S86">
        <f>ROUND((Source!DO47/100)*ROUND((Source!AF47*Source!AV47)*Source!I47, 2), 2)</f>
        <v>52.94</v>
      </c>
      <c r="T86">
        <f>Source!Y47</f>
        <v>527.08000000000004</v>
      </c>
      <c r="U86">
        <f>ROUND((175/100)*ROUND((Source!AE47*Source!AV47)*Source!I47, 2), 2)</f>
        <v>0</v>
      </c>
      <c r="V86">
        <f>ROUND((168/100)*ROUND(Source!CS47*Source!I47, 2), 2)</f>
        <v>0</v>
      </c>
    </row>
    <row r="87" spans="1:27" x14ac:dyDescent="0.2">
      <c r="C87" s="29" t="str">
        <f>"Объем: "&amp;Source!I47&amp;"=13,16/"&amp;"100"</f>
        <v>Объем: 0,1316=13,16/100</v>
      </c>
    </row>
    <row r="88" spans="1:27" ht="14.25" x14ac:dyDescent="0.2">
      <c r="A88" s="23"/>
      <c r="B88" s="24"/>
      <c r="C88" s="24" t="s">
        <v>890</v>
      </c>
      <c r="D88" s="25"/>
      <c r="E88" s="12"/>
      <c r="F88" s="27">
        <f>Source!AO47</f>
        <v>416.4</v>
      </c>
      <c r="G88" s="26" t="str">
        <f>Source!DG47</f>
        <v>)*1,15</v>
      </c>
      <c r="H88" s="12">
        <f>Source!AV47</f>
        <v>1</v>
      </c>
      <c r="I88" s="28">
        <f>ROUND((Source!AF47*Source!AV47)*Source!I47, 2)</f>
        <v>63.02</v>
      </c>
      <c r="J88" s="12">
        <f>IF(Source!BA47&lt;&gt; 0, Source!BA47, 1)</f>
        <v>20.399999999999999</v>
      </c>
      <c r="K88" s="28">
        <f>Source!S47</f>
        <v>1285.57</v>
      </c>
      <c r="W88">
        <f>I88</f>
        <v>63.02</v>
      </c>
    </row>
    <row r="89" spans="1:27" ht="14.25" x14ac:dyDescent="0.2">
      <c r="A89" s="23" t="str">
        <f>Source!E49</f>
        <v>6,1</v>
      </c>
      <c r="B89" s="24" t="str">
        <f>Source!F49</f>
        <v>1.4-6-1</v>
      </c>
      <c r="C89" s="24" t="str">
        <f>Source!G49</f>
        <v>Земля растительная</v>
      </c>
      <c r="D89" s="25" t="str">
        <f>Source!H49</f>
        <v>м3</v>
      </c>
      <c r="E89" s="12">
        <f>Source!I49</f>
        <v>1.974</v>
      </c>
      <c r="F89" s="27">
        <f>Source!AK49</f>
        <v>146.84</v>
      </c>
      <c r="G89" s="31" t="s">
        <v>3</v>
      </c>
      <c r="H89" s="12">
        <f>Source!AW49</f>
        <v>1</v>
      </c>
      <c r="I89" s="28">
        <f>ROUND((Source!AC49*Source!AW49)*Source!I49, 2)+ROUND((Source!AD49*Source!AV49)*Source!I49, 2)+ROUND((Source!AF49*Source!AV49)*Source!I49, 2)</f>
        <v>289.86</v>
      </c>
      <c r="J89" s="12">
        <f>IF(Source!BC49&lt;&gt; 0, Source!BC49, 1)</f>
        <v>4.6500000000000004</v>
      </c>
      <c r="K89" s="28">
        <f>Source!O49</f>
        <v>1347.86</v>
      </c>
      <c r="Q89">
        <f>ROUND((Source!DN49/100)*ROUND((Source!AF49*Source!AV49)*Source!I49, 2), 2)</f>
        <v>0</v>
      </c>
      <c r="R89">
        <f>Source!X49</f>
        <v>0</v>
      </c>
      <c r="S89">
        <f>ROUND((Source!DO49/100)*ROUND((Source!AF49*Source!AV49)*Source!I49, 2), 2)</f>
        <v>0</v>
      </c>
      <c r="T89">
        <f>Source!Y49</f>
        <v>0</v>
      </c>
      <c r="U89">
        <f>ROUND((175/100)*ROUND((Source!AE49*Source!AV49)*Source!I49, 2), 2)</f>
        <v>0</v>
      </c>
      <c r="V89">
        <f>ROUND((168/100)*ROUND(Source!CS49*Source!I49, 2), 2)</f>
        <v>0</v>
      </c>
      <c r="X89">
        <f>IF(Source!BI49&lt;=1,I89, 0)</f>
        <v>289.86</v>
      </c>
      <c r="Y89">
        <f>IF(Source!BI49=2,I89, 0)</f>
        <v>0</v>
      </c>
      <c r="Z89">
        <f>IF(Source!BI49=3,I89, 0)</f>
        <v>0</v>
      </c>
      <c r="AA89">
        <f>IF(Source!BI49=4,I89, 0)</f>
        <v>0</v>
      </c>
    </row>
    <row r="90" spans="1:27" ht="14.25" x14ac:dyDescent="0.2">
      <c r="A90" s="23"/>
      <c r="B90" s="24"/>
      <c r="C90" s="24" t="s">
        <v>893</v>
      </c>
      <c r="D90" s="25" t="s">
        <v>894</v>
      </c>
      <c r="E90" s="12">
        <f>Source!DN47</f>
        <v>156</v>
      </c>
      <c r="F90" s="27"/>
      <c r="G90" s="26"/>
      <c r="H90" s="12"/>
      <c r="I90" s="28">
        <f>SUM(Q86:Q89)</f>
        <v>98.31</v>
      </c>
      <c r="J90" s="12">
        <f>Source!BZ47</f>
        <v>90</v>
      </c>
      <c r="K90" s="28">
        <f>SUM(R86:R89)</f>
        <v>1157.01</v>
      </c>
    </row>
    <row r="91" spans="1:27" ht="14.25" x14ac:dyDescent="0.2">
      <c r="A91" s="23"/>
      <c r="B91" s="24"/>
      <c r="C91" s="24" t="s">
        <v>895</v>
      </c>
      <c r="D91" s="25" t="s">
        <v>894</v>
      </c>
      <c r="E91" s="12">
        <f>Source!DO47</f>
        <v>84</v>
      </c>
      <c r="F91" s="27"/>
      <c r="G91" s="26"/>
      <c r="H91" s="12"/>
      <c r="I91" s="28">
        <f>SUM(S86:S90)</f>
        <v>52.94</v>
      </c>
      <c r="J91" s="12">
        <f>Source!CA47</f>
        <v>41</v>
      </c>
      <c r="K91" s="28">
        <f>SUM(T86:T90)</f>
        <v>527.08000000000004</v>
      </c>
    </row>
    <row r="92" spans="1:27" ht="14.25" x14ac:dyDescent="0.2">
      <c r="A92" s="23"/>
      <c r="B92" s="24"/>
      <c r="C92" s="24" t="s">
        <v>897</v>
      </c>
      <c r="D92" s="25" t="s">
        <v>898</v>
      </c>
      <c r="E92" s="12">
        <f>Source!AQ47</f>
        <v>40</v>
      </c>
      <c r="F92" s="27"/>
      <c r="G92" s="26" t="str">
        <f>Source!DI47</f>
        <v>)*1,15</v>
      </c>
      <c r="H92" s="12">
        <f>Source!AV47</f>
        <v>1</v>
      </c>
      <c r="I92" s="28">
        <f>Source!U47</f>
        <v>6.0535999999999994</v>
      </c>
      <c r="J92" s="12"/>
      <c r="K92" s="28"/>
    </row>
    <row r="93" spans="1:27" ht="15" x14ac:dyDescent="0.25">
      <c r="A93" s="33"/>
      <c r="B93" s="33"/>
      <c r="C93" s="33"/>
      <c r="D93" s="33"/>
      <c r="E93" s="33"/>
      <c r="F93" s="33"/>
      <c r="G93" s="33"/>
      <c r="H93" s="59">
        <f>I88+I90+I91+SUM(I89:I89)</f>
        <v>504.13</v>
      </c>
      <c r="I93" s="59"/>
      <c r="J93" s="59">
        <f>K88+K90+K91+SUM(K89:K89)</f>
        <v>4317.5199999999995</v>
      </c>
      <c r="K93" s="59"/>
      <c r="O93" s="32">
        <f>I88+I90+I91+SUM(I89:I89)</f>
        <v>504.13</v>
      </c>
      <c r="P93" s="32">
        <f>K88+K90+K91+SUM(K89:K89)</f>
        <v>4317.5199999999995</v>
      </c>
      <c r="X93">
        <f>IF(Source!BI47&lt;=1,I88+I90+I91-0, 0)</f>
        <v>214.27</v>
      </c>
      <c r="Y93">
        <f>IF(Source!BI47=2,I88+I90+I91-0, 0)</f>
        <v>0</v>
      </c>
      <c r="Z93">
        <f>IF(Source!BI47=3,I88+I90+I91-0, 0)</f>
        <v>0</v>
      </c>
      <c r="AA93">
        <f>IF(Source!BI47=4,I88+I90+I91,0)</f>
        <v>0</v>
      </c>
    </row>
    <row r="94" spans="1:27" ht="42.75" x14ac:dyDescent="0.2">
      <c r="A94" s="23" t="str">
        <f>Source!E51</f>
        <v>7</v>
      </c>
      <c r="B94" s="24" t="str">
        <f>Source!F51</f>
        <v>3.47-26-6</v>
      </c>
      <c r="C94" s="24" t="str">
        <f>Source!G51</f>
        <v>Посев газонов партерных, мавританских, и обыкновенных вручную</v>
      </c>
      <c r="D94" s="25" t="str">
        <f>Source!H51</f>
        <v>100 м2</v>
      </c>
      <c r="E94" s="12">
        <f>Source!I51</f>
        <v>0.13159999999999999</v>
      </c>
      <c r="F94" s="27"/>
      <c r="G94" s="26"/>
      <c r="H94" s="12"/>
      <c r="I94" s="28"/>
      <c r="J94" s="12"/>
      <c r="K94" s="28"/>
      <c r="Q94">
        <f>ROUND((Source!DN51/100)*ROUND((Source!AF51*Source!AV51)*Source!I51, 2), 2)</f>
        <v>13.85</v>
      </c>
      <c r="R94">
        <f>Source!X51</f>
        <v>163.11000000000001</v>
      </c>
      <c r="S94">
        <f>ROUND((Source!DO51/100)*ROUND((Source!AF51*Source!AV51)*Source!I51, 2), 2)</f>
        <v>7.46</v>
      </c>
      <c r="T94">
        <f>Source!Y51</f>
        <v>74.3</v>
      </c>
      <c r="U94">
        <f>ROUND((175/100)*ROUND((Source!AE51*Source!AV51)*Source!I51, 2), 2)</f>
        <v>0</v>
      </c>
      <c r="V94">
        <f>ROUND((168/100)*ROUND(Source!CS51*Source!I51, 2), 2)</f>
        <v>0</v>
      </c>
    </row>
    <row r="95" spans="1:27" x14ac:dyDescent="0.2">
      <c r="C95" s="29" t="str">
        <f>"Объем: "&amp;Source!I51&amp;"=13,16/"&amp;"100"</f>
        <v>Объем: 0,1316=13,16/100</v>
      </c>
    </row>
    <row r="96" spans="1:27" ht="14.25" x14ac:dyDescent="0.2">
      <c r="A96" s="23"/>
      <c r="B96" s="24"/>
      <c r="C96" s="24" t="s">
        <v>890</v>
      </c>
      <c r="D96" s="25"/>
      <c r="E96" s="12"/>
      <c r="F96" s="27">
        <f>Source!AO51</f>
        <v>58.7</v>
      </c>
      <c r="G96" s="26" t="str">
        <f>Source!DG51</f>
        <v>)*1,15</v>
      </c>
      <c r="H96" s="12">
        <f>Source!AV51</f>
        <v>1</v>
      </c>
      <c r="I96" s="28">
        <f>ROUND((Source!AF51*Source!AV51)*Source!I51, 2)</f>
        <v>8.8800000000000008</v>
      </c>
      <c r="J96" s="12">
        <f>IF(Source!BA51&lt;&gt; 0, Source!BA51, 1)</f>
        <v>20.399999999999999</v>
      </c>
      <c r="K96" s="28">
        <f>Source!S51</f>
        <v>181.23</v>
      </c>
      <c r="W96">
        <f>I96</f>
        <v>8.8800000000000008</v>
      </c>
    </row>
    <row r="97" spans="1:27" ht="14.25" x14ac:dyDescent="0.2">
      <c r="A97" s="23"/>
      <c r="B97" s="24"/>
      <c r="C97" s="24" t="s">
        <v>899</v>
      </c>
      <c r="D97" s="25"/>
      <c r="E97" s="12"/>
      <c r="F97" s="27">
        <f>Source!AL51</f>
        <v>70.7</v>
      </c>
      <c r="G97" s="26" t="str">
        <f>Source!DD51</f>
        <v/>
      </c>
      <c r="H97" s="12">
        <f>Source!AW51</f>
        <v>1</v>
      </c>
      <c r="I97" s="28">
        <f>ROUND((Source!AC51*Source!AW51)*Source!I51, 2)</f>
        <v>9.3000000000000007</v>
      </c>
      <c r="J97" s="12">
        <f>IF(Source!BC51&lt;&gt; 0, Source!BC51, 1)</f>
        <v>4.24</v>
      </c>
      <c r="K97" s="28">
        <f>Source!P51</f>
        <v>39.450000000000003</v>
      </c>
    </row>
    <row r="98" spans="1:27" ht="28.5" x14ac:dyDescent="0.2">
      <c r="A98" s="23" t="str">
        <f>Source!E53</f>
        <v>7,1</v>
      </c>
      <c r="B98" s="24" t="str">
        <f>Source!F53</f>
        <v>1.4-6-6</v>
      </c>
      <c r="C98" s="24" t="str">
        <f>Source!G53</f>
        <v>Семена (смесь универсальная) газонных трав</v>
      </c>
      <c r="D98" s="25" t="str">
        <f>Source!H53</f>
        <v>кг</v>
      </c>
      <c r="E98" s="12">
        <f>Source!I53</f>
        <v>0.52639999999999998</v>
      </c>
      <c r="F98" s="27">
        <f>Source!AK53</f>
        <v>57.93</v>
      </c>
      <c r="G98" s="31" t="s">
        <v>3</v>
      </c>
      <c r="H98" s="12">
        <f>Source!AW53</f>
        <v>1</v>
      </c>
      <c r="I98" s="28">
        <f>ROUND((Source!AC53*Source!AW53)*Source!I53, 2)+ROUND((Source!AD53*Source!AV53)*Source!I53, 2)+ROUND((Source!AF53*Source!AV53)*Source!I53, 2)</f>
        <v>30.49</v>
      </c>
      <c r="J98" s="12">
        <f>IF(Source!BC53&lt;&gt; 0, Source!BC53, 1)</f>
        <v>2.4</v>
      </c>
      <c r="K98" s="28">
        <f>Source!O53</f>
        <v>73.19</v>
      </c>
      <c r="Q98">
        <f>ROUND((Source!DN53/100)*ROUND((Source!AF53*Source!AV53)*Source!I53, 2), 2)</f>
        <v>0</v>
      </c>
      <c r="R98">
        <f>Source!X53</f>
        <v>0</v>
      </c>
      <c r="S98">
        <f>ROUND((Source!DO53/100)*ROUND((Source!AF53*Source!AV53)*Source!I53, 2), 2)</f>
        <v>0</v>
      </c>
      <c r="T98">
        <f>Source!Y53</f>
        <v>0</v>
      </c>
      <c r="U98">
        <f>ROUND((175/100)*ROUND((Source!AE53*Source!AV53)*Source!I53, 2), 2)</f>
        <v>0</v>
      </c>
      <c r="V98">
        <f>ROUND((168/100)*ROUND(Source!CS53*Source!I53, 2), 2)</f>
        <v>0</v>
      </c>
      <c r="X98">
        <f>IF(Source!BI53&lt;=1,I98, 0)</f>
        <v>30.49</v>
      </c>
      <c r="Y98">
        <f>IF(Source!BI53=2,I98, 0)</f>
        <v>0</v>
      </c>
      <c r="Z98">
        <f>IF(Source!BI53=3,I98, 0)</f>
        <v>0</v>
      </c>
      <c r="AA98">
        <f>IF(Source!BI53=4,I98, 0)</f>
        <v>0</v>
      </c>
    </row>
    <row r="99" spans="1:27" ht="14.25" x14ac:dyDescent="0.2">
      <c r="A99" s="23"/>
      <c r="B99" s="24"/>
      <c r="C99" s="24" t="s">
        <v>893</v>
      </c>
      <c r="D99" s="25" t="s">
        <v>894</v>
      </c>
      <c r="E99" s="12">
        <f>Source!DN51</f>
        <v>156</v>
      </c>
      <c r="F99" s="27"/>
      <c r="G99" s="26"/>
      <c r="H99" s="12"/>
      <c r="I99" s="28">
        <f>SUM(Q94:Q98)</f>
        <v>13.85</v>
      </c>
      <c r="J99" s="12">
        <f>Source!BZ51</f>
        <v>90</v>
      </c>
      <c r="K99" s="28">
        <f>SUM(R94:R98)</f>
        <v>163.11000000000001</v>
      </c>
    </row>
    <row r="100" spans="1:27" ht="14.25" x14ac:dyDescent="0.2">
      <c r="A100" s="23"/>
      <c r="B100" s="24"/>
      <c r="C100" s="24" t="s">
        <v>895</v>
      </c>
      <c r="D100" s="25" t="s">
        <v>894</v>
      </c>
      <c r="E100" s="12">
        <f>Source!DO51</f>
        <v>84</v>
      </c>
      <c r="F100" s="27"/>
      <c r="G100" s="26"/>
      <c r="H100" s="12"/>
      <c r="I100" s="28">
        <f>SUM(S94:S99)</f>
        <v>7.46</v>
      </c>
      <c r="J100" s="12">
        <f>Source!CA51</f>
        <v>41</v>
      </c>
      <c r="K100" s="28">
        <f>SUM(T94:T99)</f>
        <v>74.3</v>
      </c>
    </row>
    <row r="101" spans="1:27" ht="14.25" x14ac:dyDescent="0.2">
      <c r="A101" s="23"/>
      <c r="B101" s="24"/>
      <c r="C101" s="24" t="s">
        <v>897</v>
      </c>
      <c r="D101" s="25" t="s">
        <v>898</v>
      </c>
      <c r="E101" s="12">
        <f>Source!AQ51</f>
        <v>5.25</v>
      </c>
      <c r="F101" s="27"/>
      <c r="G101" s="26" t="str">
        <f>Source!DI51</f>
        <v>)*1,15</v>
      </c>
      <c r="H101" s="12">
        <f>Source!AV51</f>
        <v>1</v>
      </c>
      <c r="I101" s="28">
        <f>Source!U51</f>
        <v>0.79453499999999988</v>
      </c>
      <c r="J101" s="12"/>
      <c r="K101" s="28"/>
    </row>
    <row r="102" spans="1:27" ht="15" x14ac:dyDescent="0.25">
      <c r="A102" s="33"/>
      <c r="B102" s="33"/>
      <c r="C102" s="33"/>
      <c r="D102" s="33"/>
      <c r="E102" s="33"/>
      <c r="F102" s="33"/>
      <c r="G102" s="33"/>
      <c r="H102" s="59">
        <f>I96+I97+I99+I100+SUM(I98:I98)</f>
        <v>69.98</v>
      </c>
      <c r="I102" s="59"/>
      <c r="J102" s="59">
        <f>K96+K97+K99+K100+SUM(K98:K98)</f>
        <v>531.28</v>
      </c>
      <c r="K102" s="59"/>
      <c r="O102" s="32">
        <f>I96+I97+I99+I100+SUM(I98:I98)</f>
        <v>69.98</v>
      </c>
      <c r="P102" s="32">
        <f>K96+K97+K99+K100+SUM(K98:K98)</f>
        <v>531.28</v>
      </c>
      <c r="X102">
        <f>IF(Source!BI51&lt;=1,I96+I97+I99+I100-0, 0)</f>
        <v>39.49</v>
      </c>
      <c r="Y102">
        <f>IF(Source!BI51=2,I96+I97+I99+I100-0, 0)</f>
        <v>0</v>
      </c>
      <c r="Z102">
        <f>IF(Source!BI51=3,I96+I97+I99+I100-0, 0)</f>
        <v>0</v>
      </c>
      <c r="AA102">
        <f>IF(Source!BI51=4,I96+I97+I99+I100,0)</f>
        <v>0</v>
      </c>
    </row>
    <row r="103" spans="1:27" ht="57" x14ac:dyDescent="0.2">
      <c r="A103" s="23" t="str">
        <f>Source!E55</f>
        <v>8</v>
      </c>
      <c r="B103" s="24" t="str">
        <f>Source!F55</f>
        <v>6.68-73-2</v>
      </c>
      <c r="C103" s="24" t="str">
        <f>Source!G55</f>
        <v>Установка секций металлического ограждения газонов из профилированной трубы, масса секции до 10 кг</v>
      </c>
      <c r="D103" s="25" t="str">
        <f>Source!H55</f>
        <v>1 м2</v>
      </c>
      <c r="E103" s="12">
        <f>Source!I55</f>
        <v>5.21</v>
      </c>
      <c r="F103" s="27"/>
      <c r="G103" s="26"/>
      <c r="H103" s="12"/>
      <c r="I103" s="28"/>
      <c r="J103" s="12"/>
      <c r="K103" s="28"/>
      <c r="Q103">
        <f>ROUND((Source!DN55/100)*ROUND((Source!AF55*Source!AV55)*Source!I55, 2), 2)</f>
        <v>12.11</v>
      </c>
      <c r="R103">
        <f>Source!X55</f>
        <v>142.52000000000001</v>
      </c>
      <c r="S103">
        <f>ROUND((Source!DO55/100)*ROUND((Source!AF55*Source!AV55)*Source!I55, 2), 2)</f>
        <v>6.52</v>
      </c>
      <c r="T103">
        <f>Source!Y55</f>
        <v>64.930000000000007</v>
      </c>
      <c r="U103">
        <f>ROUND((175/100)*ROUND((Source!AE55*Source!AV55)*Source!I55, 2), 2)</f>
        <v>1.73</v>
      </c>
      <c r="V103">
        <f>ROUND((168/100)*ROUND(Source!CS55*Source!I55, 2), 2)</f>
        <v>33.92</v>
      </c>
    </row>
    <row r="104" spans="1:27" ht="14.25" x14ac:dyDescent="0.2">
      <c r="A104" s="23"/>
      <c r="B104" s="24"/>
      <c r="C104" s="24" t="s">
        <v>890</v>
      </c>
      <c r="D104" s="25"/>
      <c r="E104" s="12"/>
      <c r="F104" s="27">
        <f>Source!AO55</f>
        <v>1.49</v>
      </c>
      <c r="G104" s="26" t="str">
        <f>Source!DG55</f>
        <v/>
      </c>
      <c r="H104" s="12">
        <f>Source!AV55</f>
        <v>1</v>
      </c>
      <c r="I104" s="28">
        <f>ROUND((Source!AF55*Source!AV55)*Source!I55, 2)</f>
        <v>7.76</v>
      </c>
      <c r="J104" s="12">
        <f>IF(Source!BA55&lt;&gt; 0, Source!BA55, 1)</f>
        <v>20.399999999999999</v>
      </c>
      <c r="K104" s="28">
        <f>Source!S55</f>
        <v>158.36000000000001</v>
      </c>
      <c r="W104">
        <f>I104</f>
        <v>7.76</v>
      </c>
    </row>
    <row r="105" spans="1:27" ht="14.25" x14ac:dyDescent="0.2">
      <c r="A105" s="23"/>
      <c r="B105" s="24"/>
      <c r="C105" s="92" t="s">
        <v>891</v>
      </c>
      <c r="D105" s="93"/>
      <c r="E105" s="94"/>
      <c r="F105" s="95">
        <f>Source!AM55</f>
        <v>1.65</v>
      </c>
      <c r="G105" s="96" t="str">
        <f>Source!DE55</f>
        <v/>
      </c>
      <c r="H105" s="94">
        <f>Source!AV55</f>
        <v>1</v>
      </c>
      <c r="I105" s="97">
        <f>ROUND((Source!AD55*Source!AV55)*Source!I55, 2)</f>
        <v>8.6</v>
      </c>
      <c r="J105" s="94">
        <f>IF(Source!BB55&lt;&gt; 0, Source!BB55, 1)</f>
        <v>6.91</v>
      </c>
      <c r="K105" s="97">
        <f>Source!Q55</f>
        <v>59.4</v>
      </c>
    </row>
    <row r="106" spans="1:27" ht="14.25" x14ac:dyDescent="0.2">
      <c r="A106" s="23"/>
      <c r="B106" s="24"/>
      <c r="C106" s="24" t="s">
        <v>892</v>
      </c>
      <c r="D106" s="25"/>
      <c r="E106" s="12"/>
      <c r="F106" s="27">
        <f>Source!AN55</f>
        <v>0.19</v>
      </c>
      <c r="G106" s="26" t="str">
        <f>Source!DF55</f>
        <v/>
      </c>
      <c r="H106" s="12">
        <f>Source!AV55</f>
        <v>1</v>
      </c>
      <c r="I106" s="30">
        <f>ROUND((Source!AE55*Source!AV55)*Source!I55, 2)</f>
        <v>0.99</v>
      </c>
      <c r="J106" s="12">
        <f>IF(Source!BS55&lt;&gt; 0, Source!BS55, 1)</f>
        <v>20.399999999999999</v>
      </c>
      <c r="K106" s="30">
        <f>Source!R55</f>
        <v>20.190000000000001</v>
      </c>
      <c r="W106">
        <f>I106</f>
        <v>0.99</v>
      </c>
    </row>
    <row r="107" spans="1:27" ht="14.25" x14ac:dyDescent="0.2">
      <c r="A107" s="23"/>
      <c r="B107" s="24"/>
      <c r="C107" s="24" t="s">
        <v>899</v>
      </c>
      <c r="D107" s="25"/>
      <c r="E107" s="12"/>
      <c r="F107" s="27">
        <f>Source!AL55</f>
        <v>0.22</v>
      </c>
      <c r="G107" s="26" t="str">
        <f>Source!DD55</f>
        <v/>
      </c>
      <c r="H107" s="12">
        <f>Source!AW55</f>
        <v>1</v>
      </c>
      <c r="I107" s="28">
        <f>ROUND((Source!AC55*Source!AW55)*Source!I55, 2)</f>
        <v>1.1499999999999999</v>
      </c>
      <c r="J107" s="12">
        <f>IF(Source!BC55&lt;&gt; 0, Source!BC55, 1)</f>
        <v>11.77</v>
      </c>
      <c r="K107" s="28">
        <f>Source!P55</f>
        <v>13.49</v>
      </c>
    </row>
    <row r="108" spans="1:27" ht="42.75" x14ac:dyDescent="0.2">
      <c r="A108" s="23" t="str">
        <f>Source!E57</f>
        <v>8,1</v>
      </c>
      <c r="B108" s="24" t="str">
        <f>Source!F57</f>
        <v>1.7-9-8</v>
      </c>
      <c r="C108" s="24" t="str">
        <f>Source!G57</f>
        <v>Ограждение газонное из металлической профильной трубы 20х20х1,5 мм</v>
      </c>
      <c r="D108" s="25" t="str">
        <f>Source!H57</f>
        <v>м2</v>
      </c>
      <c r="E108" s="12">
        <f>Source!I57</f>
        <v>5.21</v>
      </c>
      <c r="F108" s="27">
        <f>Source!AK57</f>
        <v>358.54</v>
      </c>
      <c r="G108" s="31" t="s">
        <v>3</v>
      </c>
      <c r="H108" s="12">
        <f>Source!AW57</f>
        <v>1</v>
      </c>
      <c r="I108" s="28">
        <f>ROUND((Source!AC57*Source!AW57)*Source!I57, 2)+ROUND((Source!AD57*Source!AV57)*Source!I57, 2)+ROUND((Source!AF57*Source!AV57)*Source!I57, 2)</f>
        <v>1867.99</v>
      </c>
      <c r="J108" s="12">
        <f>IF(Source!BC57&lt;&gt; 0, Source!BC57, 1)</f>
        <v>1.77</v>
      </c>
      <c r="K108" s="28">
        <f>Source!O57</f>
        <v>3306.35</v>
      </c>
      <c r="Q108">
        <f>ROUND((Source!DN57/100)*ROUND((Source!AF57*Source!AV57)*Source!I57, 2), 2)</f>
        <v>0</v>
      </c>
      <c r="R108">
        <f>Source!X57</f>
        <v>0</v>
      </c>
      <c r="S108">
        <f>ROUND((Source!DO57/100)*ROUND((Source!AF57*Source!AV57)*Source!I57, 2), 2)</f>
        <v>0</v>
      </c>
      <c r="T108">
        <f>Source!Y57</f>
        <v>0</v>
      </c>
      <c r="U108">
        <f>ROUND((175/100)*ROUND((Source!AE57*Source!AV57)*Source!I57, 2), 2)</f>
        <v>0</v>
      </c>
      <c r="V108">
        <f>ROUND((168/100)*ROUND(Source!CS57*Source!I57, 2), 2)</f>
        <v>0</v>
      </c>
      <c r="X108">
        <f>IF(Source!BI57&lt;=1,I108, 0)</f>
        <v>1867.99</v>
      </c>
      <c r="Y108">
        <f>IF(Source!BI57=2,I108, 0)</f>
        <v>0</v>
      </c>
      <c r="Z108">
        <f>IF(Source!BI57=3,I108, 0)</f>
        <v>0</v>
      </c>
      <c r="AA108">
        <f>IF(Source!BI57=4,I108, 0)</f>
        <v>0</v>
      </c>
    </row>
    <row r="109" spans="1:27" ht="14.25" x14ac:dyDescent="0.2">
      <c r="A109" s="23"/>
      <c r="B109" s="24"/>
      <c r="C109" s="24" t="s">
        <v>893</v>
      </c>
      <c r="D109" s="25" t="s">
        <v>894</v>
      </c>
      <c r="E109" s="12">
        <f>Source!DN55</f>
        <v>156</v>
      </c>
      <c r="F109" s="27"/>
      <c r="G109" s="26"/>
      <c r="H109" s="12"/>
      <c r="I109" s="28">
        <f>SUM(Q103:Q108)</f>
        <v>12.11</v>
      </c>
      <c r="J109" s="12">
        <f>Source!BZ55</f>
        <v>90</v>
      </c>
      <c r="K109" s="28">
        <f>SUM(R103:R108)</f>
        <v>142.52000000000001</v>
      </c>
    </row>
    <row r="110" spans="1:27" ht="14.25" x14ac:dyDescent="0.2">
      <c r="A110" s="23"/>
      <c r="B110" s="24"/>
      <c r="C110" s="24" t="s">
        <v>895</v>
      </c>
      <c r="D110" s="25" t="s">
        <v>894</v>
      </c>
      <c r="E110" s="12">
        <f>Source!DO55</f>
        <v>84</v>
      </c>
      <c r="F110" s="27"/>
      <c r="G110" s="26"/>
      <c r="H110" s="12"/>
      <c r="I110" s="28">
        <f>SUM(S103:S109)</f>
        <v>6.52</v>
      </c>
      <c r="J110" s="12">
        <f>Source!CA55</f>
        <v>41</v>
      </c>
      <c r="K110" s="28">
        <f>SUM(T103:T109)</f>
        <v>64.930000000000007</v>
      </c>
    </row>
    <row r="111" spans="1:27" ht="14.25" x14ac:dyDescent="0.2">
      <c r="A111" s="23"/>
      <c r="B111" s="24"/>
      <c r="C111" s="24" t="s">
        <v>896</v>
      </c>
      <c r="D111" s="25" t="s">
        <v>894</v>
      </c>
      <c r="E111" s="12">
        <f>175</f>
        <v>175</v>
      </c>
      <c r="F111" s="27"/>
      <c r="G111" s="26"/>
      <c r="H111" s="12"/>
      <c r="I111" s="28">
        <f>SUM(U103:U110)</f>
        <v>1.73</v>
      </c>
      <c r="J111" s="12">
        <f>168</f>
        <v>168</v>
      </c>
      <c r="K111" s="28">
        <f>SUM(V103:V110)</f>
        <v>33.92</v>
      </c>
    </row>
    <row r="112" spans="1:27" ht="14.25" x14ac:dyDescent="0.2">
      <c r="A112" s="23"/>
      <c r="B112" s="24"/>
      <c r="C112" s="24" t="s">
        <v>897</v>
      </c>
      <c r="D112" s="25" t="s">
        <v>898</v>
      </c>
      <c r="E112" s="12">
        <f>Source!AQ55</f>
        <v>0.12</v>
      </c>
      <c r="F112" s="27"/>
      <c r="G112" s="26" t="str">
        <f>Source!DI55</f>
        <v/>
      </c>
      <c r="H112" s="12">
        <f>Source!AV55</f>
        <v>1</v>
      </c>
      <c r="I112" s="28">
        <f>Source!U55</f>
        <v>0.62519999999999998</v>
      </c>
      <c r="J112" s="12"/>
      <c r="K112" s="28"/>
    </row>
    <row r="113" spans="1:27" ht="15" x14ac:dyDescent="0.25">
      <c r="A113" s="33"/>
      <c r="B113" s="33"/>
      <c r="C113" s="33"/>
      <c r="D113" s="33"/>
      <c r="E113" s="33"/>
      <c r="F113" s="33"/>
      <c r="G113" s="33"/>
      <c r="H113" s="59">
        <f>I104+I105+I107+I109+I110+I111+SUM(I108:I108)</f>
        <v>1905.86</v>
      </c>
      <c r="I113" s="59"/>
      <c r="J113" s="59">
        <f>K104+K105+K107+K109+K110+K111+SUM(K108:K108)</f>
        <v>3778.97</v>
      </c>
      <c r="K113" s="59"/>
      <c r="O113" s="32">
        <f>I104+I105+I107+I109+I110+I111+SUM(I108:I108)</f>
        <v>1905.86</v>
      </c>
      <c r="P113" s="32">
        <f>K104+K105+K107+K109+K110+K111+SUM(K108:K108)</f>
        <v>3778.97</v>
      </c>
      <c r="X113">
        <f>IF(Source!BI55&lt;=1,I104+I105+I107+I109+I110+I111-0, 0)</f>
        <v>37.869999999999997</v>
      </c>
      <c r="Y113">
        <f>IF(Source!BI55=2,I104+I105+I107+I109+I110+I111-0, 0)</f>
        <v>0</v>
      </c>
      <c r="Z113">
        <f>IF(Source!BI55=3,I104+I105+I107+I109+I110+I111-0, 0)</f>
        <v>0</v>
      </c>
      <c r="AA113">
        <f>IF(Source!BI55=4,I104+I105+I107+I109+I110+I111,0)</f>
        <v>0</v>
      </c>
    </row>
    <row r="114" spans="1:27" ht="28.5" x14ac:dyDescent="0.2">
      <c r="A114" s="23" t="str">
        <f>Source!E59</f>
        <v>9</v>
      </c>
      <c r="B114" s="24" t="str">
        <f>Source!F59</f>
        <v>6.51-6-1</v>
      </c>
      <c r="C114" s="24" t="str">
        <f>Source!G59</f>
        <v>Погрузка грунта вручную в автомобили-самосвалы с выгрузкой</v>
      </c>
      <c r="D114" s="25" t="str">
        <f>Source!H59</f>
        <v>100 м3 грунта</v>
      </c>
      <c r="E114" s="12">
        <f>Source!I59</f>
        <v>3.2899999999999999E-2</v>
      </c>
      <c r="F114" s="27"/>
      <c r="G114" s="26"/>
      <c r="H114" s="12"/>
      <c r="I114" s="28"/>
      <c r="J114" s="12"/>
      <c r="K114" s="28"/>
      <c r="Q114">
        <f>ROUND((Source!DN59/100)*ROUND((Source!AF59*Source!AV59)*Source!I59, 2), 2)</f>
        <v>23.81</v>
      </c>
      <c r="R114">
        <f>Source!X59</f>
        <v>389.58</v>
      </c>
      <c r="S114">
        <f>ROUND((Source!DO59/100)*ROUND((Source!AF59*Source!AV59)*Source!I59, 2), 2)</f>
        <v>17.53</v>
      </c>
      <c r="T114">
        <f>Source!Y59</f>
        <v>218.8</v>
      </c>
      <c r="U114">
        <f>ROUND((175/100)*ROUND((Source!AE59*Source!AV59)*Source!I59, 2), 2)</f>
        <v>0</v>
      </c>
      <c r="V114">
        <f>ROUND((168/100)*ROUND(Source!CS59*Source!I59, 2), 2)</f>
        <v>0</v>
      </c>
    </row>
    <row r="115" spans="1:27" x14ac:dyDescent="0.2">
      <c r="C115" s="29" t="str">
        <f>"Объем: "&amp;Source!I59&amp;"=3,29/"&amp;"100"</f>
        <v>Объем: 0,0329=3,29/100</v>
      </c>
    </row>
    <row r="116" spans="1:27" ht="14.25" x14ac:dyDescent="0.2">
      <c r="A116" s="23"/>
      <c r="B116" s="24"/>
      <c r="C116" s="24" t="s">
        <v>890</v>
      </c>
      <c r="D116" s="25"/>
      <c r="E116" s="12"/>
      <c r="F116" s="27">
        <f>Source!AO59</f>
        <v>795.14</v>
      </c>
      <c r="G116" s="26" t="str">
        <f>Source!DG59</f>
        <v/>
      </c>
      <c r="H116" s="12">
        <f>Source!AV59</f>
        <v>1</v>
      </c>
      <c r="I116" s="28">
        <f>ROUND((Source!AF59*Source!AV59)*Source!I59, 2)</f>
        <v>26.16</v>
      </c>
      <c r="J116" s="12">
        <f>IF(Source!BA59&lt;&gt; 0, Source!BA59, 1)</f>
        <v>20.399999999999999</v>
      </c>
      <c r="K116" s="28">
        <f>Source!S59</f>
        <v>533.66999999999996</v>
      </c>
      <c r="W116">
        <f>I116</f>
        <v>26.16</v>
      </c>
    </row>
    <row r="117" spans="1:27" ht="14.25" x14ac:dyDescent="0.2">
      <c r="A117" s="23"/>
      <c r="B117" s="24"/>
      <c r="C117" s="24" t="s">
        <v>893</v>
      </c>
      <c r="D117" s="25" t="s">
        <v>894</v>
      </c>
      <c r="E117" s="12">
        <f>Source!DN59</f>
        <v>91</v>
      </c>
      <c r="F117" s="27"/>
      <c r="G117" s="26"/>
      <c r="H117" s="12"/>
      <c r="I117" s="28">
        <f>SUM(Q114:Q116)</f>
        <v>23.81</v>
      </c>
      <c r="J117" s="12">
        <f>Source!BZ59</f>
        <v>73</v>
      </c>
      <c r="K117" s="28">
        <f>SUM(R114:R116)</f>
        <v>389.58</v>
      </c>
    </row>
    <row r="118" spans="1:27" ht="14.25" x14ac:dyDescent="0.2">
      <c r="A118" s="23"/>
      <c r="B118" s="24"/>
      <c r="C118" s="24" t="s">
        <v>895</v>
      </c>
      <c r="D118" s="25" t="s">
        <v>894</v>
      </c>
      <c r="E118" s="12">
        <f>Source!DO59</f>
        <v>67</v>
      </c>
      <c r="F118" s="27"/>
      <c r="G118" s="26"/>
      <c r="H118" s="12"/>
      <c r="I118" s="28">
        <f>SUM(S114:S117)</f>
        <v>17.53</v>
      </c>
      <c r="J118" s="12">
        <f>Source!CA59</f>
        <v>41</v>
      </c>
      <c r="K118" s="28">
        <f>SUM(T114:T117)</f>
        <v>218.8</v>
      </c>
    </row>
    <row r="119" spans="1:27" ht="14.25" x14ac:dyDescent="0.2">
      <c r="A119" s="23"/>
      <c r="B119" s="24"/>
      <c r="C119" s="24" t="s">
        <v>897</v>
      </c>
      <c r="D119" s="25" t="s">
        <v>898</v>
      </c>
      <c r="E119" s="12">
        <f>Source!AQ59</f>
        <v>83</v>
      </c>
      <c r="F119" s="27"/>
      <c r="G119" s="26" t="str">
        <f>Source!DI59</f>
        <v/>
      </c>
      <c r="H119" s="12">
        <f>Source!AV59</f>
        <v>1</v>
      </c>
      <c r="I119" s="28">
        <f>Source!U59</f>
        <v>2.7306999999999997</v>
      </c>
      <c r="J119" s="12"/>
      <c r="K119" s="28"/>
    </row>
    <row r="120" spans="1:27" ht="15" x14ac:dyDescent="0.25">
      <c r="A120" s="33"/>
      <c r="B120" s="33"/>
      <c r="C120" s="33"/>
      <c r="D120" s="33"/>
      <c r="E120" s="33"/>
      <c r="F120" s="33"/>
      <c r="G120" s="33"/>
      <c r="H120" s="59">
        <f>I116+I117+I118</f>
        <v>67.5</v>
      </c>
      <c r="I120" s="59"/>
      <c r="J120" s="59">
        <f>K116+K117+K118</f>
        <v>1142.05</v>
      </c>
      <c r="K120" s="59"/>
      <c r="O120" s="32">
        <f>I116+I117+I118</f>
        <v>67.5</v>
      </c>
      <c r="P120" s="32">
        <f>K116+K117+K118</f>
        <v>1142.05</v>
      </c>
      <c r="X120">
        <f>IF(Source!BI59&lt;=1,I116+I117+I118-0, 0)</f>
        <v>67.5</v>
      </c>
      <c r="Y120">
        <f>IF(Source!BI59=2,I116+I117+I118-0, 0)</f>
        <v>0</v>
      </c>
      <c r="Z120">
        <f>IF(Source!BI59=3,I116+I117+I118-0, 0)</f>
        <v>0</v>
      </c>
      <c r="AA120">
        <f>IF(Source!BI59=4,I116+I117+I118,0)</f>
        <v>0</v>
      </c>
    </row>
    <row r="121" spans="1:27" ht="42.75" x14ac:dyDescent="0.2">
      <c r="A121" s="23" t="str">
        <f>Source!E61</f>
        <v>10</v>
      </c>
      <c r="B121" s="24" t="str">
        <f>Source!F61</f>
        <v>15.1-29-1</v>
      </c>
      <c r="C121" s="24" t="str">
        <f>Source!G61</f>
        <v>Перевозка грунта с I по V группы на расстояние 29 км автосамосвалами грузоподъемностью до 10 т (ЮВАО)</v>
      </c>
      <c r="D121" s="25" t="str">
        <f>Source!H61</f>
        <v>1 м3</v>
      </c>
      <c r="E121" s="12">
        <f>Source!I61</f>
        <v>3.29</v>
      </c>
      <c r="F121" s="27"/>
      <c r="G121" s="26"/>
      <c r="H121" s="12"/>
      <c r="I121" s="28"/>
      <c r="J121" s="12"/>
      <c r="K121" s="28"/>
      <c r="Q121">
        <f>ROUND((Source!DN61/100)*ROUND((Source!AF61*Source!AV61)*Source!I61, 2), 2)</f>
        <v>0</v>
      </c>
      <c r="R121">
        <f>Source!X61</f>
        <v>0</v>
      </c>
      <c r="S121">
        <f>ROUND((Source!DO61/100)*ROUND((Source!AF61*Source!AV61)*Source!I61, 2), 2)</f>
        <v>0</v>
      </c>
      <c r="T121">
        <f>Source!Y61</f>
        <v>0</v>
      </c>
      <c r="U121">
        <f>ROUND((175/100)*ROUND((Source!AE61*Source!AV61)*Source!I61, 2), 2)</f>
        <v>0</v>
      </c>
      <c r="V121">
        <f>ROUND((168/100)*ROUND(Source!CS61*Source!I61, 2), 2)</f>
        <v>0</v>
      </c>
    </row>
    <row r="122" spans="1:27" ht="14.25" x14ac:dyDescent="0.2">
      <c r="A122" s="23"/>
      <c r="B122" s="24"/>
      <c r="C122" s="24" t="s">
        <v>891</v>
      </c>
      <c r="D122" s="25"/>
      <c r="E122" s="12"/>
      <c r="F122" s="27">
        <f>Source!AM61</f>
        <v>53.43</v>
      </c>
      <c r="G122" s="26" t="str">
        <f>Source!DE61</f>
        <v/>
      </c>
      <c r="H122" s="12">
        <f>Source!AV61</f>
        <v>1</v>
      </c>
      <c r="I122" s="28">
        <f>ROUND((Source!AD61*Source!AV61)*Source!I61, 2)</f>
        <v>175.78</v>
      </c>
      <c r="J122" s="12">
        <f>IF(Source!BB61&lt;&gt; 0, Source!BB61, 1)</f>
        <v>9.7899999999999991</v>
      </c>
      <c r="K122" s="28">
        <f>Source!Q61</f>
        <v>1720.93</v>
      </c>
    </row>
    <row r="123" spans="1:27" ht="15" x14ac:dyDescent="0.25">
      <c r="A123" s="33"/>
      <c r="B123" s="33"/>
      <c r="C123" s="33"/>
      <c r="D123" s="33"/>
      <c r="E123" s="33"/>
      <c r="F123" s="33"/>
      <c r="G123" s="33"/>
      <c r="H123" s="59">
        <f>I122</f>
        <v>175.78</v>
      </c>
      <c r="I123" s="59"/>
      <c r="J123" s="59">
        <f>K122</f>
        <v>1720.93</v>
      </c>
      <c r="K123" s="59"/>
      <c r="O123" s="32">
        <f>I122</f>
        <v>175.78</v>
      </c>
      <c r="P123" s="32">
        <f>K122</f>
        <v>1720.93</v>
      </c>
      <c r="X123">
        <f>IF(Source!BI61&lt;=1,I122-0, 0)</f>
        <v>0</v>
      </c>
      <c r="Y123">
        <f>IF(Source!BI61=2,I122-0, 0)</f>
        <v>0</v>
      </c>
      <c r="Z123">
        <f>IF(Source!BI61=3,I122-0, 0)</f>
        <v>0</v>
      </c>
      <c r="AA123">
        <f>IF(Source!BI61=4,I122,0)</f>
        <v>175.78</v>
      </c>
    </row>
    <row r="125" spans="1:27" ht="15" x14ac:dyDescent="0.25">
      <c r="A125" s="57" t="str">
        <f>CONCATENATE("Итого по разделу: ",IF(Source!G63&lt;&gt;"Новый раздел", Source!G63, ""))</f>
        <v>Итого по разделу: Наружные работы</v>
      </c>
      <c r="B125" s="57"/>
      <c r="C125" s="57"/>
      <c r="D125" s="57"/>
      <c r="E125" s="57"/>
      <c r="F125" s="57"/>
      <c r="G125" s="57"/>
      <c r="H125" s="55">
        <f>SUM(O33:O124)</f>
        <v>4679.9699999999993</v>
      </c>
      <c r="I125" s="56"/>
      <c r="J125" s="55">
        <f>SUM(P33:P124)</f>
        <v>33685.199999999997</v>
      </c>
      <c r="K125" s="56"/>
    </row>
    <row r="126" spans="1:27" ht="15" hidden="1" x14ac:dyDescent="0.25">
      <c r="A126" s="57" t="s">
        <v>900</v>
      </c>
      <c r="B126" s="57"/>
      <c r="C126" s="57"/>
      <c r="D126" s="57"/>
      <c r="E126" s="57"/>
      <c r="F126" s="57"/>
      <c r="G126" s="57"/>
      <c r="H126" s="55">
        <f>SUM(AC33:AC125)</f>
        <v>0</v>
      </c>
      <c r="I126" s="56"/>
      <c r="J126" s="55">
        <f>SUM(AD33:AD125)</f>
        <v>0</v>
      </c>
      <c r="K126" s="56"/>
    </row>
    <row r="128" spans="1:27" ht="16.5" x14ac:dyDescent="0.25">
      <c r="A128" s="60" t="str">
        <f>CONCATENATE("Раздел: ",IF(Source!G92&lt;&gt;"Новый раздел", Source!G92, ""))</f>
        <v>Раздел: Демонтажные работы</v>
      </c>
      <c r="B128" s="60"/>
      <c r="C128" s="60"/>
      <c r="D128" s="60"/>
      <c r="E128" s="60"/>
      <c r="F128" s="60"/>
      <c r="G128" s="60"/>
      <c r="H128" s="60"/>
      <c r="I128" s="60"/>
      <c r="J128" s="60"/>
      <c r="K128" s="60"/>
    </row>
    <row r="130" spans="1:27" ht="16.5" x14ac:dyDescent="0.25">
      <c r="A130" s="60" t="str">
        <f>CONCATENATE("Подраздел: ",IF(Source!G96&lt;&gt;"Новый подраздел", Source!G96, ""))</f>
        <v>Подраздел: Входная группа</v>
      </c>
      <c r="B130" s="60"/>
      <c r="C130" s="60"/>
      <c r="D130" s="60"/>
      <c r="E130" s="60"/>
      <c r="F130" s="60"/>
      <c r="G130" s="60"/>
      <c r="H130" s="60"/>
      <c r="I130" s="60"/>
      <c r="J130" s="60"/>
      <c r="K130" s="60"/>
    </row>
    <row r="131" spans="1:27" ht="42.75" x14ac:dyDescent="0.2">
      <c r="A131" s="23" t="str">
        <f>Source!E101</f>
        <v>11</v>
      </c>
      <c r="B131" s="24" t="str">
        <f>Source!F101</f>
        <v>3.9-36-1</v>
      </c>
      <c r="C131" s="24" t="str">
        <f>Source!G101</f>
        <v>Монтаж конструкций дверей и люков (Демонтаж)</v>
      </c>
      <c r="D131" s="25" t="str">
        <f>Source!H101</f>
        <v>1 т конструкций</v>
      </c>
      <c r="E131" s="12">
        <f>Source!I101</f>
        <v>0.1</v>
      </c>
      <c r="F131" s="27"/>
      <c r="G131" s="26"/>
      <c r="H131" s="12"/>
      <c r="I131" s="28"/>
      <c r="J131" s="12"/>
      <c r="K131" s="28"/>
      <c r="Q131">
        <f>ROUND((Source!DN101/100)*ROUND((Source!AF101*Source!AV101)*Source!I101, 2), 2)</f>
        <v>55.27</v>
      </c>
      <c r="R131">
        <f>Source!X101</f>
        <v>902</v>
      </c>
      <c r="S131">
        <f>ROUND((Source!DO101/100)*ROUND((Source!AF101*Source!AV101)*Source!I101, 2), 2)</f>
        <v>45.51</v>
      </c>
      <c r="T131">
        <f>Source!Y101</f>
        <v>543.85</v>
      </c>
      <c r="U131">
        <f>ROUND((175/100)*ROUND((Source!AE101*Source!AV101)*Source!I101, 2), 2)</f>
        <v>5.78</v>
      </c>
      <c r="V131">
        <f>ROUND((168/100)*ROUND(Source!CS101*Source!I101, 2), 2)</f>
        <v>112.95</v>
      </c>
    </row>
    <row r="132" spans="1:27" ht="14.25" x14ac:dyDescent="0.2">
      <c r="A132" s="23"/>
      <c r="B132" s="24"/>
      <c r="C132" s="24" t="s">
        <v>890</v>
      </c>
      <c r="D132" s="25"/>
      <c r="E132" s="12"/>
      <c r="F132" s="27">
        <f>Source!AO101</f>
        <v>1083.72</v>
      </c>
      <c r="G132" s="26" t="str">
        <f>Source!DG101</f>
        <v>)*0,6</v>
      </c>
      <c r="H132" s="12">
        <f>Source!AV101</f>
        <v>1</v>
      </c>
      <c r="I132" s="28">
        <f>ROUND((Source!AF101*Source!AV101)*Source!I101, 2)</f>
        <v>65.02</v>
      </c>
      <c r="J132" s="12">
        <f>IF(Source!BA101&lt;&gt; 0, Source!BA101, 1)</f>
        <v>20.399999999999999</v>
      </c>
      <c r="K132" s="28">
        <f>Source!S101</f>
        <v>1326.47</v>
      </c>
      <c r="W132">
        <f>I132</f>
        <v>65.02</v>
      </c>
    </row>
    <row r="133" spans="1:27" ht="14.25" x14ac:dyDescent="0.2">
      <c r="A133" s="23"/>
      <c r="B133" s="24"/>
      <c r="C133" s="24" t="s">
        <v>891</v>
      </c>
      <c r="D133" s="25"/>
      <c r="E133" s="12"/>
      <c r="F133" s="27">
        <f>Source!AM101</f>
        <v>234.59</v>
      </c>
      <c r="G133" s="26" t="str">
        <f>Source!DE101</f>
        <v>)*0,6</v>
      </c>
      <c r="H133" s="12">
        <f>Source!AV101</f>
        <v>1</v>
      </c>
      <c r="I133" s="28">
        <f>ROUND((Source!AD101*Source!AV101)*Source!I101, 2)</f>
        <v>14.08</v>
      </c>
      <c r="J133" s="12">
        <f>IF(Source!BB101&lt;&gt; 0, Source!BB101, 1)</f>
        <v>8.9600000000000009</v>
      </c>
      <c r="K133" s="28">
        <f>Source!Q101</f>
        <v>126.12</v>
      </c>
    </row>
    <row r="134" spans="1:27" ht="14.25" x14ac:dyDescent="0.2">
      <c r="A134" s="23"/>
      <c r="B134" s="24"/>
      <c r="C134" s="24" t="s">
        <v>892</v>
      </c>
      <c r="D134" s="25"/>
      <c r="E134" s="12"/>
      <c r="F134" s="27">
        <f>Source!AN101</f>
        <v>54.93</v>
      </c>
      <c r="G134" s="26" t="str">
        <f>Source!DF101</f>
        <v>)*0,6</v>
      </c>
      <c r="H134" s="12">
        <f>Source!AV101</f>
        <v>1</v>
      </c>
      <c r="I134" s="30">
        <f>ROUND((Source!AE101*Source!AV101)*Source!I101, 2)</f>
        <v>3.3</v>
      </c>
      <c r="J134" s="12">
        <f>IF(Source!BS101&lt;&gt; 0, Source!BS101, 1)</f>
        <v>20.399999999999999</v>
      </c>
      <c r="K134" s="30">
        <f>Source!R101</f>
        <v>67.23</v>
      </c>
      <c r="W134">
        <f>I134</f>
        <v>3.3</v>
      </c>
    </row>
    <row r="135" spans="1:27" ht="14.25" x14ac:dyDescent="0.2">
      <c r="A135" s="23"/>
      <c r="B135" s="24"/>
      <c r="C135" s="24" t="s">
        <v>899</v>
      </c>
      <c r="D135" s="25"/>
      <c r="E135" s="12"/>
      <c r="F135" s="27">
        <f>Source!AL101</f>
        <v>44.51</v>
      </c>
      <c r="G135" s="26" t="str">
        <f>Source!DD101</f>
        <v>)*0,6</v>
      </c>
      <c r="H135" s="12">
        <f>Source!AW101</f>
        <v>1</v>
      </c>
      <c r="I135" s="28">
        <f>ROUND((Source!AC101*Source!AW101)*Source!I101, 2)</f>
        <v>2.67</v>
      </c>
      <c r="J135" s="12">
        <f>IF(Source!BC101&lt;&gt; 0, Source!BC101, 1)</f>
        <v>6</v>
      </c>
      <c r="K135" s="28">
        <f>Source!P101</f>
        <v>16.02</v>
      </c>
    </row>
    <row r="136" spans="1:27" ht="28.5" x14ac:dyDescent="0.2">
      <c r="A136" s="23" t="str">
        <f>Source!E103</f>
        <v>11,1</v>
      </c>
      <c r="B136" s="24" t="str">
        <f>Source!F103</f>
        <v>9999990001</v>
      </c>
      <c r="C136" s="24" t="str">
        <f>Source!G103</f>
        <v>Масса мусора</v>
      </c>
      <c r="D136" s="25" t="str">
        <f>Source!H103</f>
        <v>т</v>
      </c>
      <c r="E136" s="12">
        <f>Source!I103</f>
        <v>0.1</v>
      </c>
      <c r="F136" s="27">
        <f>Source!AK103</f>
        <v>0</v>
      </c>
      <c r="G136" s="31" t="s">
        <v>3</v>
      </c>
      <c r="H136" s="12">
        <f>Source!AW103</f>
        <v>1</v>
      </c>
      <c r="I136" s="28">
        <f>ROUND((Source!AC103*Source!AW103)*Source!I103, 2)+ROUND((Source!AD103*Source!AV103)*Source!I103, 2)+ROUND((Source!AF103*Source!AV103)*Source!I103, 2)</f>
        <v>0</v>
      </c>
      <c r="J136" s="12">
        <f>IF(Source!BC103&lt;&gt; 0, Source!BC103, 1)</f>
        <v>1</v>
      </c>
      <c r="K136" s="28">
        <f>Source!O103</f>
        <v>0</v>
      </c>
      <c r="Q136">
        <f>ROUND((Source!DN103/100)*ROUND((Source!AF103*Source!AV103)*Source!I103, 2), 2)</f>
        <v>0</v>
      </c>
      <c r="R136">
        <f>Source!X103</f>
        <v>0</v>
      </c>
      <c r="S136">
        <f>ROUND((Source!DO103/100)*ROUND((Source!AF103*Source!AV103)*Source!I103, 2), 2)</f>
        <v>0</v>
      </c>
      <c r="T136">
        <f>Source!Y103</f>
        <v>0</v>
      </c>
      <c r="U136">
        <f>ROUND((175/100)*ROUND((Source!AE103*Source!AV103)*Source!I103, 2), 2)</f>
        <v>0</v>
      </c>
      <c r="V136">
        <f>ROUND((168/100)*ROUND(Source!CS103*Source!I103, 2), 2)</f>
        <v>0</v>
      </c>
      <c r="X136">
        <f>IF(Source!BI103&lt;=1,I136, 0)</f>
        <v>0</v>
      </c>
      <c r="Y136">
        <f>IF(Source!BI103=2,I136, 0)</f>
        <v>0</v>
      </c>
      <c r="Z136">
        <f>IF(Source!BI103=3,I136, 0)</f>
        <v>0</v>
      </c>
      <c r="AA136">
        <f>IF(Source!BI103=4,I136, 0)</f>
        <v>0</v>
      </c>
    </row>
    <row r="137" spans="1:27" ht="14.25" x14ac:dyDescent="0.2">
      <c r="A137" s="23"/>
      <c r="B137" s="24"/>
      <c r="C137" s="24" t="s">
        <v>893</v>
      </c>
      <c r="D137" s="25" t="s">
        <v>894</v>
      </c>
      <c r="E137" s="12">
        <f>Source!DN101</f>
        <v>85</v>
      </c>
      <c r="F137" s="27"/>
      <c r="G137" s="26"/>
      <c r="H137" s="12"/>
      <c r="I137" s="28">
        <f>SUM(Q131:Q136)</f>
        <v>55.27</v>
      </c>
      <c r="J137" s="12">
        <f>Source!BZ101</f>
        <v>68</v>
      </c>
      <c r="K137" s="28">
        <f>SUM(R131:R136)</f>
        <v>902</v>
      </c>
    </row>
    <row r="138" spans="1:27" ht="14.25" x14ac:dyDescent="0.2">
      <c r="A138" s="23"/>
      <c r="B138" s="24"/>
      <c r="C138" s="24" t="s">
        <v>895</v>
      </c>
      <c r="D138" s="25" t="s">
        <v>894</v>
      </c>
      <c r="E138" s="12">
        <f>Source!DO101</f>
        <v>70</v>
      </c>
      <c r="F138" s="27"/>
      <c r="G138" s="26"/>
      <c r="H138" s="12"/>
      <c r="I138" s="28">
        <f>SUM(S131:S137)</f>
        <v>45.51</v>
      </c>
      <c r="J138" s="12">
        <f>Source!CA101</f>
        <v>41</v>
      </c>
      <c r="K138" s="28">
        <f>SUM(T131:T137)</f>
        <v>543.85</v>
      </c>
    </row>
    <row r="139" spans="1:27" ht="14.25" x14ac:dyDescent="0.2">
      <c r="A139" s="23"/>
      <c r="B139" s="24"/>
      <c r="C139" s="24" t="s">
        <v>896</v>
      </c>
      <c r="D139" s="25" t="s">
        <v>894</v>
      </c>
      <c r="E139" s="12">
        <f>175</f>
        <v>175</v>
      </c>
      <c r="F139" s="27"/>
      <c r="G139" s="26"/>
      <c r="H139" s="12"/>
      <c r="I139" s="28">
        <f>SUM(U131:U138)</f>
        <v>5.78</v>
      </c>
      <c r="J139" s="12">
        <f>168</f>
        <v>168</v>
      </c>
      <c r="K139" s="28">
        <f>SUM(V131:V138)</f>
        <v>112.95</v>
      </c>
    </row>
    <row r="140" spans="1:27" ht="14.25" x14ac:dyDescent="0.2">
      <c r="A140" s="23"/>
      <c r="B140" s="24"/>
      <c r="C140" s="24" t="s">
        <v>897</v>
      </c>
      <c r="D140" s="25" t="s">
        <v>898</v>
      </c>
      <c r="E140" s="12">
        <f>Source!AQ101</f>
        <v>82.1</v>
      </c>
      <c r="F140" s="27"/>
      <c r="G140" s="26" t="str">
        <f>Source!DI101</f>
        <v>)*0,6</v>
      </c>
      <c r="H140" s="12">
        <f>Source!AV101</f>
        <v>1</v>
      </c>
      <c r="I140" s="28">
        <f>Source!U101</f>
        <v>4.9260000000000002</v>
      </c>
      <c r="J140" s="12"/>
      <c r="K140" s="28"/>
    </row>
    <row r="141" spans="1:27" ht="15" x14ac:dyDescent="0.25">
      <c r="A141" s="33"/>
      <c r="B141" s="33"/>
      <c r="C141" s="33"/>
      <c r="D141" s="33"/>
      <c r="E141" s="33"/>
      <c r="F141" s="33"/>
      <c r="G141" s="33"/>
      <c r="H141" s="59">
        <f>I132+I133+I135+I137+I138+I139+SUM(I136:I136)</f>
        <v>188.32999999999998</v>
      </c>
      <c r="I141" s="59"/>
      <c r="J141" s="59">
        <f>K132+K133+K135+K137+K138+K139+SUM(K136:K136)</f>
        <v>3027.41</v>
      </c>
      <c r="K141" s="59"/>
      <c r="O141" s="32">
        <f>I132+I133+I135+I137+I138+I139+SUM(I136:I136)</f>
        <v>188.32999999999998</v>
      </c>
      <c r="P141" s="32">
        <f>K132+K133+K135+K137+K138+K139+SUM(K136:K136)</f>
        <v>3027.41</v>
      </c>
      <c r="X141">
        <f>IF(Source!BI101&lt;=1,I132+I133+I135+I137+I138+I139-0, 0)</f>
        <v>188.32999999999998</v>
      </c>
      <c r="Y141">
        <f>IF(Source!BI101=2,I132+I133+I135+I137+I138+I139-0, 0)</f>
        <v>0</v>
      </c>
      <c r="Z141">
        <f>IF(Source!BI101=3,I132+I133+I135+I137+I138+I139-0, 0)</f>
        <v>0</v>
      </c>
      <c r="AA141">
        <f>IF(Source!BI101=4,I132+I133+I135+I137+I138+I139,0)</f>
        <v>0</v>
      </c>
    </row>
    <row r="142" spans="1:27" ht="42.75" x14ac:dyDescent="0.2">
      <c r="A142" s="23" t="str">
        <f>Source!E105</f>
        <v>12</v>
      </c>
      <c r="B142" s="24" t="str">
        <f>Source!F105</f>
        <v>6.56-38-3</v>
      </c>
      <c r="C142" s="24" t="str">
        <f>Source!G105</f>
        <v>Разборка деревянных заполнений проемов дверных, воротных 1,02*2,2*1шт=2,24м2</v>
      </c>
      <c r="D142" s="25" t="str">
        <f>Source!H105</f>
        <v>100 м2</v>
      </c>
      <c r="E142" s="12">
        <f>Source!I105</f>
        <v>2.24E-2</v>
      </c>
      <c r="F142" s="27"/>
      <c r="G142" s="26"/>
      <c r="H142" s="12"/>
      <c r="I142" s="28"/>
      <c r="J142" s="12"/>
      <c r="K142" s="28"/>
      <c r="Q142">
        <f>ROUND((Source!DN105/100)*ROUND((Source!AF105*Source!AV105)*Source!I105, 2), 2)</f>
        <v>17.309999999999999</v>
      </c>
      <c r="R142">
        <f>Source!X105</f>
        <v>300.23</v>
      </c>
      <c r="S142">
        <f>ROUND((Source!DO105/100)*ROUND((Source!AF105*Source!AV105)*Source!I105, 2), 2)</f>
        <v>11.9</v>
      </c>
      <c r="T142">
        <f>Source!Y105</f>
        <v>181.02</v>
      </c>
      <c r="U142">
        <f>ROUND((175/100)*ROUND((Source!AE105*Source!AV105)*Source!I105, 2), 2)</f>
        <v>0</v>
      </c>
      <c r="V142">
        <f>ROUND((168/100)*ROUND(Source!CS105*Source!I105, 2), 2)</f>
        <v>0</v>
      </c>
    </row>
    <row r="143" spans="1:27" x14ac:dyDescent="0.2">
      <c r="C143" s="29" t="str">
        <f>"Объем: "&amp;Source!I105&amp;"=2,24/"&amp;"100"</f>
        <v>Объем: 0,0224=2,24/100</v>
      </c>
    </row>
    <row r="144" spans="1:27" ht="14.25" x14ac:dyDescent="0.2">
      <c r="A144" s="23"/>
      <c r="B144" s="24"/>
      <c r="C144" s="24" t="s">
        <v>890</v>
      </c>
      <c r="D144" s="25"/>
      <c r="E144" s="12"/>
      <c r="F144" s="27">
        <f>Source!AO105</f>
        <v>966.19</v>
      </c>
      <c r="G144" s="26" t="str">
        <f>Source!DG105</f>
        <v/>
      </c>
      <c r="H144" s="12">
        <f>Source!AV105</f>
        <v>1</v>
      </c>
      <c r="I144" s="28">
        <f>ROUND((Source!AF105*Source!AV105)*Source!I105, 2)</f>
        <v>21.64</v>
      </c>
      <c r="J144" s="12">
        <f>IF(Source!BA105&lt;&gt; 0, Source!BA105, 1)</f>
        <v>20.399999999999999</v>
      </c>
      <c r="K144" s="28">
        <f>Source!S105</f>
        <v>441.51</v>
      </c>
      <c r="W144">
        <f>I144</f>
        <v>21.64</v>
      </c>
    </row>
    <row r="145" spans="1:27" ht="28.5" x14ac:dyDescent="0.2">
      <c r="A145" s="23" t="str">
        <f>Source!E107</f>
        <v>12,1</v>
      </c>
      <c r="B145" s="24" t="str">
        <f>Source!F107</f>
        <v>9999990001</v>
      </c>
      <c r="C145" s="24" t="str">
        <f>Source!G107</f>
        <v>Масса мусора</v>
      </c>
      <c r="D145" s="25" t="str">
        <f>Source!H107</f>
        <v>т</v>
      </c>
      <c r="E145" s="12">
        <f>Source!I107</f>
        <v>0.03</v>
      </c>
      <c r="F145" s="27">
        <f>Source!AK107</f>
        <v>0</v>
      </c>
      <c r="G145" s="31" t="s">
        <v>3</v>
      </c>
      <c r="H145" s="12">
        <f>Source!AW107</f>
        <v>1</v>
      </c>
      <c r="I145" s="28">
        <f>ROUND((Source!AC107*Source!AW107)*Source!I107, 2)+ROUND((Source!AD107*Source!AV107)*Source!I107, 2)+ROUND((Source!AF107*Source!AV107)*Source!I107, 2)</f>
        <v>0</v>
      </c>
      <c r="J145" s="12">
        <f>IF(Source!BC107&lt;&gt; 0, Source!BC107, 1)</f>
        <v>1</v>
      </c>
      <c r="K145" s="28">
        <f>Source!O107</f>
        <v>0</v>
      </c>
      <c r="Q145">
        <f>ROUND((Source!DN107/100)*ROUND((Source!AF107*Source!AV107)*Source!I107, 2), 2)</f>
        <v>0</v>
      </c>
      <c r="R145">
        <f>Source!X107</f>
        <v>0</v>
      </c>
      <c r="S145">
        <f>ROUND((Source!DO107/100)*ROUND((Source!AF107*Source!AV107)*Source!I107, 2), 2)</f>
        <v>0</v>
      </c>
      <c r="T145">
        <f>Source!Y107</f>
        <v>0</v>
      </c>
      <c r="U145">
        <f>ROUND((175/100)*ROUND((Source!AE107*Source!AV107)*Source!I107, 2), 2)</f>
        <v>0</v>
      </c>
      <c r="V145">
        <f>ROUND((168/100)*ROUND(Source!CS107*Source!I107, 2), 2)</f>
        <v>0</v>
      </c>
      <c r="X145">
        <f>IF(Source!BI107&lt;=1,I145, 0)</f>
        <v>0</v>
      </c>
      <c r="Y145">
        <f>IF(Source!BI107=2,I145, 0)</f>
        <v>0</v>
      </c>
      <c r="Z145">
        <f>IF(Source!BI107=3,I145, 0)</f>
        <v>0</v>
      </c>
      <c r="AA145">
        <f>IF(Source!BI107=4,I145, 0)</f>
        <v>0</v>
      </c>
    </row>
    <row r="146" spans="1:27" ht="14.25" x14ac:dyDescent="0.2">
      <c r="A146" s="23"/>
      <c r="B146" s="24"/>
      <c r="C146" s="24" t="s">
        <v>893</v>
      </c>
      <c r="D146" s="25" t="s">
        <v>894</v>
      </c>
      <c r="E146" s="12">
        <f>Source!DN105</f>
        <v>80</v>
      </c>
      <c r="F146" s="27"/>
      <c r="G146" s="26"/>
      <c r="H146" s="12"/>
      <c r="I146" s="28">
        <f>SUM(Q142:Q145)</f>
        <v>17.309999999999999</v>
      </c>
      <c r="J146" s="12">
        <f>Source!BZ105</f>
        <v>68</v>
      </c>
      <c r="K146" s="28">
        <f>SUM(R142:R145)</f>
        <v>300.23</v>
      </c>
    </row>
    <row r="147" spans="1:27" ht="14.25" x14ac:dyDescent="0.2">
      <c r="A147" s="23"/>
      <c r="B147" s="24"/>
      <c r="C147" s="24" t="s">
        <v>895</v>
      </c>
      <c r="D147" s="25" t="s">
        <v>894</v>
      </c>
      <c r="E147" s="12">
        <f>Source!DO105</f>
        <v>55</v>
      </c>
      <c r="F147" s="27"/>
      <c r="G147" s="26"/>
      <c r="H147" s="12"/>
      <c r="I147" s="28">
        <f>SUM(S142:S146)</f>
        <v>11.9</v>
      </c>
      <c r="J147" s="12">
        <f>Source!CA105</f>
        <v>41</v>
      </c>
      <c r="K147" s="28">
        <f>SUM(T142:T146)</f>
        <v>181.02</v>
      </c>
    </row>
    <row r="148" spans="1:27" ht="14.25" x14ac:dyDescent="0.2">
      <c r="A148" s="23"/>
      <c r="B148" s="24"/>
      <c r="C148" s="24" t="s">
        <v>897</v>
      </c>
      <c r="D148" s="25" t="s">
        <v>898</v>
      </c>
      <c r="E148" s="12">
        <f>Source!AQ105</f>
        <v>91.15</v>
      </c>
      <c r="F148" s="27"/>
      <c r="G148" s="26" t="str">
        <f>Source!DI105</f>
        <v/>
      </c>
      <c r="H148" s="12">
        <f>Source!AV105</f>
        <v>1</v>
      </c>
      <c r="I148" s="28">
        <f>Source!U105</f>
        <v>2.04176</v>
      </c>
      <c r="J148" s="12"/>
      <c r="K148" s="28"/>
    </row>
    <row r="149" spans="1:27" ht="15" x14ac:dyDescent="0.25">
      <c r="A149" s="33"/>
      <c r="B149" s="33"/>
      <c r="C149" s="33"/>
      <c r="D149" s="33"/>
      <c r="E149" s="33"/>
      <c r="F149" s="33"/>
      <c r="G149" s="33"/>
      <c r="H149" s="59">
        <f>I144+I146+I147+SUM(I145:I145)</f>
        <v>50.85</v>
      </c>
      <c r="I149" s="59"/>
      <c r="J149" s="59">
        <f>K144+K146+K147+SUM(K145:K145)</f>
        <v>922.76</v>
      </c>
      <c r="K149" s="59"/>
      <c r="O149" s="32">
        <f>I144+I146+I147+SUM(I145:I145)</f>
        <v>50.85</v>
      </c>
      <c r="P149" s="32">
        <f>K144+K146+K147+SUM(K145:K145)</f>
        <v>922.76</v>
      </c>
      <c r="X149">
        <f>IF(Source!BI105&lt;=1,I144+I146+I147-0, 0)</f>
        <v>50.85</v>
      </c>
      <c r="Y149">
        <f>IF(Source!BI105=2,I144+I146+I147-0, 0)</f>
        <v>0</v>
      </c>
      <c r="Z149">
        <f>IF(Source!BI105=3,I144+I146+I147-0, 0)</f>
        <v>0</v>
      </c>
      <c r="AA149">
        <f>IF(Source!BI105=4,I144+I146+I147,0)</f>
        <v>0</v>
      </c>
    </row>
    <row r="150" spans="1:27" ht="28.5" x14ac:dyDescent="0.2">
      <c r="A150" s="23" t="str">
        <f>Source!E109</f>
        <v>13</v>
      </c>
      <c r="B150" s="24" t="str">
        <f>Source!F109</f>
        <v>6.52-1-3</v>
      </c>
      <c r="C150" s="24" t="str">
        <f>Source!G109</f>
        <v>Разборка фундаментов железобетонных (ограждение крыльца)</v>
      </c>
      <c r="D150" s="25" t="str">
        <f>Source!H109</f>
        <v>1 м3</v>
      </c>
      <c r="E150" s="12">
        <f>Source!I109</f>
        <v>0.09</v>
      </c>
      <c r="F150" s="27"/>
      <c r="G150" s="26"/>
      <c r="H150" s="12"/>
      <c r="I150" s="28"/>
      <c r="J150" s="12"/>
      <c r="K150" s="28"/>
      <c r="Q150">
        <f>ROUND((Source!DN109/100)*ROUND((Source!AF109*Source!AV109)*Source!I109, 2), 2)</f>
        <v>13.39</v>
      </c>
      <c r="R150">
        <f>Source!X109</f>
        <v>232.15</v>
      </c>
      <c r="S150">
        <f>ROUND((Source!DO109/100)*ROUND((Source!AF109*Source!AV109)*Source!I109, 2), 2)</f>
        <v>9.2100000000000009</v>
      </c>
      <c r="T150">
        <f>Source!Y109</f>
        <v>139.97</v>
      </c>
      <c r="U150">
        <f>ROUND((175/100)*ROUND((Source!AE109*Source!AV109)*Source!I109, 2), 2)</f>
        <v>9.59</v>
      </c>
      <c r="V150">
        <f>ROUND((168/100)*ROUND(Source!CS109*Source!I109, 2), 2)</f>
        <v>187.87</v>
      </c>
    </row>
    <row r="151" spans="1:27" ht="14.25" x14ac:dyDescent="0.2">
      <c r="A151" s="23"/>
      <c r="B151" s="24"/>
      <c r="C151" s="24" t="s">
        <v>890</v>
      </c>
      <c r="D151" s="25"/>
      <c r="E151" s="12"/>
      <c r="F151" s="27">
        <f>Source!AO109</f>
        <v>185.95</v>
      </c>
      <c r="G151" s="26" t="str">
        <f>Source!DG109</f>
        <v/>
      </c>
      <c r="H151" s="12">
        <f>Source!AV109</f>
        <v>1</v>
      </c>
      <c r="I151" s="28">
        <f>ROUND((Source!AF109*Source!AV109)*Source!I109, 2)</f>
        <v>16.739999999999998</v>
      </c>
      <c r="J151" s="12">
        <f>IF(Source!BA109&lt;&gt; 0, Source!BA109, 1)</f>
        <v>20.399999999999999</v>
      </c>
      <c r="K151" s="28">
        <f>Source!S109</f>
        <v>341.4</v>
      </c>
      <c r="W151">
        <f>I151</f>
        <v>16.739999999999998</v>
      </c>
    </row>
    <row r="152" spans="1:27" ht="14.25" x14ac:dyDescent="0.2">
      <c r="A152" s="23"/>
      <c r="B152" s="24"/>
      <c r="C152" s="24" t="s">
        <v>891</v>
      </c>
      <c r="D152" s="25"/>
      <c r="E152" s="12"/>
      <c r="F152" s="27">
        <f>Source!AM109</f>
        <v>323.45</v>
      </c>
      <c r="G152" s="26" t="str">
        <f>Source!DE109</f>
        <v/>
      </c>
      <c r="H152" s="12">
        <f>Source!AV109</f>
        <v>1</v>
      </c>
      <c r="I152" s="28">
        <f>ROUND((Source!AD109*Source!AV109)*Source!I109, 2)</f>
        <v>29.11</v>
      </c>
      <c r="J152" s="12">
        <f>IF(Source!BB109&lt;&gt; 0, Source!BB109, 1)</f>
        <v>8.23</v>
      </c>
      <c r="K152" s="28">
        <f>Source!Q109</f>
        <v>239.58</v>
      </c>
    </row>
    <row r="153" spans="1:27" ht="14.25" x14ac:dyDescent="0.2">
      <c r="A153" s="23"/>
      <c r="B153" s="24"/>
      <c r="C153" s="24" t="s">
        <v>892</v>
      </c>
      <c r="D153" s="25"/>
      <c r="E153" s="12"/>
      <c r="F153" s="27">
        <f>Source!AN109</f>
        <v>60.91</v>
      </c>
      <c r="G153" s="26" t="str">
        <f>Source!DF109</f>
        <v/>
      </c>
      <c r="H153" s="12">
        <f>Source!AV109</f>
        <v>1</v>
      </c>
      <c r="I153" s="30">
        <f>ROUND((Source!AE109*Source!AV109)*Source!I109, 2)</f>
        <v>5.48</v>
      </c>
      <c r="J153" s="12">
        <f>IF(Source!BS109&lt;&gt; 0, Source!BS109, 1)</f>
        <v>20.399999999999999</v>
      </c>
      <c r="K153" s="30">
        <f>Source!R109</f>
        <v>111.83</v>
      </c>
      <c r="W153">
        <f>I153</f>
        <v>5.48</v>
      </c>
    </row>
    <row r="154" spans="1:27" ht="28.5" x14ac:dyDescent="0.2">
      <c r="A154" s="23" t="str">
        <f>Source!E111</f>
        <v>13,1</v>
      </c>
      <c r="B154" s="24" t="str">
        <f>Source!F111</f>
        <v>9999990001</v>
      </c>
      <c r="C154" s="24" t="str">
        <f>Source!G111</f>
        <v>Масса мусора</v>
      </c>
      <c r="D154" s="25" t="str">
        <f>Source!H111</f>
        <v>т</v>
      </c>
      <c r="E154" s="12">
        <f>Source!I111</f>
        <v>-0.22499999999999998</v>
      </c>
      <c r="F154" s="27">
        <f>Source!AK111</f>
        <v>0</v>
      </c>
      <c r="G154" s="31" t="s">
        <v>3</v>
      </c>
      <c r="H154" s="12">
        <f>Source!AW111</f>
        <v>1</v>
      </c>
      <c r="I154" s="28">
        <f>ROUND((Source!AC111*Source!AW111)*Source!I111, 2)+ROUND((Source!AD111*Source!AV111)*Source!I111, 2)+ROUND((Source!AF111*Source!AV111)*Source!I111, 2)</f>
        <v>0</v>
      </c>
      <c r="J154" s="12">
        <f>IF(Source!BC111&lt;&gt; 0, Source!BC111, 1)</f>
        <v>1</v>
      </c>
      <c r="K154" s="28">
        <f>Source!O111</f>
        <v>0</v>
      </c>
      <c r="Q154">
        <f>ROUND((Source!DN111/100)*ROUND((Source!AF111*Source!AV111)*Source!I111, 2), 2)</f>
        <v>0</v>
      </c>
      <c r="R154">
        <f>Source!X111</f>
        <v>0</v>
      </c>
      <c r="S154">
        <f>ROUND((Source!DO111/100)*ROUND((Source!AF111*Source!AV111)*Source!I111, 2), 2)</f>
        <v>0</v>
      </c>
      <c r="T154">
        <f>Source!Y111</f>
        <v>0</v>
      </c>
      <c r="U154">
        <f>ROUND((175/100)*ROUND((Source!AE111*Source!AV111)*Source!I111, 2), 2)</f>
        <v>0</v>
      </c>
      <c r="V154">
        <f>ROUND((168/100)*ROUND(Source!CS111*Source!I111, 2), 2)</f>
        <v>0</v>
      </c>
      <c r="X154">
        <f>IF(Source!BI111&lt;=1,I154, 0)</f>
        <v>0</v>
      </c>
      <c r="Y154">
        <f>IF(Source!BI111=2,I154, 0)</f>
        <v>0</v>
      </c>
      <c r="Z154">
        <f>IF(Source!BI111=3,I154, 0)</f>
        <v>0</v>
      </c>
      <c r="AA154">
        <f>IF(Source!BI111=4,I154, 0)</f>
        <v>0</v>
      </c>
    </row>
    <row r="155" spans="1:27" ht="14.25" x14ac:dyDescent="0.2">
      <c r="A155" s="23"/>
      <c r="B155" s="24"/>
      <c r="C155" s="24" t="s">
        <v>893</v>
      </c>
      <c r="D155" s="25" t="s">
        <v>894</v>
      </c>
      <c r="E155" s="12">
        <f>Source!DN109</f>
        <v>80</v>
      </c>
      <c r="F155" s="27"/>
      <c r="G155" s="26"/>
      <c r="H155" s="12"/>
      <c r="I155" s="28">
        <f>SUM(Q150:Q154)</f>
        <v>13.39</v>
      </c>
      <c r="J155" s="12">
        <f>Source!BZ109</f>
        <v>68</v>
      </c>
      <c r="K155" s="28">
        <f>SUM(R150:R154)</f>
        <v>232.15</v>
      </c>
    </row>
    <row r="156" spans="1:27" ht="14.25" x14ac:dyDescent="0.2">
      <c r="A156" s="23"/>
      <c r="B156" s="24"/>
      <c r="C156" s="24" t="s">
        <v>895</v>
      </c>
      <c r="D156" s="25" t="s">
        <v>894</v>
      </c>
      <c r="E156" s="12">
        <f>Source!DO109</f>
        <v>55</v>
      </c>
      <c r="F156" s="27"/>
      <c r="G156" s="26"/>
      <c r="H156" s="12"/>
      <c r="I156" s="28">
        <f>SUM(S150:S155)</f>
        <v>9.2100000000000009</v>
      </c>
      <c r="J156" s="12">
        <f>Source!CA109</f>
        <v>41</v>
      </c>
      <c r="K156" s="28">
        <f>SUM(T150:T155)</f>
        <v>139.97</v>
      </c>
    </row>
    <row r="157" spans="1:27" ht="14.25" x14ac:dyDescent="0.2">
      <c r="A157" s="23"/>
      <c r="B157" s="24"/>
      <c r="C157" s="24" t="s">
        <v>896</v>
      </c>
      <c r="D157" s="25" t="s">
        <v>894</v>
      </c>
      <c r="E157" s="12">
        <f>175</f>
        <v>175</v>
      </c>
      <c r="F157" s="27"/>
      <c r="G157" s="26"/>
      <c r="H157" s="12"/>
      <c r="I157" s="28">
        <f>SUM(U150:U156)</f>
        <v>9.59</v>
      </c>
      <c r="J157" s="12">
        <f>168</f>
        <v>168</v>
      </c>
      <c r="K157" s="28">
        <f>SUM(V150:V156)</f>
        <v>187.87</v>
      </c>
    </row>
    <row r="158" spans="1:27" ht="14.25" x14ac:dyDescent="0.2">
      <c r="A158" s="23"/>
      <c r="B158" s="24"/>
      <c r="C158" s="24" t="s">
        <v>897</v>
      </c>
      <c r="D158" s="25" t="s">
        <v>898</v>
      </c>
      <c r="E158" s="12">
        <f>Source!AQ109</f>
        <v>13.32</v>
      </c>
      <c r="F158" s="27"/>
      <c r="G158" s="26" t="str">
        <f>Source!DI109</f>
        <v/>
      </c>
      <c r="H158" s="12">
        <f>Source!AV109</f>
        <v>1</v>
      </c>
      <c r="I158" s="28">
        <f>Source!U109</f>
        <v>1.1988000000000001</v>
      </c>
      <c r="J158" s="12"/>
      <c r="K158" s="28"/>
    </row>
    <row r="159" spans="1:27" ht="15" x14ac:dyDescent="0.25">
      <c r="A159" s="33"/>
      <c r="B159" s="33"/>
      <c r="C159" s="33"/>
      <c r="D159" s="33"/>
      <c r="E159" s="33"/>
      <c r="F159" s="33"/>
      <c r="G159" s="33"/>
      <c r="H159" s="59">
        <f>I151+I152+I155+I156+I157+SUM(I154:I154)</f>
        <v>78.039999999999992</v>
      </c>
      <c r="I159" s="59"/>
      <c r="J159" s="59">
        <f>K151+K152+K155+K156+K157+SUM(K154:K154)</f>
        <v>1140.97</v>
      </c>
      <c r="K159" s="59"/>
      <c r="O159" s="32">
        <f>I151+I152+I155+I156+I157+SUM(I154:I154)</f>
        <v>78.039999999999992</v>
      </c>
      <c r="P159" s="32">
        <f>K151+K152+K155+K156+K157+SUM(K154:K154)</f>
        <v>1140.97</v>
      </c>
      <c r="X159">
        <f>IF(Source!BI109&lt;=1,I151+I152+I155+I156+I157-0, 0)</f>
        <v>78.039999999999992</v>
      </c>
      <c r="Y159">
        <f>IF(Source!BI109=2,I151+I152+I155+I156+I157-0, 0)</f>
        <v>0</v>
      </c>
      <c r="Z159">
        <f>IF(Source!BI109=3,I151+I152+I155+I156+I157-0, 0)</f>
        <v>0</v>
      </c>
      <c r="AA159">
        <f>IF(Source!BI109=4,I151+I152+I155+I156+I157,0)</f>
        <v>0</v>
      </c>
    </row>
    <row r="160" spans="1:27" ht="57" x14ac:dyDescent="0.2">
      <c r="A160" s="23" t="str">
        <f>Source!E113</f>
        <v>14</v>
      </c>
      <c r="B160" s="24" t="str">
        <f>Source!F113</f>
        <v>3.8-8-3</v>
      </c>
      <c r="C160" s="24" t="str">
        <f>Source!G113</f>
        <v>Установка металлических решеток приямков (грязезащитная)</v>
      </c>
      <c r="D160" s="25" t="str">
        <f>Source!H113</f>
        <v>1 т металлических изделий</v>
      </c>
      <c r="E160" s="12">
        <f>Source!I113</f>
        <v>0.03</v>
      </c>
      <c r="F160" s="27"/>
      <c r="G160" s="26"/>
      <c r="H160" s="12"/>
      <c r="I160" s="28"/>
      <c r="J160" s="12"/>
      <c r="K160" s="28"/>
      <c r="Q160">
        <f>ROUND((Source!DN113/100)*ROUND((Source!AF113*Source!AV113)*Source!I113, 2), 2)</f>
        <v>8.0399999999999991</v>
      </c>
      <c r="R160">
        <f>Source!X113</f>
        <v>131.63999999999999</v>
      </c>
      <c r="S160">
        <f>ROUND((Source!DO113/100)*ROUND((Source!AF113*Source!AV113)*Source!I113, 2), 2)</f>
        <v>6.19</v>
      </c>
      <c r="T160">
        <f>Source!Y113</f>
        <v>73.94</v>
      </c>
      <c r="U160">
        <f>ROUND((175/100)*ROUND((Source!AE113*Source!AV113)*Source!I113, 2), 2)</f>
        <v>0.75</v>
      </c>
      <c r="V160">
        <f>ROUND((168/100)*ROUND(Source!CS113*Source!I113, 2), 2)</f>
        <v>14.62</v>
      </c>
    </row>
    <row r="161" spans="1:27" ht="14.25" x14ac:dyDescent="0.2">
      <c r="A161" s="23"/>
      <c r="B161" s="24"/>
      <c r="C161" s="24" t="s">
        <v>890</v>
      </c>
      <c r="D161" s="25"/>
      <c r="E161" s="12"/>
      <c r="F161" s="27">
        <f>Source!AO113</f>
        <v>491.1</v>
      </c>
      <c r="G161" s="26" t="str">
        <f>Source!DG113</f>
        <v>)*0,6</v>
      </c>
      <c r="H161" s="12">
        <f>Source!AV113</f>
        <v>1</v>
      </c>
      <c r="I161" s="28">
        <f>ROUND((Source!AF113*Source!AV113)*Source!I113, 2)</f>
        <v>8.84</v>
      </c>
      <c r="J161" s="12">
        <f>IF(Source!BA113&lt;&gt; 0, Source!BA113, 1)</f>
        <v>20.399999999999999</v>
      </c>
      <c r="K161" s="28">
        <f>Source!S113</f>
        <v>180.33</v>
      </c>
      <c r="W161">
        <f>I161</f>
        <v>8.84</v>
      </c>
    </row>
    <row r="162" spans="1:27" ht="14.25" x14ac:dyDescent="0.2">
      <c r="A162" s="23"/>
      <c r="B162" s="24"/>
      <c r="C162" s="92" t="s">
        <v>891</v>
      </c>
      <c r="D162" s="93"/>
      <c r="E162" s="94"/>
      <c r="F162" s="95">
        <f>Source!AM113</f>
        <v>126.74</v>
      </c>
      <c r="G162" s="96" t="str">
        <f>Source!DE113</f>
        <v>)*0,6</v>
      </c>
      <c r="H162" s="94">
        <f>Source!AV113</f>
        <v>1</v>
      </c>
      <c r="I162" s="97">
        <f>ROUND((Source!AD113*Source!AV113)*Source!I113, 2)</f>
        <v>2.2799999999999998</v>
      </c>
      <c r="J162" s="94">
        <f>IF(Source!BB113&lt;&gt; 0, Source!BB113, 1)</f>
        <v>7.9</v>
      </c>
      <c r="K162" s="97">
        <f>Source!Q113</f>
        <v>18.02</v>
      </c>
    </row>
    <row r="163" spans="1:27" ht="14.25" x14ac:dyDescent="0.2">
      <c r="A163" s="23"/>
      <c r="B163" s="24"/>
      <c r="C163" s="24" t="s">
        <v>892</v>
      </c>
      <c r="D163" s="25"/>
      <c r="E163" s="12"/>
      <c r="F163" s="27">
        <f>Source!AN113</f>
        <v>23.69</v>
      </c>
      <c r="G163" s="26" t="str">
        <f>Source!DF113</f>
        <v>)*0,6</v>
      </c>
      <c r="H163" s="12">
        <f>Source!AV113</f>
        <v>1</v>
      </c>
      <c r="I163" s="30">
        <f>ROUND((Source!AE113*Source!AV113)*Source!I113, 2)</f>
        <v>0.43</v>
      </c>
      <c r="J163" s="12">
        <f>IF(Source!BS113&lt;&gt; 0, Source!BS113, 1)</f>
        <v>20.399999999999999</v>
      </c>
      <c r="K163" s="30">
        <f>Source!R113</f>
        <v>8.6999999999999993</v>
      </c>
      <c r="W163">
        <f>I163</f>
        <v>0.43</v>
      </c>
    </row>
    <row r="164" spans="1:27" ht="14.25" x14ac:dyDescent="0.2">
      <c r="A164" s="23"/>
      <c r="B164" s="24"/>
      <c r="C164" s="24" t="s">
        <v>899</v>
      </c>
      <c r="D164" s="25"/>
      <c r="E164" s="12"/>
      <c r="F164" s="27">
        <f>Source!AL113</f>
        <v>468.45</v>
      </c>
      <c r="G164" s="26" t="str">
        <f>Source!DD113</f>
        <v>)*0,6</v>
      </c>
      <c r="H164" s="12">
        <f>Source!AW113</f>
        <v>1</v>
      </c>
      <c r="I164" s="28">
        <f>ROUND((Source!AC113*Source!AW113)*Source!I113, 2)</f>
        <v>8.43</v>
      </c>
      <c r="J164" s="12">
        <f>IF(Source!BC113&lt;&gt; 0, Source!BC113, 1)</f>
        <v>5.63</v>
      </c>
      <c r="K164" s="28">
        <f>Source!P113</f>
        <v>47.47</v>
      </c>
    </row>
    <row r="165" spans="1:27" ht="28.5" x14ac:dyDescent="0.2">
      <c r="A165" s="23" t="str">
        <f>Source!E115</f>
        <v>14,1</v>
      </c>
      <c r="B165" s="24" t="str">
        <f>Source!F115</f>
        <v>9999990001</v>
      </c>
      <c r="C165" s="24" t="str">
        <f>Source!G115</f>
        <v>Масса мусора</v>
      </c>
      <c r="D165" s="25" t="str">
        <f>Source!H115</f>
        <v>т</v>
      </c>
      <c r="E165" s="12">
        <f>Source!I115</f>
        <v>0.03</v>
      </c>
      <c r="F165" s="27">
        <f>Source!AK115</f>
        <v>0</v>
      </c>
      <c r="G165" s="31" t="s">
        <v>3</v>
      </c>
      <c r="H165" s="12">
        <f>Source!AW115</f>
        <v>1</v>
      </c>
      <c r="I165" s="28">
        <f>ROUND((Source!AC115*Source!AW115)*Source!I115, 2)+ROUND((Source!AD115*Source!AV115)*Source!I115, 2)+ROUND((Source!AF115*Source!AV115)*Source!I115, 2)</f>
        <v>0</v>
      </c>
      <c r="J165" s="12">
        <f>IF(Source!BC115&lt;&gt; 0, Source!BC115, 1)</f>
        <v>1</v>
      </c>
      <c r="K165" s="28">
        <f>Source!O115</f>
        <v>0</v>
      </c>
      <c r="Q165">
        <f>ROUND((Source!DN115/100)*ROUND((Source!AF115*Source!AV115)*Source!I115, 2), 2)</f>
        <v>0</v>
      </c>
      <c r="R165">
        <f>Source!X115</f>
        <v>0</v>
      </c>
      <c r="S165">
        <f>ROUND((Source!DO115/100)*ROUND((Source!AF115*Source!AV115)*Source!I115, 2), 2)</f>
        <v>0</v>
      </c>
      <c r="T165">
        <f>Source!Y115</f>
        <v>0</v>
      </c>
      <c r="U165">
        <f>ROUND((175/100)*ROUND((Source!AE115*Source!AV115)*Source!I115, 2), 2)</f>
        <v>0</v>
      </c>
      <c r="V165">
        <f>ROUND((168/100)*ROUND(Source!CS115*Source!I115, 2), 2)</f>
        <v>0</v>
      </c>
      <c r="X165">
        <f>IF(Source!BI115&lt;=1,I165, 0)</f>
        <v>0</v>
      </c>
      <c r="Y165">
        <f>IF(Source!BI115=2,I165, 0)</f>
        <v>0</v>
      </c>
      <c r="Z165">
        <f>IF(Source!BI115=3,I165, 0)</f>
        <v>0</v>
      </c>
      <c r="AA165">
        <f>IF(Source!BI115=4,I165, 0)</f>
        <v>0</v>
      </c>
    </row>
    <row r="166" spans="1:27" ht="14.25" x14ac:dyDescent="0.2">
      <c r="A166" s="23"/>
      <c r="B166" s="24"/>
      <c r="C166" s="24" t="s">
        <v>893</v>
      </c>
      <c r="D166" s="25" t="s">
        <v>894</v>
      </c>
      <c r="E166" s="12">
        <f>Source!DN113</f>
        <v>91</v>
      </c>
      <c r="F166" s="27"/>
      <c r="G166" s="26"/>
      <c r="H166" s="12"/>
      <c r="I166" s="28">
        <f>SUM(Q160:Q165)</f>
        <v>8.0399999999999991</v>
      </c>
      <c r="J166" s="12">
        <f>Source!BZ113</f>
        <v>73</v>
      </c>
      <c r="K166" s="28">
        <f>SUM(R160:R165)</f>
        <v>131.63999999999999</v>
      </c>
    </row>
    <row r="167" spans="1:27" ht="14.25" x14ac:dyDescent="0.2">
      <c r="A167" s="23"/>
      <c r="B167" s="24"/>
      <c r="C167" s="24" t="s">
        <v>895</v>
      </c>
      <c r="D167" s="25" t="s">
        <v>894</v>
      </c>
      <c r="E167" s="12">
        <f>Source!DO113</f>
        <v>70</v>
      </c>
      <c r="F167" s="27"/>
      <c r="G167" s="26"/>
      <c r="H167" s="12"/>
      <c r="I167" s="28">
        <f>SUM(S160:S166)</f>
        <v>6.19</v>
      </c>
      <c r="J167" s="12">
        <f>Source!CA113</f>
        <v>41</v>
      </c>
      <c r="K167" s="28">
        <f>SUM(T160:T166)</f>
        <v>73.94</v>
      </c>
    </row>
    <row r="168" spans="1:27" ht="14.25" x14ac:dyDescent="0.2">
      <c r="A168" s="23"/>
      <c r="B168" s="24"/>
      <c r="C168" s="24" t="s">
        <v>896</v>
      </c>
      <c r="D168" s="25" t="s">
        <v>894</v>
      </c>
      <c r="E168" s="12">
        <f>175</f>
        <v>175</v>
      </c>
      <c r="F168" s="27"/>
      <c r="G168" s="26"/>
      <c r="H168" s="12"/>
      <c r="I168" s="28">
        <f>SUM(U160:U167)</f>
        <v>0.75</v>
      </c>
      <c r="J168" s="12">
        <f>168</f>
        <v>168</v>
      </c>
      <c r="K168" s="28">
        <f>SUM(V160:V167)</f>
        <v>14.62</v>
      </c>
    </row>
    <row r="169" spans="1:27" ht="14.25" x14ac:dyDescent="0.2">
      <c r="A169" s="23"/>
      <c r="B169" s="24"/>
      <c r="C169" s="24" t="s">
        <v>897</v>
      </c>
      <c r="D169" s="25" t="s">
        <v>898</v>
      </c>
      <c r="E169" s="12">
        <f>Source!AQ113</f>
        <v>42.3</v>
      </c>
      <c r="F169" s="27"/>
      <c r="G169" s="26" t="str">
        <f>Source!DI113</f>
        <v>)*0,6</v>
      </c>
      <c r="H169" s="12">
        <f>Source!AV113</f>
        <v>1</v>
      </c>
      <c r="I169" s="28">
        <f>Source!U113</f>
        <v>0.76139999999999997</v>
      </c>
      <c r="J169" s="12"/>
      <c r="K169" s="28"/>
    </row>
    <row r="170" spans="1:27" ht="15" x14ac:dyDescent="0.25">
      <c r="A170" s="33"/>
      <c r="B170" s="33"/>
      <c r="C170" s="33"/>
      <c r="D170" s="33"/>
      <c r="E170" s="33"/>
      <c r="F170" s="33"/>
      <c r="G170" s="33"/>
      <c r="H170" s="59">
        <f>I161+I162+I164+I166+I167+I168+SUM(I165:I165)</f>
        <v>34.529999999999994</v>
      </c>
      <c r="I170" s="59"/>
      <c r="J170" s="59">
        <f>K161+K162+K164+K166+K167+K168+SUM(K165:K165)</f>
        <v>466.02000000000004</v>
      </c>
      <c r="K170" s="59"/>
      <c r="O170" s="32">
        <f>I161+I162+I164+I166+I167+I168+SUM(I165:I165)</f>
        <v>34.529999999999994</v>
      </c>
      <c r="P170" s="32">
        <f>K161+K162+K164+K166+K167+K168+SUM(K165:K165)</f>
        <v>466.02000000000004</v>
      </c>
      <c r="X170">
        <f>IF(Source!BI113&lt;=1,I161+I162+I164+I166+I167+I168-0, 0)</f>
        <v>34.529999999999994</v>
      </c>
      <c r="Y170">
        <f>IF(Source!BI113=2,I161+I162+I164+I166+I167+I168-0, 0)</f>
        <v>0</v>
      </c>
      <c r="Z170">
        <f>IF(Source!BI113=3,I161+I162+I164+I166+I167+I168-0, 0)</f>
        <v>0</v>
      </c>
      <c r="AA170">
        <f>IF(Source!BI113=4,I161+I162+I164+I166+I167+I168,0)</f>
        <v>0</v>
      </c>
    </row>
    <row r="172" spans="1:27" ht="15" x14ac:dyDescent="0.25">
      <c r="A172" s="57" t="str">
        <f>CONCATENATE("Итого по подразделу: ",IF(Source!G117&lt;&gt;"Новый подраздел", Source!G117, ""))</f>
        <v>Итого по подразделу: Входная группа</v>
      </c>
      <c r="B172" s="57"/>
      <c r="C172" s="57"/>
      <c r="D172" s="57"/>
      <c r="E172" s="57"/>
      <c r="F172" s="57"/>
      <c r="G172" s="57"/>
      <c r="H172" s="55">
        <f>SUM(O130:O171)</f>
        <v>351.74999999999994</v>
      </c>
      <c r="I172" s="56"/>
      <c r="J172" s="55">
        <f>SUM(P130:P171)</f>
        <v>5557.1600000000008</v>
      </c>
      <c r="K172" s="56"/>
    </row>
    <row r="173" spans="1:27" ht="15" hidden="1" x14ac:dyDescent="0.25">
      <c r="A173" s="57" t="s">
        <v>900</v>
      </c>
      <c r="B173" s="57"/>
      <c r="C173" s="57"/>
      <c r="D173" s="57"/>
      <c r="E173" s="57"/>
      <c r="F173" s="57"/>
      <c r="G173" s="57"/>
      <c r="H173" s="55">
        <f>SUM(AC130:AC172)</f>
        <v>0</v>
      </c>
      <c r="I173" s="56"/>
      <c r="J173" s="55">
        <f>SUM(AD130:AD172)</f>
        <v>0</v>
      </c>
      <c r="K173" s="56"/>
    </row>
    <row r="175" spans="1:27" ht="15" x14ac:dyDescent="0.25">
      <c r="A175" s="57" t="str">
        <f>CONCATENATE("Итого по разделу: ",IF(Source!G146&lt;&gt;"Новый раздел", Source!G146, ""))</f>
        <v>Итого по разделу: Демонтажные работы</v>
      </c>
      <c r="B175" s="57"/>
      <c r="C175" s="57"/>
      <c r="D175" s="57"/>
      <c r="E175" s="57"/>
      <c r="F175" s="57"/>
      <c r="G175" s="57"/>
      <c r="H175" s="55">
        <f>SUM(O128:O174)</f>
        <v>351.74999999999994</v>
      </c>
      <c r="I175" s="56"/>
      <c r="J175" s="55">
        <f>SUM(P128:P174)</f>
        <v>5557.1600000000008</v>
      </c>
      <c r="K175" s="56"/>
    </row>
    <row r="176" spans="1:27" ht="15" hidden="1" x14ac:dyDescent="0.25">
      <c r="A176" s="57" t="s">
        <v>900</v>
      </c>
      <c r="B176" s="57"/>
      <c r="C176" s="57"/>
      <c r="D176" s="57"/>
      <c r="E176" s="57"/>
      <c r="F176" s="57"/>
      <c r="G176" s="57"/>
      <c r="H176" s="55">
        <f>SUM(AC128:AC175)</f>
        <v>0</v>
      </c>
      <c r="I176" s="56"/>
      <c r="J176" s="55">
        <f>SUM(AD128:AD175)</f>
        <v>0</v>
      </c>
      <c r="K176" s="56"/>
    </row>
    <row r="178" spans="1:27" ht="16.5" x14ac:dyDescent="0.25">
      <c r="A178" s="60" t="str">
        <f>CONCATENATE("Раздел: ",IF(Source!G175&lt;&gt;"Новый раздел", Source!G175, ""))</f>
        <v>Раздел: Монтажные работы</v>
      </c>
      <c r="B178" s="60"/>
      <c r="C178" s="60"/>
      <c r="D178" s="60"/>
      <c r="E178" s="60"/>
      <c r="F178" s="60"/>
      <c r="G178" s="60"/>
      <c r="H178" s="60"/>
      <c r="I178" s="60"/>
      <c r="J178" s="60"/>
      <c r="K178" s="60"/>
    </row>
    <row r="180" spans="1:27" ht="16.5" x14ac:dyDescent="0.25">
      <c r="A180" s="60" t="str">
        <f>CONCATENATE("Подраздел: ",IF(Source!G179&lt;&gt;"Новый подраздел", Source!G179, ""))</f>
        <v>Подраздел: Входная группа</v>
      </c>
      <c r="B180" s="60"/>
      <c r="C180" s="60"/>
      <c r="D180" s="60"/>
      <c r="E180" s="60"/>
      <c r="F180" s="60"/>
      <c r="G180" s="60"/>
      <c r="H180" s="60"/>
      <c r="I180" s="60"/>
      <c r="J180" s="60"/>
      <c r="K180" s="60"/>
    </row>
    <row r="181" spans="1:27" ht="28.5" x14ac:dyDescent="0.2">
      <c r="A181" s="23" t="str">
        <f>Source!E184</f>
        <v>15</v>
      </c>
      <c r="B181" s="24" t="str">
        <f>Source!F184</f>
        <v>3.11-10-1</v>
      </c>
      <c r="C181" s="24" t="str">
        <f>Source!G184</f>
        <v>Устройство стяжек цементных толщиной 20 мм</v>
      </c>
      <c r="D181" s="25" t="str">
        <f>Source!H184</f>
        <v>100 м2 стяжки</v>
      </c>
      <c r="E181" s="12">
        <f>Source!I184</f>
        <v>5.0999999999999997E-2</v>
      </c>
      <c r="F181" s="27"/>
      <c r="G181" s="26"/>
      <c r="H181" s="12"/>
      <c r="I181" s="28"/>
      <c r="J181" s="12"/>
      <c r="K181" s="28"/>
      <c r="Q181">
        <f>ROUND((Source!DN184/100)*ROUND((Source!AF184*Source!AV184)*Source!I184, 2), 2)</f>
        <v>14.81</v>
      </c>
      <c r="R181">
        <f>Source!X184</f>
        <v>246.99</v>
      </c>
      <c r="S181">
        <f>ROUND((Source!DO184/100)*ROUND((Source!AF184*Source!AV184)*Source!I184, 2), 2)</f>
        <v>9.9700000000000006</v>
      </c>
      <c r="T181">
        <f>Source!Y184</f>
        <v>119.14</v>
      </c>
      <c r="U181">
        <f>ROUND((175/100)*ROUND((Source!AE184*Source!AV184)*Source!I184, 2), 2)</f>
        <v>0.04</v>
      </c>
      <c r="V181">
        <f>ROUND((168/100)*ROUND(Source!CS184*Source!I184, 2), 2)</f>
        <v>0.67</v>
      </c>
    </row>
    <row r="182" spans="1:27" x14ac:dyDescent="0.2">
      <c r="C182" s="29" t="str">
        <f>"Объем: "&amp;Source!I184&amp;"=5,1/"&amp;"100"</f>
        <v>Объем: 0,051=5,1/100</v>
      </c>
    </row>
    <row r="183" spans="1:27" ht="14.25" x14ac:dyDescent="0.2">
      <c r="A183" s="23"/>
      <c r="B183" s="24"/>
      <c r="C183" s="24" t="s">
        <v>890</v>
      </c>
      <c r="D183" s="25"/>
      <c r="E183" s="12"/>
      <c r="F183" s="27">
        <f>Source!AO184</f>
        <v>242.87</v>
      </c>
      <c r="G183" s="26" t="str">
        <f>Source!DG184</f>
        <v>)*1,15</v>
      </c>
      <c r="H183" s="12">
        <f>Source!AV184</f>
        <v>1</v>
      </c>
      <c r="I183" s="28">
        <f>ROUND((Source!AF184*Source!AV184)*Source!I184, 2)</f>
        <v>14.24</v>
      </c>
      <c r="J183" s="12">
        <f>IF(Source!BA184&lt;&gt; 0, Source!BA184, 1)</f>
        <v>20.399999999999999</v>
      </c>
      <c r="K183" s="28">
        <f>Source!S184</f>
        <v>290.58</v>
      </c>
      <c r="W183">
        <f>I183</f>
        <v>14.24</v>
      </c>
    </row>
    <row r="184" spans="1:27" ht="14.25" x14ac:dyDescent="0.2">
      <c r="A184" s="23"/>
      <c r="B184" s="24"/>
      <c r="C184" s="24" t="s">
        <v>891</v>
      </c>
      <c r="D184" s="25"/>
      <c r="E184" s="12"/>
      <c r="F184" s="27">
        <f>Source!AM184</f>
        <v>12.59</v>
      </c>
      <c r="G184" s="26" t="str">
        <f>Source!DE184</f>
        <v>)*1,25</v>
      </c>
      <c r="H184" s="12">
        <f>Source!AV184</f>
        <v>1</v>
      </c>
      <c r="I184" s="28">
        <f>ROUND((Source!AD184*Source!AV184)*Source!I184, 2)</f>
        <v>0.8</v>
      </c>
      <c r="J184" s="12">
        <f>IF(Source!BB184&lt;&gt; 0, Source!BB184, 1)</f>
        <v>1.37</v>
      </c>
      <c r="K184" s="28">
        <f>Source!Q184</f>
        <v>1.1000000000000001</v>
      </c>
    </row>
    <row r="185" spans="1:27" ht="14.25" x14ac:dyDescent="0.2">
      <c r="A185" s="23"/>
      <c r="B185" s="24"/>
      <c r="C185" s="24" t="s">
        <v>892</v>
      </c>
      <c r="D185" s="25"/>
      <c r="E185" s="12"/>
      <c r="F185" s="27">
        <f>Source!AN184</f>
        <v>0.31</v>
      </c>
      <c r="G185" s="26" t="str">
        <f>Source!DF184</f>
        <v>)*1,25</v>
      </c>
      <c r="H185" s="12">
        <f>Source!AV184</f>
        <v>1</v>
      </c>
      <c r="I185" s="30">
        <f>ROUND((Source!AE184*Source!AV184)*Source!I184, 2)</f>
        <v>0.02</v>
      </c>
      <c r="J185" s="12">
        <f>IF(Source!BS184&lt;&gt; 0, Source!BS184, 1)</f>
        <v>20.399999999999999</v>
      </c>
      <c r="K185" s="30">
        <f>Source!R184</f>
        <v>0.4</v>
      </c>
      <c r="W185">
        <f>I185</f>
        <v>0.02</v>
      </c>
    </row>
    <row r="186" spans="1:27" ht="14.25" x14ac:dyDescent="0.2">
      <c r="A186" s="23"/>
      <c r="B186" s="24"/>
      <c r="C186" s="24" t="s">
        <v>899</v>
      </c>
      <c r="D186" s="25"/>
      <c r="E186" s="12"/>
      <c r="F186" s="27">
        <f>Source!AL184</f>
        <v>24.75</v>
      </c>
      <c r="G186" s="26" t="str">
        <f>Source!DD184</f>
        <v/>
      </c>
      <c r="H186" s="12">
        <f>Source!AW184</f>
        <v>1</v>
      </c>
      <c r="I186" s="28">
        <f>ROUND((Source!AC184*Source!AW184)*Source!I184, 2)</f>
        <v>1.26</v>
      </c>
      <c r="J186" s="12">
        <f>IF(Source!BC184&lt;&gt; 0, Source!BC184, 1)</f>
        <v>4.24</v>
      </c>
      <c r="K186" s="28">
        <f>Source!P184</f>
        <v>5.35</v>
      </c>
    </row>
    <row r="187" spans="1:27" ht="14.25" x14ac:dyDescent="0.2">
      <c r="A187" s="23" t="str">
        <f>Source!E186</f>
        <v>15,1</v>
      </c>
      <c r="B187" s="24" t="str">
        <f>Source!F186</f>
        <v>1.3-2-6</v>
      </c>
      <c r="C187" s="24" t="str">
        <f>Source!G186</f>
        <v>Растворы цементные, марка 150</v>
      </c>
      <c r="D187" s="25" t="str">
        <f>Source!H186</f>
        <v>м3</v>
      </c>
      <c r="E187" s="12">
        <f>Source!I186</f>
        <v>0.10403999999999999</v>
      </c>
      <c r="F187" s="27">
        <f>Source!AK186</f>
        <v>478.96</v>
      </c>
      <c r="G187" s="31" t="s">
        <v>3</v>
      </c>
      <c r="H187" s="12">
        <f>Source!AW186</f>
        <v>1</v>
      </c>
      <c r="I187" s="28">
        <f>ROUND((Source!AC186*Source!AW186)*Source!I186, 2)+ROUND((Source!AD186*Source!AV186)*Source!I186, 2)+ROUND((Source!AF186*Source!AV186)*Source!I186, 2)</f>
        <v>49.83</v>
      </c>
      <c r="J187" s="12">
        <f>IF(Source!BC186&lt;&gt; 0, Source!BC186, 1)</f>
        <v>6.08</v>
      </c>
      <c r="K187" s="28">
        <f>Source!O186</f>
        <v>302.97000000000003</v>
      </c>
      <c r="Q187">
        <f>ROUND((Source!DN186/100)*ROUND((Source!AF186*Source!AV186)*Source!I186, 2), 2)</f>
        <v>0</v>
      </c>
      <c r="R187">
        <f>Source!X186</f>
        <v>0</v>
      </c>
      <c r="S187">
        <f>ROUND((Source!DO186/100)*ROUND((Source!AF186*Source!AV186)*Source!I186, 2), 2)</f>
        <v>0</v>
      </c>
      <c r="T187">
        <f>Source!Y186</f>
        <v>0</v>
      </c>
      <c r="U187">
        <f>ROUND((175/100)*ROUND((Source!AE186*Source!AV186)*Source!I186, 2), 2)</f>
        <v>0</v>
      </c>
      <c r="V187">
        <f>ROUND((168/100)*ROUND(Source!CS186*Source!I186, 2), 2)</f>
        <v>0</v>
      </c>
      <c r="X187">
        <f>IF(Source!BI186&lt;=1,I187, 0)</f>
        <v>49.83</v>
      </c>
      <c r="Y187">
        <f>IF(Source!BI186=2,I187, 0)</f>
        <v>0</v>
      </c>
      <c r="Z187">
        <f>IF(Source!BI186=3,I187, 0)</f>
        <v>0</v>
      </c>
      <c r="AA187">
        <f>IF(Source!BI186=4,I187, 0)</f>
        <v>0</v>
      </c>
    </row>
    <row r="188" spans="1:27" ht="14.25" x14ac:dyDescent="0.2">
      <c r="A188" s="23"/>
      <c r="B188" s="24"/>
      <c r="C188" s="24" t="s">
        <v>893</v>
      </c>
      <c r="D188" s="25" t="s">
        <v>894</v>
      </c>
      <c r="E188" s="12">
        <f>Source!DN184</f>
        <v>104</v>
      </c>
      <c r="F188" s="27"/>
      <c r="G188" s="26"/>
      <c r="H188" s="12"/>
      <c r="I188" s="28">
        <f>SUM(Q181:Q187)</f>
        <v>14.81</v>
      </c>
      <c r="J188" s="12">
        <f>Source!BZ184</f>
        <v>85</v>
      </c>
      <c r="K188" s="28">
        <f>SUM(R181:R187)</f>
        <v>246.99</v>
      </c>
    </row>
    <row r="189" spans="1:27" ht="14.25" x14ac:dyDescent="0.2">
      <c r="A189" s="23"/>
      <c r="B189" s="24"/>
      <c r="C189" s="24" t="s">
        <v>895</v>
      </c>
      <c r="D189" s="25" t="s">
        <v>894</v>
      </c>
      <c r="E189" s="12">
        <f>Source!DO184</f>
        <v>70</v>
      </c>
      <c r="F189" s="27"/>
      <c r="G189" s="26"/>
      <c r="H189" s="12"/>
      <c r="I189" s="28">
        <f>SUM(S181:S188)</f>
        <v>9.9700000000000006</v>
      </c>
      <c r="J189" s="12">
        <f>Source!CA184</f>
        <v>41</v>
      </c>
      <c r="K189" s="28">
        <f>SUM(T181:T188)</f>
        <v>119.14</v>
      </c>
    </row>
    <row r="190" spans="1:27" ht="14.25" x14ac:dyDescent="0.2">
      <c r="A190" s="23"/>
      <c r="B190" s="24"/>
      <c r="C190" s="24" t="s">
        <v>896</v>
      </c>
      <c r="D190" s="25" t="s">
        <v>894</v>
      </c>
      <c r="E190" s="12">
        <f>175</f>
        <v>175</v>
      </c>
      <c r="F190" s="27"/>
      <c r="G190" s="26"/>
      <c r="H190" s="12"/>
      <c r="I190" s="28">
        <f>SUM(U181:U189)</f>
        <v>0.04</v>
      </c>
      <c r="J190" s="12">
        <f>168</f>
        <v>168</v>
      </c>
      <c r="K190" s="28">
        <f>SUM(V181:V189)</f>
        <v>0.67</v>
      </c>
    </row>
    <row r="191" spans="1:27" ht="14.25" x14ac:dyDescent="0.2">
      <c r="A191" s="23"/>
      <c r="B191" s="24"/>
      <c r="C191" s="24" t="s">
        <v>897</v>
      </c>
      <c r="D191" s="25" t="s">
        <v>898</v>
      </c>
      <c r="E191" s="12">
        <f>Source!AQ184</f>
        <v>23.33</v>
      </c>
      <c r="F191" s="27"/>
      <c r="G191" s="26" t="str">
        <f>Source!DI184</f>
        <v>)*1,15</v>
      </c>
      <c r="H191" s="12">
        <f>Source!AV184</f>
        <v>1</v>
      </c>
      <c r="I191" s="28">
        <f>Source!U184</f>
        <v>1.3683044999999998</v>
      </c>
      <c r="J191" s="12"/>
      <c r="K191" s="28"/>
    </row>
    <row r="192" spans="1:27" ht="15" x14ac:dyDescent="0.25">
      <c r="A192" s="33"/>
      <c r="B192" s="33"/>
      <c r="C192" s="33"/>
      <c r="D192" s="33"/>
      <c r="E192" s="33"/>
      <c r="F192" s="33"/>
      <c r="G192" s="33"/>
      <c r="H192" s="59">
        <f>I183+I184+I186+I188+I189+I190+SUM(I187:I187)</f>
        <v>90.949999999999989</v>
      </c>
      <c r="I192" s="59"/>
      <c r="J192" s="59">
        <f>K183+K184+K186+K188+K189+K190+SUM(K187:K187)</f>
        <v>966.8</v>
      </c>
      <c r="K192" s="59"/>
      <c r="O192" s="32">
        <f>I183+I184+I186+I188+I189+I190+SUM(I187:I187)</f>
        <v>90.949999999999989</v>
      </c>
      <c r="P192" s="32">
        <f>K183+K184+K186+K188+K189+K190+SUM(K187:K187)</f>
        <v>966.8</v>
      </c>
      <c r="X192">
        <f>IF(Source!BI184&lt;=1,I183+I184+I186+I188+I189+I190-0, 0)</f>
        <v>41.12</v>
      </c>
      <c r="Y192">
        <f>IF(Source!BI184=2,I183+I184+I186+I188+I189+I190-0, 0)</f>
        <v>0</v>
      </c>
      <c r="Z192">
        <f>IF(Source!BI184=3,I183+I184+I186+I188+I189+I190-0, 0)</f>
        <v>0</v>
      </c>
      <c r="AA192">
        <f>IF(Source!BI184=4,I183+I184+I186+I188+I189+I190,0)</f>
        <v>0</v>
      </c>
    </row>
    <row r="193" spans="1:27" ht="42.75" x14ac:dyDescent="0.2">
      <c r="A193" s="23" t="str">
        <f>Source!E188</f>
        <v>16</v>
      </c>
      <c r="B193" s="24" t="str">
        <f>Source!F188</f>
        <v>3.11-18-1</v>
      </c>
      <c r="C193" s="24" t="str">
        <f>Source!G188</f>
        <v>Устройство покрытий на цементном растворе из плиток бетонных, цементных или мозаичных</v>
      </c>
      <c r="D193" s="25" t="str">
        <f>Source!H188</f>
        <v>100 м2 покрытия</v>
      </c>
      <c r="E193" s="12">
        <f>Source!I188</f>
        <v>5.0999999999999997E-2</v>
      </c>
      <c r="F193" s="27"/>
      <c r="G193" s="26"/>
      <c r="H193" s="12"/>
      <c r="I193" s="28"/>
      <c r="J193" s="12"/>
      <c r="K193" s="28"/>
      <c r="Q193">
        <f>ROUND((Source!DN188/100)*ROUND((Source!AF188*Source!AV188)*Source!I188, 2), 2)</f>
        <v>48.22</v>
      </c>
      <c r="R193">
        <f>Source!X188</f>
        <v>804.04</v>
      </c>
      <c r="S193">
        <f>ROUND((Source!DO188/100)*ROUND((Source!AF188*Source!AV188)*Source!I188, 2), 2)</f>
        <v>32.46</v>
      </c>
      <c r="T193">
        <f>Source!Y188</f>
        <v>387.83</v>
      </c>
      <c r="U193">
        <f>ROUND((175/100)*ROUND((Source!AE188*Source!AV188)*Source!I188, 2), 2)</f>
        <v>6.2</v>
      </c>
      <c r="V193">
        <f>ROUND((168/100)*ROUND(Source!CS188*Source!I188, 2), 2)</f>
        <v>121.21</v>
      </c>
    </row>
    <row r="194" spans="1:27" x14ac:dyDescent="0.2">
      <c r="C194" s="29" t="str">
        <f>"Объем: "&amp;Source!I188&amp;"=5,1/"&amp;"100"</f>
        <v>Объем: 0,051=5,1/100</v>
      </c>
    </row>
    <row r="195" spans="1:27" ht="14.25" x14ac:dyDescent="0.2">
      <c r="A195" s="23"/>
      <c r="B195" s="24"/>
      <c r="C195" s="24" t="s">
        <v>890</v>
      </c>
      <c r="D195" s="25"/>
      <c r="E195" s="12"/>
      <c r="F195" s="27">
        <f>Source!AO188</f>
        <v>790.61</v>
      </c>
      <c r="G195" s="26" t="str">
        <f>Source!DG188</f>
        <v>)*1,15</v>
      </c>
      <c r="H195" s="12">
        <f>Source!AV188</f>
        <v>1</v>
      </c>
      <c r="I195" s="28">
        <f>ROUND((Source!AF188*Source!AV188)*Source!I188, 2)</f>
        <v>46.37</v>
      </c>
      <c r="J195" s="12">
        <f>IF(Source!BA188&lt;&gt; 0, Source!BA188, 1)</f>
        <v>20.399999999999999</v>
      </c>
      <c r="K195" s="28">
        <f>Source!S188</f>
        <v>945.93</v>
      </c>
      <c r="W195">
        <f>I195</f>
        <v>46.37</v>
      </c>
    </row>
    <row r="196" spans="1:27" ht="14.25" x14ac:dyDescent="0.2">
      <c r="A196" s="23"/>
      <c r="B196" s="24"/>
      <c r="C196" s="24" t="s">
        <v>891</v>
      </c>
      <c r="D196" s="25"/>
      <c r="E196" s="12"/>
      <c r="F196" s="27">
        <f>Source!AM188</f>
        <v>228.62</v>
      </c>
      <c r="G196" s="26" t="str">
        <f>Source!DE188</f>
        <v>)*1,25</v>
      </c>
      <c r="H196" s="12">
        <f>Source!AV188</f>
        <v>1</v>
      </c>
      <c r="I196" s="28">
        <f>ROUND((Source!AD188*Source!AV188)*Source!I188, 2)</f>
        <v>14.57</v>
      </c>
      <c r="J196" s="12">
        <f>IF(Source!BB188&lt;&gt; 0, Source!BB188, 1)</f>
        <v>9.0500000000000007</v>
      </c>
      <c r="K196" s="28">
        <f>Source!Q188</f>
        <v>131.9</v>
      </c>
    </row>
    <row r="197" spans="1:27" ht="14.25" x14ac:dyDescent="0.2">
      <c r="A197" s="23"/>
      <c r="B197" s="24"/>
      <c r="C197" s="24" t="s">
        <v>892</v>
      </c>
      <c r="D197" s="25"/>
      <c r="E197" s="12"/>
      <c r="F197" s="27">
        <f>Source!AN188</f>
        <v>55.48</v>
      </c>
      <c r="G197" s="26" t="str">
        <f>Source!DF188</f>
        <v>)*1,25</v>
      </c>
      <c r="H197" s="12">
        <f>Source!AV188</f>
        <v>1</v>
      </c>
      <c r="I197" s="30">
        <f>ROUND((Source!AE188*Source!AV188)*Source!I188, 2)</f>
        <v>3.54</v>
      </c>
      <c r="J197" s="12">
        <f>IF(Source!BS188&lt;&gt; 0, Source!BS188, 1)</f>
        <v>20.399999999999999</v>
      </c>
      <c r="K197" s="30">
        <f>Source!R188</f>
        <v>72.150000000000006</v>
      </c>
      <c r="W197">
        <f>I197</f>
        <v>3.54</v>
      </c>
    </row>
    <row r="198" spans="1:27" ht="14.25" x14ac:dyDescent="0.2">
      <c r="A198" s="23"/>
      <c r="B198" s="24"/>
      <c r="C198" s="24" t="s">
        <v>899</v>
      </c>
      <c r="D198" s="25"/>
      <c r="E198" s="12"/>
      <c r="F198" s="27">
        <f>Source!AL188</f>
        <v>1016.28</v>
      </c>
      <c r="G198" s="26" t="str">
        <f>Source!DD188</f>
        <v/>
      </c>
      <c r="H198" s="12">
        <f>Source!AW188</f>
        <v>1</v>
      </c>
      <c r="I198" s="28">
        <f>ROUND((Source!AC188*Source!AW188)*Source!I188, 2)</f>
        <v>51.83</v>
      </c>
      <c r="J198" s="12">
        <f>IF(Source!BC188&lt;&gt; 0, Source!BC188, 1)</f>
        <v>6.08</v>
      </c>
      <c r="K198" s="28">
        <f>Source!P188</f>
        <v>315.13</v>
      </c>
    </row>
    <row r="199" spans="1:27" ht="28.5" x14ac:dyDescent="0.2">
      <c r="A199" s="23" t="str">
        <f>Source!E190</f>
        <v>16,1</v>
      </c>
      <c r="B199" s="24" t="str">
        <f>Source!F190</f>
        <v>1.5-1-192</v>
      </c>
      <c r="C199" s="24" t="str">
        <f>Source!G190</f>
        <v>Плиты бетонные тротуарные, толщина 70 мм, цвет серый</v>
      </c>
      <c r="D199" s="25" t="str">
        <f>Source!H190</f>
        <v>м2</v>
      </c>
      <c r="E199" s="12">
        <f>Source!I190</f>
        <v>5.202</v>
      </c>
      <c r="F199" s="27">
        <f>Source!AK190</f>
        <v>117.94</v>
      </c>
      <c r="G199" s="31" t="s">
        <v>3</v>
      </c>
      <c r="H199" s="12">
        <f>Source!AW190</f>
        <v>1</v>
      </c>
      <c r="I199" s="28">
        <f>ROUND((Source!AC190*Source!AW190)*Source!I190, 2)+ROUND((Source!AD190*Source!AV190)*Source!I190, 2)+ROUND((Source!AF190*Source!AV190)*Source!I190, 2)</f>
        <v>613.52</v>
      </c>
      <c r="J199" s="12">
        <f>IF(Source!BC190&lt;&gt; 0, Source!BC190, 1)</f>
        <v>3.9</v>
      </c>
      <c r="K199" s="28">
        <f>Source!O190</f>
        <v>2392.7399999999998</v>
      </c>
      <c r="Q199">
        <f>ROUND((Source!DN190/100)*ROUND((Source!AF190*Source!AV190)*Source!I190, 2), 2)</f>
        <v>0</v>
      </c>
      <c r="R199">
        <f>Source!X190</f>
        <v>0</v>
      </c>
      <c r="S199">
        <f>ROUND((Source!DO190/100)*ROUND((Source!AF190*Source!AV190)*Source!I190, 2), 2)</f>
        <v>0</v>
      </c>
      <c r="T199">
        <f>Source!Y190</f>
        <v>0</v>
      </c>
      <c r="U199">
        <f>ROUND((175/100)*ROUND((Source!AE190*Source!AV190)*Source!I190, 2), 2)</f>
        <v>0</v>
      </c>
      <c r="V199">
        <f>ROUND((168/100)*ROUND(Source!CS190*Source!I190, 2), 2)</f>
        <v>0</v>
      </c>
      <c r="X199">
        <f>IF(Source!BI190&lt;=1,I199, 0)</f>
        <v>613.52</v>
      </c>
      <c r="Y199">
        <f>IF(Source!BI190=2,I199, 0)</f>
        <v>0</v>
      </c>
      <c r="Z199">
        <f>IF(Source!BI190=3,I199, 0)</f>
        <v>0</v>
      </c>
      <c r="AA199">
        <f>IF(Source!BI190=4,I199, 0)</f>
        <v>0</v>
      </c>
    </row>
    <row r="200" spans="1:27" ht="14.25" x14ac:dyDescent="0.2">
      <c r="A200" s="23"/>
      <c r="B200" s="24"/>
      <c r="C200" s="24" t="s">
        <v>893</v>
      </c>
      <c r="D200" s="25" t="s">
        <v>894</v>
      </c>
      <c r="E200" s="12">
        <f>Source!DN188</f>
        <v>104</v>
      </c>
      <c r="F200" s="27"/>
      <c r="G200" s="26"/>
      <c r="H200" s="12"/>
      <c r="I200" s="28">
        <f>SUM(Q193:Q199)</f>
        <v>48.22</v>
      </c>
      <c r="J200" s="12">
        <f>Source!BZ188</f>
        <v>85</v>
      </c>
      <c r="K200" s="28">
        <f>SUM(R193:R199)</f>
        <v>804.04</v>
      </c>
    </row>
    <row r="201" spans="1:27" ht="14.25" x14ac:dyDescent="0.2">
      <c r="A201" s="23"/>
      <c r="B201" s="24"/>
      <c r="C201" s="24" t="s">
        <v>895</v>
      </c>
      <c r="D201" s="25" t="s">
        <v>894</v>
      </c>
      <c r="E201" s="12">
        <f>Source!DO188</f>
        <v>70</v>
      </c>
      <c r="F201" s="27"/>
      <c r="G201" s="26"/>
      <c r="H201" s="12"/>
      <c r="I201" s="28">
        <f>SUM(S193:S200)</f>
        <v>32.46</v>
      </c>
      <c r="J201" s="12">
        <f>Source!CA188</f>
        <v>41</v>
      </c>
      <c r="K201" s="28">
        <f>SUM(T193:T200)</f>
        <v>387.83</v>
      </c>
    </row>
    <row r="202" spans="1:27" ht="14.25" x14ac:dyDescent="0.2">
      <c r="A202" s="23"/>
      <c r="B202" s="24"/>
      <c r="C202" s="24" t="s">
        <v>896</v>
      </c>
      <c r="D202" s="25" t="s">
        <v>894</v>
      </c>
      <c r="E202" s="12">
        <f>175</f>
        <v>175</v>
      </c>
      <c r="F202" s="27"/>
      <c r="G202" s="26"/>
      <c r="H202" s="12"/>
      <c r="I202" s="28">
        <f>SUM(U193:U201)</f>
        <v>6.2</v>
      </c>
      <c r="J202" s="12">
        <f>168</f>
        <v>168</v>
      </c>
      <c r="K202" s="28">
        <f>SUM(V193:V201)</f>
        <v>121.21</v>
      </c>
    </row>
    <row r="203" spans="1:27" ht="14.25" x14ac:dyDescent="0.2">
      <c r="A203" s="23"/>
      <c r="B203" s="24"/>
      <c r="C203" s="24" t="s">
        <v>897</v>
      </c>
      <c r="D203" s="25" t="s">
        <v>898</v>
      </c>
      <c r="E203" s="12">
        <f>Source!AQ188</f>
        <v>72.599999999999994</v>
      </c>
      <c r="F203" s="27"/>
      <c r="G203" s="26" t="str">
        <f>Source!DI188</f>
        <v>)*1,15</v>
      </c>
      <c r="H203" s="12">
        <f>Source!AV188</f>
        <v>1</v>
      </c>
      <c r="I203" s="28">
        <f>Source!U188</f>
        <v>4.2579899999999986</v>
      </c>
      <c r="J203" s="12"/>
      <c r="K203" s="28"/>
    </row>
    <row r="204" spans="1:27" ht="15" x14ac:dyDescent="0.25">
      <c r="A204" s="33"/>
      <c r="B204" s="33"/>
      <c r="C204" s="33"/>
      <c r="D204" s="33"/>
      <c r="E204" s="33"/>
      <c r="F204" s="33"/>
      <c r="G204" s="33"/>
      <c r="H204" s="59">
        <f>I195+I196+I198+I200+I201+I202+SUM(I199:I199)</f>
        <v>813.17</v>
      </c>
      <c r="I204" s="59"/>
      <c r="J204" s="59">
        <f>K195+K196+K198+K200+K201+K202+SUM(K199:K199)</f>
        <v>5098.78</v>
      </c>
      <c r="K204" s="59"/>
      <c r="O204" s="32">
        <f>I195+I196+I198+I200+I201+I202+SUM(I199:I199)</f>
        <v>813.17</v>
      </c>
      <c r="P204" s="32">
        <f>K195+K196+K198+K200+K201+K202+SUM(K199:K199)</f>
        <v>5098.78</v>
      </c>
      <c r="X204">
        <f>IF(Source!BI188&lt;=1,I195+I196+I198+I200+I201+I202-0, 0)</f>
        <v>199.65</v>
      </c>
      <c r="Y204">
        <f>IF(Source!BI188=2,I195+I196+I198+I200+I201+I202-0, 0)</f>
        <v>0</v>
      </c>
      <c r="Z204">
        <f>IF(Source!BI188=3,I195+I196+I198+I200+I201+I202-0, 0)</f>
        <v>0</v>
      </c>
      <c r="AA204">
        <f>IF(Source!BI188=4,I195+I196+I198+I200+I201+I202,0)</f>
        <v>0</v>
      </c>
    </row>
    <row r="205" spans="1:27" ht="57" x14ac:dyDescent="0.2">
      <c r="A205" s="23" t="str">
        <f>Source!E192</f>
        <v>17</v>
      </c>
      <c r="B205" s="24" t="str">
        <f>Source!F192</f>
        <v>3.11-36-1</v>
      </c>
      <c r="C205" s="24" t="str">
        <f>Source!G192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D205" s="25" t="str">
        <f>Source!H192</f>
        <v>100 м2 пола</v>
      </c>
      <c r="E205" s="12">
        <f>Source!I192</f>
        <v>1.7999999999999999E-2</v>
      </c>
      <c r="F205" s="27"/>
      <c r="G205" s="26"/>
      <c r="H205" s="12"/>
      <c r="I205" s="28"/>
      <c r="J205" s="12"/>
      <c r="K205" s="28"/>
      <c r="Q205">
        <f>ROUND((Source!DN192/100)*ROUND((Source!AF192*Source!AV192)*Source!I192, 2), 2)</f>
        <v>21.25</v>
      </c>
      <c r="R205">
        <f>Source!X192</f>
        <v>354.26</v>
      </c>
      <c r="S205">
        <f>ROUND((Source!DO192/100)*ROUND((Source!AF192*Source!AV192)*Source!I192, 2), 2)</f>
        <v>14.3</v>
      </c>
      <c r="T205">
        <f>Source!Y192</f>
        <v>170.88</v>
      </c>
      <c r="U205">
        <f>ROUND((175/100)*ROUND((Source!AE192*Source!AV192)*Source!I192, 2), 2)</f>
        <v>0.49</v>
      </c>
      <c r="V205">
        <f>ROUND((168/100)*ROUND(Source!CS192*Source!I192, 2), 2)</f>
        <v>9.64</v>
      </c>
    </row>
    <row r="206" spans="1:27" x14ac:dyDescent="0.2">
      <c r="C206" s="29" t="str">
        <f>"Объем: "&amp;Source!I192&amp;"=1,8/"&amp;"100"</f>
        <v>Объем: 0,018=1,8/100</v>
      </c>
    </row>
    <row r="207" spans="1:27" ht="14.25" x14ac:dyDescent="0.2">
      <c r="A207" s="23"/>
      <c r="B207" s="24"/>
      <c r="C207" s="24" t="s">
        <v>890</v>
      </c>
      <c r="D207" s="25"/>
      <c r="E207" s="12"/>
      <c r="F207" s="27">
        <f>Source!AO192</f>
        <v>986.98</v>
      </c>
      <c r="G207" s="26" t="str">
        <f>Source!DG192</f>
        <v>)*1,15</v>
      </c>
      <c r="H207" s="12">
        <f>Source!AV192</f>
        <v>1</v>
      </c>
      <c r="I207" s="28">
        <f>ROUND((Source!AF192*Source!AV192)*Source!I192, 2)</f>
        <v>20.43</v>
      </c>
      <c r="J207" s="12">
        <f>IF(Source!BA192&lt;&gt; 0, Source!BA192, 1)</f>
        <v>20.399999999999999</v>
      </c>
      <c r="K207" s="28">
        <f>Source!S192</f>
        <v>416.78</v>
      </c>
      <c r="W207">
        <f>I207</f>
        <v>20.43</v>
      </c>
    </row>
    <row r="208" spans="1:27" ht="14.25" x14ac:dyDescent="0.2">
      <c r="A208" s="23"/>
      <c r="B208" s="24"/>
      <c r="C208" s="24" t="s">
        <v>891</v>
      </c>
      <c r="D208" s="25"/>
      <c r="E208" s="12"/>
      <c r="F208" s="27">
        <f>Source!AM192</f>
        <v>99.77</v>
      </c>
      <c r="G208" s="26" t="str">
        <f>Source!DE192</f>
        <v>)*1,25</v>
      </c>
      <c r="H208" s="12">
        <f>Source!AV192</f>
        <v>1</v>
      </c>
      <c r="I208" s="28">
        <f>ROUND((Source!AD192*Source!AV192)*Source!I192, 2)</f>
        <v>2.2400000000000002</v>
      </c>
      <c r="J208" s="12">
        <f>IF(Source!BB192&lt;&gt; 0, Source!BB192, 1)</f>
        <v>10.38</v>
      </c>
      <c r="K208" s="28">
        <f>Source!Q192</f>
        <v>23.3</v>
      </c>
    </row>
    <row r="209" spans="1:27" ht="14.25" x14ac:dyDescent="0.2">
      <c r="A209" s="23"/>
      <c r="B209" s="24"/>
      <c r="C209" s="24" t="s">
        <v>892</v>
      </c>
      <c r="D209" s="25"/>
      <c r="E209" s="12"/>
      <c r="F209" s="27">
        <f>Source!AN192</f>
        <v>12.51</v>
      </c>
      <c r="G209" s="26" t="str">
        <f>Source!DF192</f>
        <v>)*1,25</v>
      </c>
      <c r="H209" s="12">
        <f>Source!AV192</f>
        <v>1</v>
      </c>
      <c r="I209" s="30">
        <f>ROUND((Source!AE192*Source!AV192)*Source!I192, 2)</f>
        <v>0.28000000000000003</v>
      </c>
      <c r="J209" s="12">
        <f>IF(Source!BS192&lt;&gt; 0, Source!BS192, 1)</f>
        <v>20.399999999999999</v>
      </c>
      <c r="K209" s="30">
        <f>Source!R192</f>
        <v>5.74</v>
      </c>
      <c r="W209">
        <f>I209</f>
        <v>0.28000000000000003</v>
      </c>
    </row>
    <row r="210" spans="1:27" ht="14.25" x14ac:dyDescent="0.2">
      <c r="A210" s="23"/>
      <c r="B210" s="24"/>
      <c r="C210" s="24" t="s">
        <v>899</v>
      </c>
      <c r="D210" s="25"/>
      <c r="E210" s="12"/>
      <c r="F210" s="27">
        <f>Source!AL192</f>
        <v>699.78</v>
      </c>
      <c r="G210" s="26" t="str">
        <f>Source!DD192</f>
        <v/>
      </c>
      <c r="H210" s="12">
        <f>Source!AW192</f>
        <v>1</v>
      </c>
      <c r="I210" s="28">
        <f>ROUND((Source!AC192*Source!AW192)*Source!I192, 2)</f>
        <v>12.6</v>
      </c>
      <c r="J210" s="12">
        <f>IF(Source!BC192&lt;&gt; 0, Source!BC192, 1)</f>
        <v>1.52</v>
      </c>
      <c r="K210" s="28">
        <f>Source!P192</f>
        <v>19.149999999999999</v>
      </c>
    </row>
    <row r="211" spans="1:27" ht="28.5" x14ac:dyDescent="0.2">
      <c r="A211" s="23" t="str">
        <f>Source!E194</f>
        <v>17,1</v>
      </c>
      <c r="B211" s="24" t="str">
        <f>Source!F194</f>
        <v>1.3-2-138</v>
      </c>
      <c r="C211" s="24" t="str">
        <f>Source!G194</f>
        <v>Смеси сухие для заполнения швов между плитками, цветные</v>
      </c>
      <c r="D211" s="25" t="str">
        <f>Source!H194</f>
        <v>т</v>
      </c>
      <c r="E211" s="12">
        <f>Source!I194</f>
        <v>2E-3</v>
      </c>
      <c r="F211" s="27">
        <f>Source!AK194</f>
        <v>27362.67</v>
      </c>
      <c r="G211" s="31" t="s">
        <v>3</v>
      </c>
      <c r="H211" s="12">
        <f>Source!AW194</f>
        <v>1</v>
      </c>
      <c r="I211" s="28">
        <f>ROUND((Source!AC194*Source!AW194)*Source!I194, 2)+ROUND((Source!AD194*Source!AV194)*Source!I194, 2)+ROUND((Source!AF194*Source!AV194)*Source!I194, 2)</f>
        <v>54.73</v>
      </c>
      <c r="J211" s="12">
        <f>IF(Source!BC194&lt;&gt; 0, Source!BC194, 1)</f>
        <v>0.95</v>
      </c>
      <c r="K211" s="28">
        <f>Source!O194</f>
        <v>51.99</v>
      </c>
      <c r="Q211">
        <f>ROUND((Source!DN194/100)*ROUND((Source!AF194*Source!AV194)*Source!I194, 2), 2)</f>
        <v>0</v>
      </c>
      <c r="R211">
        <f>Source!X194</f>
        <v>0</v>
      </c>
      <c r="S211">
        <f>ROUND((Source!DO194/100)*ROUND((Source!AF194*Source!AV194)*Source!I194, 2), 2)</f>
        <v>0</v>
      </c>
      <c r="T211">
        <f>Source!Y194</f>
        <v>0</v>
      </c>
      <c r="U211">
        <f>ROUND((175/100)*ROUND((Source!AE194*Source!AV194)*Source!I194, 2), 2)</f>
        <v>0</v>
      </c>
      <c r="V211">
        <f>ROUND((168/100)*ROUND(Source!CS194*Source!I194, 2), 2)</f>
        <v>0</v>
      </c>
      <c r="X211">
        <f>IF(Source!BI194&lt;=1,I211, 0)</f>
        <v>54.73</v>
      </c>
      <c r="Y211">
        <f>IF(Source!BI194=2,I211, 0)</f>
        <v>0</v>
      </c>
      <c r="Z211">
        <f>IF(Source!BI194=3,I211, 0)</f>
        <v>0</v>
      </c>
      <c r="AA211">
        <f>IF(Source!BI194=4,I211, 0)</f>
        <v>0</v>
      </c>
    </row>
    <row r="212" spans="1:27" ht="99.75" x14ac:dyDescent="0.2">
      <c r="A212" s="23" t="str">
        <f>Source!E196</f>
        <v>17,2</v>
      </c>
      <c r="B212" s="24" t="str">
        <f>Source!F196</f>
        <v>1.3-2-168</v>
      </c>
      <c r="C212" s="24" t="str">
        <f>Source!G196</f>
        <v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v>
      </c>
      <c r="D212" s="25" t="str">
        <f>Source!H196</f>
        <v>т</v>
      </c>
      <c r="E212" s="12">
        <f>Source!I196</f>
        <v>8.4600000000000005E-3</v>
      </c>
      <c r="F212" s="27">
        <f>Source!AK196</f>
        <v>6529.05</v>
      </c>
      <c r="G212" s="31" t="s">
        <v>3</v>
      </c>
      <c r="H212" s="12">
        <f>Source!AW196</f>
        <v>1</v>
      </c>
      <c r="I212" s="28">
        <f>ROUND((Source!AC196*Source!AW196)*Source!I196, 2)+ROUND((Source!AD196*Source!AV196)*Source!I196, 2)+ROUND((Source!AF196*Source!AV196)*Source!I196, 2)</f>
        <v>55.24</v>
      </c>
      <c r="J212" s="12">
        <f>IF(Source!BC196&lt;&gt; 0, Source!BC196, 1)</f>
        <v>1.17</v>
      </c>
      <c r="K212" s="28">
        <f>Source!O196</f>
        <v>64.63</v>
      </c>
      <c r="Q212">
        <f>ROUND((Source!DN196/100)*ROUND((Source!AF196*Source!AV196)*Source!I196, 2), 2)</f>
        <v>0</v>
      </c>
      <c r="R212">
        <f>Source!X196</f>
        <v>0</v>
      </c>
      <c r="S212">
        <f>ROUND((Source!DO196/100)*ROUND((Source!AF196*Source!AV196)*Source!I196, 2), 2)</f>
        <v>0</v>
      </c>
      <c r="T212">
        <f>Source!Y196</f>
        <v>0</v>
      </c>
      <c r="U212">
        <f>ROUND((175/100)*ROUND((Source!AE196*Source!AV196)*Source!I196, 2), 2)</f>
        <v>0</v>
      </c>
      <c r="V212">
        <f>ROUND((168/100)*ROUND(Source!CS196*Source!I196, 2), 2)</f>
        <v>0</v>
      </c>
      <c r="X212">
        <f>IF(Source!BI196&lt;=1,I212, 0)</f>
        <v>55.24</v>
      </c>
      <c r="Y212">
        <f>IF(Source!BI196=2,I212, 0)</f>
        <v>0</v>
      </c>
      <c r="Z212">
        <f>IF(Source!BI196=3,I212, 0)</f>
        <v>0</v>
      </c>
      <c r="AA212">
        <f>IF(Source!BI196=4,I212, 0)</f>
        <v>0</v>
      </c>
    </row>
    <row r="213" spans="1:27" ht="71.25" x14ac:dyDescent="0.2">
      <c r="A213" s="23" t="str">
        <f>Source!E198</f>
        <v>17,3</v>
      </c>
      <c r="B213" s="24" t="str">
        <f>Source!F198</f>
        <v>1.1-1-2398</v>
      </c>
      <c r="C213" s="24" t="str">
        <f>Source!G198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D213" s="25" t="str">
        <f>Source!H198</f>
        <v>м2</v>
      </c>
      <c r="E213" s="12">
        <f>Source!I198</f>
        <v>1.8360000000000001</v>
      </c>
      <c r="F213" s="27">
        <f>Source!AK198</f>
        <v>92.02</v>
      </c>
      <c r="G213" s="31" t="s">
        <v>3</v>
      </c>
      <c r="H213" s="12">
        <f>Source!AW198</f>
        <v>1</v>
      </c>
      <c r="I213" s="28">
        <f>ROUND((Source!AC198*Source!AW198)*Source!I198, 2)+ROUND((Source!AD198*Source!AV198)*Source!I198, 2)+ROUND((Source!AF198*Source!AV198)*Source!I198, 2)</f>
        <v>168.95</v>
      </c>
      <c r="J213" s="12">
        <f>IF(Source!BC198&lt;&gt; 0, Source!BC198, 1)</f>
        <v>4.38</v>
      </c>
      <c r="K213" s="28">
        <f>Source!O198</f>
        <v>740</v>
      </c>
      <c r="Q213">
        <f>ROUND((Source!DN198/100)*ROUND((Source!AF198*Source!AV198)*Source!I198, 2), 2)</f>
        <v>0</v>
      </c>
      <c r="R213">
        <f>Source!X198</f>
        <v>0</v>
      </c>
      <c r="S213">
        <f>ROUND((Source!DO198/100)*ROUND((Source!AF198*Source!AV198)*Source!I198, 2), 2)</f>
        <v>0</v>
      </c>
      <c r="T213">
        <f>Source!Y198</f>
        <v>0</v>
      </c>
      <c r="U213">
        <f>ROUND((175/100)*ROUND((Source!AE198*Source!AV198)*Source!I198, 2), 2)</f>
        <v>0</v>
      </c>
      <c r="V213">
        <f>ROUND((168/100)*ROUND(Source!CS198*Source!I198, 2), 2)</f>
        <v>0</v>
      </c>
      <c r="X213">
        <f>IF(Source!BI198&lt;=1,I213, 0)</f>
        <v>168.95</v>
      </c>
      <c r="Y213">
        <f>IF(Source!BI198=2,I213, 0)</f>
        <v>0</v>
      </c>
      <c r="Z213">
        <f>IF(Source!BI198=3,I213, 0)</f>
        <v>0</v>
      </c>
      <c r="AA213">
        <f>IF(Source!BI198=4,I213, 0)</f>
        <v>0</v>
      </c>
    </row>
    <row r="214" spans="1:27" ht="14.25" x14ac:dyDescent="0.2">
      <c r="A214" s="23"/>
      <c r="B214" s="24"/>
      <c r="C214" s="24" t="s">
        <v>893</v>
      </c>
      <c r="D214" s="25" t="s">
        <v>894</v>
      </c>
      <c r="E214" s="12">
        <f>Source!DN192</f>
        <v>104</v>
      </c>
      <c r="F214" s="27"/>
      <c r="G214" s="26"/>
      <c r="H214" s="12"/>
      <c r="I214" s="28">
        <f>SUM(Q205:Q213)</f>
        <v>21.25</v>
      </c>
      <c r="J214" s="12">
        <f>Source!BZ192</f>
        <v>85</v>
      </c>
      <c r="K214" s="28">
        <f>SUM(R205:R213)</f>
        <v>354.26</v>
      </c>
    </row>
    <row r="215" spans="1:27" ht="14.25" x14ac:dyDescent="0.2">
      <c r="A215" s="23"/>
      <c r="B215" s="24"/>
      <c r="C215" s="24" t="s">
        <v>895</v>
      </c>
      <c r="D215" s="25" t="s">
        <v>894</v>
      </c>
      <c r="E215" s="12">
        <f>Source!DO192</f>
        <v>70</v>
      </c>
      <c r="F215" s="27"/>
      <c r="G215" s="26"/>
      <c r="H215" s="12"/>
      <c r="I215" s="28">
        <f>SUM(S205:S214)</f>
        <v>14.3</v>
      </c>
      <c r="J215" s="12">
        <f>Source!CA192</f>
        <v>41</v>
      </c>
      <c r="K215" s="28">
        <f>SUM(T205:T214)</f>
        <v>170.88</v>
      </c>
    </row>
    <row r="216" spans="1:27" ht="14.25" x14ac:dyDescent="0.2">
      <c r="A216" s="23"/>
      <c r="B216" s="24"/>
      <c r="C216" s="24" t="s">
        <v>896</v>
      </c>
      <c r="D216" s="25" t="s">
        <v>894</v>
      </c>
      <c r="E216" s="12">
        <f>175</f>
        <v>175</v>
      </c>
      <c r="F216" s="27"/>
      <c r="G216" s="26"/>
      <c r="H216" s="12"/>
      <c r="I216" s="28">
        <f>SUM(U205:U215)</f>
        <v>0.49</v>
      </c>
      <c r="J216" s="12">
        <f>168</f>
        <v>168</v>
      </c>
      <c r="K216" s="28">
        <f>SUM(V205:V215)</f>
        <v>9.64</v>
      </c>
    </row>
    <row r="217" spans="1:27" ht="14.25" x14ac:dyDescent="0.2">
      <c r="A217" s="23"/>
      <c r="B217" s="24"/>
      <c r="C217" s="24" t="s">
        <v>897</v>
      </c>
      <c r="D217" s="25" t="s">
        <v>898</v>
      </c>
      <c r="E217" s="12">
        <f>Source!AQ192</f>
        <v>84.08</v>
      </c>
      <c r="F217" s="27"/>
      <c r="G217" s="26" t="str">
        <f>Source!DI192</f>
        <v>)*1,15</v>
      </c>
      <c r="H217" s="12">
        <f>Source!AV192</f>
        <v>1</v>
      </c>
      <c r="I217" s="28">
        <f>Source!U192</f>
        <v>1.7404559999999998</v>
      </c>
      <c r="J217" s="12"/>
      <c r="K217" s="28"/>
    </row>
    <row r="218" spans="1:27" ht="15" x14ac:dyDescent="0.25">
      <c r="A218" s="33"/>
      <c r="B218" s="33"/>
      <c r="C218" s="33"/>
      <c r="D218" s="33"/>
      <c r="E218" s="33"/>
      <c r="F218" s="33"/>
      <c r="G218" s="33"/>
      <c r="H218" s="59">
        <f>I207+I208+I210+I214+I215+I216+SUM(I211:I213)</f>
        <v>350.22999999999996</v>
      </c>
      <c r="I218" s="59"/>
      <c r="J218" s="59">
        <f>K207+K208+K210+K214+K215+K216+SUM(K211:K213)</f>
        <v>1850.63</v>
      </c>
      <c r="K218" s="59"/>
      <c r="O218" s="32">
        <f>I207+I208+I210+I214+I215+I216+SUM(I211:I213)</f>
        <v>350.22999999999996</v>
      </c>
      <c r="P218" s="32">
        <f>K207+K208+K210+K214+K215+K216+SUM(K211:K213)</f>
        <v>1850.63</v>
      </c>
      <c r="X218">
        <f>IF(Source!BI192&lt;=1,I207+I208+I210+I214+I215+I216-0, 0)</f>
        <v>71.31</v>
      </c>
      <c r="Y218">
        <f>IF(Source!BI192=2,I207+I208+I210+I214+I215+I216-0, 0)</f>
        <v>0</v>
      </c>
      <c r="Z218">
        <f>IF(Source!BI192=3,I207+I208+I210+I214+I215+I216-0, 0)</f>
        <v>0</v>
      </c>
      <c r="AA218">
        <f>IF(Source!BI192=4,I207+I208+I210+I214+I215+I216,0)</f>
        <v>0</v>
      </c>
    </row>
    <row r="219" spans="1:27" ht="42.75" x14ac:dyDescent="0.2">
      <c r="A219" s="23" t="str">
        <f>Source!E200</f>
        <v>18</v>
      </c>
      <c r="B219" s="24" t="str">
        <f>Source!F200</f>
        <v>3.7-60-4</v>
      </c>
      <c r="C219" s="24" t="str">
        <f>Source!G200</f>
        <v>Установка металлических ограждений без поручня</v>
      </c>
      <c r="D219" s="25" t="str">
        <f>Source!H200</f>
        <v>100 м ограждений</v>
      </c>
      <c r="E219" s="12">
        <f>Source!I200</f>
        <v>0.15</v>
      </c>
      <c r="F219" s="27"/>
      <c r="G219" s="26"/>
      <c r="H219" s="12"/>
      <c r="I219" s="28"/>
      <c r="J219" s="12"/>
      <c r="K219" s="28"/>
      <c r="Q219">
        <f>ROUND((Source!DN200/100)*ROUND((Source!AF200*Source!AV200)*Source!I200, 2), 2)</f>
        <v>80.33</v>
      </c>
      <c r="R219">
        <f>Source!X200</f>
        <v>1314.47</v>
      </c>
      <c r="S219">
        <f>ROUND((Source!DO200/100)*ROUND((Source!AF200*Source!AV200)*Source!I200, 2), 2)</f>
        <v>61.79</v>
      </c>
      <c r="T219">
        <f>Source!Y200</f>
        <v>738.26</v>
      </c>
      <c r="U219">
        <f>ROUND((175/100)*ROUND((Source!AE200*Source!AV200)*Source!I200, 2), 2)</f>
        <v>6.28</v>
      </c>
      <c r="V219">
        <f>ROUND((168/100)*ROUND(Source!CS200*Source!I200, 2), 2)</f>
        <v>123.19</v>
      </c>
    </row>
    <row r="220" spans="1:27" x14ac:dyDescent="0.2">
      <c r="C220" s="29" t="str">
        <f>"Объем: "&amp;Source!I200&amp;"=15/"&amp;"100"</f>
        <v>Объем: 0,15=15/100</v>
      </c>
    </row>
    <row r="221" spans="1:27" ht="14.25" x14ac:dyDescent="0.2">
      <c r="A221" s="23"/>
      <c r="B221" s="24"/>
      <c r="C221" s="24" t="s">
        <v>890</v>
      </c>
      <c r="D221" s="25"/>
      <c r="E221" s="12"/>
      <c r="F221" s="27">
        <f>Source!AO200</f>
        <v>511.69</v>
      </c>
      <c r="G221" s="26" t="str">
        <f>Source!DG200</f>
        <v>)*1,15</v>
      </c>
      <c r="H221" s="12">
        <f>Source!AV200</f>
        <v>1</v>
      </c>
      <c r="I221" s="28">
        <f>ROUND((Source!AF200*Source!AV200)*Source!I200, 2)</f>
        <v>88.27</v>
      </c>
      <c r="J221" s="12">
        <f>IF(Source!BA200&lt;&gt; 0, Source!BA200, 1)</f>
        <v>20.399999999999999</v>
      </c>
      <c r="K221" s="28">
        <f>Source!S200</f>
        <v>1800.64</v>
      </c>
      <c r="W221">
        <f>I221</f>
        <v>88.27</v>
      </c>
    </row>
    <row r="222" spans="1:27" ht="14.25" x14ac:dyDescent="0.2">
      <c r="A222" s="23"/>
      <c r="B222" s="24"/>
      <c r="C222" s="24" t="s">
        <v>891</v>
      </c>
      <c r="D222" s="25"/>
      <c r="E222" s="12"/>
      <c r="F222" s="27">
        <f>Source!AM200</f>
        <v>81.14</v>
      </c>
      <c r="G222" s="26" t="str">
        <f>Source!DE200</f>
        <v>)*1,25</v>
      </c>
      <c r="H222" s="12">
        <f>Source!AV200</f>
        <v>1</v>
      </c>
      <c r="I222" s="28">
        <f>ROUND((Source!AD200*Source!AV200)*Source!I200, 2)</f>
        <v>15.21</v>
      </c>
      <c r="J222" s="12">
        <f>IF(Source!BB200&lt;&gt; 0, Source!BB200, 1)</f>
        <v>8.9499999999999993</v>
      </c>
      <c r="K222" s="28">
        <f>Source!Q200</f>
        <v>136.16</v>
      </c>
    </row>
    <row r="223" spans="1:27" ht="14.25" x14ac:dyDescent="0.2">
      <c r="A223" s="23"/>
      <c r="B223" s="24"/>
      <c r="C223" s="24" t="s">
        <v>892</v>
      </c>
      <c r="D223" s="25"/>
      <c r="E223" s="12"/>
      <c r="F223" s="27">
        <f>Source!AN200</f>
        <v>19.170000000000002</v>
      </c>
      <c r="G223" s="26" t="str">
        <f>Source!DF200</f>
        <v>)*1,25</v>
      </c>
      <c r="H223" s="12">
        <f>Source!AV200</f>
        <v>1</v>
      </c>
      <c r="I223" s="30">
        <f>ROUND((Source!AE200*Source!AV200)*Source!I200, 2)</f>
        <v>3.59</v>
      </c>
      <c r="J223" s="12">
        <f>IF(Source!BS200&lt;&gt; 0, Source!BS200, 1)</f>
        <v>20.399999999999999</v>
      </c>
      <c r="K223" s="30">
        <f>Source!R200</f>
        <v>73.33</v>
      </c>
      <c r="W223">
        <f>I223</f>
        <v>3.59</v>
      </c>
    </row>
    <row r="224" spans="1:27" ht="42.75" x14ac:dyDescent="0.2">
      <c r="A224" s="23" t="str">
        <f>Source!E202</f>
        <v>18,1</v>
      </c>
      <c r="B224" s="24" t="str">
        <f>Source!F202</f>
        <v>1.1-1-1328</v>
      </c>
      <c r="C224" s="24" t="str">
        <f>Source!G202</f>
        <v>Цемент общестроительный, портландцемент общего назначения, марка 300</v>
      </c>
      <c r="D224" s="25" t="str">
        <f>Source!H202</f>
        <v>т</v>
      </c>
      <c r="E224" s="12">
        <f>Source!I202</f>
        <v>2.2499999999999999E-2</v>
      </c>
      <c r="F224" s="27">
        <f>Source!AK202</f>
        <v>315.2</v>
      </c>
      <c r="G224" s="31" t="s">
        <v>3</v>
      </c>
      <c r="H224" s="12">
        <f>Source!AW202</f>
        <v>1</v>
      </c>
      <c r="I224" s="28">
        <f>ROUND((Source!AC202*Source!AW202)*Source!I202, 2)+ROUND((Source!AD202*Source!AV202)*Source!I202, 2)+ROUND((Source!AF202*Source!AV202)*Source!I202, 2)</f>
        <v>7.09</v>
      </c>
      <c r="J224" s="12">
        <f>IF(Source!BC202&lt;&gt; 0, Source!BC202, 1)</f>
        <v>10.65</v>
      </c>
      <c r="K224" s="28">
        <f>Source!O202</f>
        <v>75.53</v>
      </c>
      <c r="Q224">
        <f>ROUND((Source!DN202/100)*ROUND((Source!AF202*Source!AV202)*Source!I202, 2), 2)</f>
        <v>0</v>
      </c>
      <c r="R224">
        <f>Source!X202</f>
        <v>0</v>
      </c>
      <c r="S224">
        <f>ROUND((Source!DO202/100)*ROUND((Source!AF202*Source!AV202)*Source!I202, 2), 2)</f>
        <v>0</v>
      </c>
      <c r="T224">
        <f>Source!Y202</f>
        <v>0</v>
      </c>
      <c r="U224">
        <f>ROUND((175/100)*ROUND((Source!AE202*Source!AV202)*Source!I202, 2), 2)</f>
        <v>0</v>
      </c>
      <c r="V224">
        <f>ROUND((168/100)*ROUND(Source!CS202*Source!I202, 2), 2)</f>
        <v>0</v>
      </c>
      <c r="X224">
        <f>IF(Source!BI202&lt;=1,I224, 0)</f>
        <v>7.09</v>
      </c>
      <c r="Y224">
        <f>IF(Source!BI202=2,I224, 0)</f>
        <v>0</v>
      </c>
      <c r="Z224">
        <f>IF(Source!BI202=3,I224, 0)</f>
        <v>0</v>
      </c>
      <c r="AA224">
        <f>IF(Source!BI202=4,I224, 0)</f>
        <v>0</v>
      </c>
    </row>
    <row r="225" spans="1:27" ht="42.75" x14ac:dyDescent="0.2">
      <c r="A225" s="23" t="str">
        <f>Source!E204</f>
        <v>18,2</v>
      </c>
      <c r="B225" s="24" t="str">
        <f>Source!F204</f>
        <v>цена поставщика</v>
      </c>
      <c r="C225" s="24" t="s">
        <v>901</v>
      </c>
      <c r="D225" s="25" t="str">
        <f>Source!H204</f>
        <v>ПМ</v>
      </c>
      <c r="E225" s="12">
        <f>Source!I204</f>
        <v>11.1</v>
      </c>
      <c r="F225" s="27">
        <f>Source!AK204</f>
        <v>710.7</v>
      </c>
      <c r="G225" s="31" t="s">
        <v>3</v>
      </c>
      <c r="H225" s="12">
        <f>Source!AW204</f>
        <v>1</v>
      </c>
      <c r="I225" s="28">
        <f>ROUND((Source!AC204*Source!AW204)*Source!I204, 2)+ROUND((Source!AD204*Source!AV204)*Source!I204, 2)+ROUND((Source!AF204*Source!AV204)*Source!I204, 2)</f>
        <v>7888.77</v>
      </c>
      <c r="J225" s="12">
        <f>IF(Source!BC204&lt;&gt; 0, Source!BC204, 1)</f>
        <v>5.23</v>
      </c>
      <c r="K225" s="28">
        <f>Source!O204</f>
        <v>41258.269999999997</v>
      </c>
      <c r="Q225">
        <f>ROUND((Source!DN204/100)*ROUND((Source!AF204*Source!AV204)*Source!I204, 2), 2)</f>
        <v>0</v>
      </c>
      <c r="R225">
        <f>Source!X204</f>
        <v>0</v>
      </c>
      <c r="S225">
        <f>ROUND((Source!DO204/100)*ROUND((Source!AF204*Source!AV204)*Source!I204, 2), 2)</f>
        <v>0</v>
      </c>
      <c r="T225">
        <f>Source!Y204</f>
        <v>0</v>
      </c>
      <c r="U225">
        <f>ROUND((175/100)*ROUND((Source!AE204*Source!AV204)*Source!I204, 2), 2)</f>
        <v>0</v>
      </c>
      <c r="V225">
        <f>ROUND((168/100)*ROUND(Source!CS204*Source!I204, 2), 2)</f>
        <v>0</v>
      </c>
      <c r="X225">
        <f>IF(Source!BI204&lt;=1,I225, 0)</f>
        <v>7888.77</v>
      </c>
      <c r="Y225">
        <f>IF(Source!BI204=2,I225, 0)</f>
        <v>0</v>
      </c>
      <c r="Z225">
        <f>IF(Source!BI204=3,I225, 0)</f>
        <v>0</v>
      </c>
      <c r="AA225">
        <f>IF(Source!BI204=4,I225, 0)</f>
        <v>0</v>
      </c>
    </row>
    <row r="226" spans="1:27" ht="54" x14ac:dyDescent="0.2">
      <c r="A226" s="23" t="str">
        <f>Source!E206</f>
        <v>18,3</v>
      </c>
      <c r="B226" s="24" t="str">
        <f>Source!F206</f>
        <v>цена поставщика</v>
      </c>
      <c r="C226" s="24" t="s">
        <v>902</v>
      </c>
      <c r="D226" s="25" t="str">
        <f>Source!H206</f>
        <v>ПМ</v>
      </c>
      <c r="E226" s="12">
        <f>Source!I206</f>
        <v>3.9</v>
      </c>
      <c r="F226" s="27">
        <f>Source!AK206</f>
        <v>694.17</v>
      </c>
      <c r="G226" s="31" t="s">
        <v>3</v>
      </c>
      <c r="H226" s="12">
        <f>Source!AW206</f>
        <v>1</v>
      </c>
      <c r="I226" s="28">
        <f>ROUND((Source!AC206*Source!AW206)*Source!I206, 2)+ROUND((Source!AD206*Source!AV206)*Source!I206, 2)+ROUND((Source!AF206*Source!AV206)*Source!I206, 2)</f>
        <v>2707.26</v>
      </c>
      <c r="J226" s="12">
        <f>IF(Source!BC206&lt;&gt; 0, Source!BC206, 1)</f>
        <v>5.23</v>
      </c>
      <c r="K226" s="28">
        <f>Source!O206</f>
        <v>14158.99</v>
      </c>
      <c r="Q226">
        <f>ROUND((Source!DN206/100)*ROUND((Source!AF206*Source!AV206)*Source!I206, 2), 2)</f>
        <v>0</v>
      </c>
      <c r="R226">
        <f>Source!X206</f>
        <v>0</v>
      </c>
      <c r="S226">
        <f>ROUND((Source!DO206/100)*ROUND((Source!AF206*Source!AV206)*Source!I206, 2), 2)</f>
        <v>0</v>
      </c>
      <c r="T226">
        <f>Source!Y206</f>
        <v>0</v>
      </c>
      <c r="U226">
        <f>ROUND((175/100)*ROUND((Source!AE206*Source!AV206)*Source!I206, 2), 2)</f>
        <v>0</v>
      </c>
      <c r="V226">
        <f>ROUND((168/100)*ROUND(Source!CS206*Source!I206, 2), 2)</f>
        <v>0</v>
      </c>
      <c r="X226">
        <f>IF(Source!BI206&lt;=1,I226, 0)</f>
        <v>2707.26</v>
      </c>
      <c r="Y226">
        <f>IF(Source!BI206=2,I226, 0)</f>
        <v>0</v>
      </c>
      <c r="Z226">
        <f>IF(Source!BI206=3,I226, 0)</f>
        <v>0</v>
      </c>
      <c r="AA226">
        <f>IF(Source!BI206=4,I226, 0)</f>
        <v>0</v>
      </c>
    </row>
    <row r="227" spans="1:27" ht="14.25" x14ac:dyDescent="0.2">
      <c r="A227" s="23"/>
      <c r="B227" s="24"/>
      <c r="C227" s="24" t="s">
        <v>893</v>
      </c>
      <c r="D227" s="25" t="s">
        <v>894</v>
      </c>
      <c r="E227" s="12">
        <f>Source!DN200</f>
        <v>91</v>
      </c>
      <c r="F227" s="27"/>
      <c r="G227" s="26"/>
      <c r="H227" s="12"/>
      <c r="I227" s="28">
        <f>SUM(Q219:Q226)</f>
        <v>80.33</v>
      </c>
      <c r="J227" s="12">
        <f>Source!BZ200</f>
        <v>73</v>
      </c>
      <c r="K227" s="28">
        <f>SUM(R219:R226)</f>
        <v>1314.47</v>
      </c>
    </row>
    <row r="228" spans="1:27" ht="14.25" x14ac:dyDescent="0.2">
      <c r="A228" s="23"/>
      <c r="B228" s="24"/>
      <c r="C228" s="24" t="s">
        <v>895</v>
      </c>
      <c r="D228" s="25" t="s">
        <v>894</v>
      </c>
      <c r="E228" s="12">
        <f>Source!DO200</f>
        <v>70</v>
      </c>
      <c r="F228" s="27"/>
      <c r="G228" s="26"/>
      <c r="H228" s="12"/>
      <c r="I228" s="28">
        <f>SUM(S219:S227)</f>
        <v>61.79</v>
      </c>
      <c r="J228" s="12">
        <f>Source!CA200</f>
        <v>41</v>
      </c>
      <c r="K228" s="28">
        <f>SUM(T219:T227)</f>
        <v>738.26</v>
      </c>
    </row>
    <row r="229" spans="1:27" ht="14.25" x14ac:dyDescent="0.2">
      <c r="A229" s="23"/>
      <c r="B229" s="24"/>
      <c r="C229" s="24" t="s">
        <v>896</v>
      </c>
      <c r="D229" s="25" t="s">
        <v>894</v>
      </c>
      <c r="E229" s="12">
        <f>175</f>
        <v>175</v>
      </c>
      <c r="F229" s="27"/>
      <c r="G229" s="26"/>
      <c r="H229" s="12"/>
      <c r="I229" s="28">
        <f>SUM(U219:U228)</f>
        <v>6.28</v>
      </c>
      <c r="J229" s="12">
        <f>168</f>
        <v>168</v>
      </c>
      <c r="K229" s="28">
        <f>SUM(V219:V228)</f>
        <v>123.19</v>
      </c>
    </row>
    <row r="230" spans="1:27" ht="14.25" x14ac:dyDescent="0.2">
      <c r="A230" s="23"/>
      <c r="B230" s="24"/>
      <c r="C230" s="24" t="s">
        <v>897</v>
      </c>
      <c r="D230" s="25" t="s">
        <v>898</v>
      </c>
      <c r="E230" s="12">
        <f>Source!AQ200</f>
        <v>41.5</v>
      </c>
      <c r="F230" s="27"/>
      <c r="G230" s="26" t="str">
        <f>Source!DI200</f>
        <v>)*1,15</v>
      </c>
      <c r="H230" s="12">
        <f>Source!AV200</f>
        <v>1</v>
      </c>
      <c r="I230" s="28">
        <f>Source!U200</f>
        <v>7.1587499999999986</v>
      </c>
      <c r="J230" s="12"/>
      <c r="K230" s="28"/>
    </row>
    <row r="231" spans="1:27" ht="15" x14ac:dyDescent="0.25">
      <c r="A231" s="33"/>
      <c r="B231" s="33"/>
      <c r="C231" s="33"/>
      <c r="D231" s="33"/>
      <c r="E231" s="33"/>
      <c r="F231" s="33"/>
      <c r="G231" s="33"/>
      <c r="H231" s="59">
        <f>I221+I222+I227+I228+I229+SUM(I224:I226)</f>
        <v>10855</v>
      </c>
      <c r="I231" s="59"/>
      <c r="J231" s="59">
        <f>K221+K222+K227+K228+K229+SUM(K224:K226)</f>
        <v>59605.509999999995</v>
      </c>
      <c r="K231" s="59"/>
      <c r="O231" s="32">
        <f>I221+I222+I227+I228+I229+SUM(I224:I226)</f>
        <v>10855</v>
      </c>
      <c r="P231" s="32">
        <f>K221+K222+K227+K228+K229+SUM(K224:K226)</f>
        <v>59605.509999999995</v>
      </c>
      <c r="X231">
        <f>IF(Source!BI200&lt;=1,I221+I222+I227+I228+I229-0, 0)</f>
        <v>251.88</v>
      </c>
      <c r="Y231">
        <f>IF(Source!BI200=2,I221+I222+I227+I228+I229-0, 0)</f>
        <v>0</v>
      </c>
      <c r="Z231">
        <f>IF(Source!BI200=3,I221+I222+I227+I228+I229-0, 0)</f>
        <v>0</v>
      </c>
      <c r="AA231">
        <f>IF(Source!BI200=4,I221+I222+I227+I228+I229,0)</f>
        <v>0</v>
      </c>
    </row>
    <row r="232" spans="1:27" ht="85.5" x14ac:dyDescent="0.2">
      <c r="A232" s="23" t="str">
        <f>Source!E208</f>
        <v>19</v>
      </c>
      <c r="B232" s="24" t="str">
        <f>Source!F208</f>
        <v>3.15-57-1</v>
      </c>
      <c r="C232" s="24" t="str">
        <f>Source!G208</f>
        <v>Штукатурка поверхностей оконных и дверных откосов по бетону и камню плоских 5,4*0,15=0,81м2+1,24*0,4=5,3м2</v>
      </c>
      <c r="D232" s="25" t="str">
        <f>Source!H208</f>
        <v>100 м2 оштукатуриваемой поверхности</v>
      </c>
      <c r="E232" s="12">
        <f>Source!I208</f>
        <v>6.0999999999999999E-2</v>
      </c>
      <c r="F232" s="27"/>
      <c r="G232" s="26"/>
      <c r="H232" s="12"/>
      <c r="I232" s="28"/>
      <c r="J232" s="12"/>
      <c r="K232" s="28"/>
      <c r="Q232">
        <f>ROUND((Source!DN208/100)*ROUND((Source!AF208*Source!AV208)*Source!I208, 2), 2)</f>
        <v>156.84</v>
      </c>
      <c r="R232">
        <f>Source!X208</f>
        <v>2591.5500000000002</v>
      </c>
      <c r="S232">
        <f>ROUND((Source!DO208/100)*ROUND((Source!AF208*Source!AV208)*Source!I208, 2), 2)</f>
        <v>100.38</v>
      </c>
      <c r="T232">
        <f>Source!Y208</f>
        <v>1311.77</v>
      </c>
      <c r="U232">
        <f>ROUND((175/100)*ROUND((Source!AE208*Source!AV208)*Source!I208, 2), 2)</f>
        <v>2.75</v>
      </c>
      <c r="V232">
        <f>ROUND((168/100)*ROUND(Source!CS208*Source!I208, 2), 2)</f>
        <v>53.78</v>
      </c>
    </row>
    <row r="233" spans="1:27" x14ac:dyDescent="0.2">
      <c r="C233" s="29" t="str">
        <f>"Объем: "&amp;Source!I208&amp;"=6,1/"&amp;"100"</f>
        <v>Объем: 0,061=6,1/100</v>
      </c>
    </row>
    <row r="234" spans="1:27" ht="14.25" x14ac:dyDescent="0.2">
      <c r="A234" s="23"/>
      <c r="B234" s="24"/>
      <c r="C234" s="24" t="s">
        <v>890</v>
      </c>
      <c r="D234" s="25"/>
      <c r="E234" s="12"/>
      <c r="F234" s="27">
        <f>Source!AO208</f>
        <v>2235.71</v>
      </c>
      <c r="G234" s="26" t="str">
        <f>Source!DG208</f>
        <v>)*1,15</v>
      </c>
      <c r="H234" s="12">
        <f>Source!AV208</f>
        <v>1</v>
      </c>
      <c r="I234" s="28">
        <f>ROUND((Source!AF208*Source!AV208)*Source!I208, 2)</f>
        <v>156.84</v>
      </c>
      <c r="J234" s="12">
        <f>IF(Source!BA208&lt;&gt; 0, Source!BA208, 1)</f>
        <v>20.399999999999999</v>
      </c>
      <c r="K234" s="28">
        <f>Source!S208</f>
        <v>3199.44</v>
      </c>
      <c r="W234">
        <f>I234</f>
        <v>156.84</v>
      </c>
    </row>
    <row r="235" spans="1:27" ht="14.25" x14ac:dyDescent="0.2">
      <c r="A235" s="23"/>
      <c r="B235" s="24"/>
      <c r="C235" s="24" t="s">
        <v>891</v>
      </c>
      <c r="D235" s="25"/>
      <c r="E235" s="12"/>
      <c r="F235" s="27">
        <f>Source!AM208</f>
        <v>87.09</v>
      </c>
      <c r="G235" s="26" t="str">
        <f>Source!DE208</f>
        <v>)*1,25</v>
      </c>
      <c r="H235" s="12">
        <f>Source!AV208</f>
        <v>1</v>
      </c>
      <c r="I235" s="28">
        <f>ROUND((Source!AD208*Source!AV208)*Source!I208, 2)</f>
        <v>6.64</v>
      </c>
      <c r="J235" s="12">
        <f>IF(Source!BB208&lt;&gt; 0, Source!BB208, 1)</f>
        <v>8.9499999999999993</v>
      </c>
      <c r="K235" s="28">
        <f>Source!Q208</f>
        <v>59.43</v>
      </c>
    </row>
    <row r="236" spans="1:27" ht="14.25" x14ac:dyDescent="0.2">
      <c r="A236" s="23"/>
      <c r="B236" s="24"/>
      <c r="C236" s="24" t="s">
        <v>892</v>
      </c>
      <c r="D236" s="25"/>
      <c r="E236" s="12"/>
      <c r="F236" s="27">
        <f>Source!AN208</f>
        <v>20.58</v>
      </c>
      <c r="G236" s="26" t="str">
        <f>Source!DF208</f>
        <v>)*1,25</v>
      </c>
      <c r="H236" s="12">
        <f>Source!AV208</f>
        <v>1</v>
      </c>
      <c r="I236" s="30">
        <f>ROUND((Source!AE208*Source!AV208)*Source!I208, 2)</f>
        <v>1.57</v>
      </c>
      <c r="J236" s="12">
        <f>IF(Source!BS208&lt;&gt; 0, Source!BS208, 1)</f>
        <v>20.399999999999999</v>
      </c>
      <c r="K236" s="30">
        <f>Source!R208</f>
        <v>32.01</v>
      </c>
      <c r="W236">
        <f>I236</f>
        <v>1.57</v>
      </c>
    </row>
    <row r="237" spans="1:27" ht="14.25" x14ac:dyDescent="0.2">
      <c r="A237" s="23"/>
      <c r="B237" s="24"/>
      <c r="C237" s="24" t="s">
        <v>899</v>
      </c>
      <c r="D237" s="25"/>
      <c r="E237" s="12"/>
      <c r="F237" s="27">
        <f>Source!AL208</f>
        <v>0.71</v>
      </c>
      <c r="G237" s="26" t="str">
        <f>Source!DD208</f>
        <v/>
      </c>
      <c r="H237" s="12">
        <f>Source!AW208</f>
        <v>1</v>
      </c>
      <c r="I237" s="28">
        <f>ROUND((Source!AC208*Source!AW208)*Source!I208, 2)</f>
        <v>0.04</v>
      </c>
      <c r="J237" s="12">
        <f>IF(Source!BC208&lt;&gt; 0, Source!BC208, 1)</f>
        <v>5.23</v>
      </c>
      <c r="K237" s="28">
        <f>Source!P208</f>
        <v>0.23</v>
      </c>
    </row>
    <row r="238" spans="1:27" ht="14.25" x14ac:dyDescent="0.2">
      <c r="A238" s="23" t="str">
        <f>Source!E210</f>
        <v>19,1</v>
      </c>
      <c r="B238" s="24" t="str">
        <f>Source!F210</f>
        <v>1.1-1-118</v>
      </c>
      <c r="C238" s="24" t="str">
        <f>Source!G210</f>
        <v>Вода</v>
      </c>
      <c r="D238" s="25" t="str">
        <f>Source!H210</f>
        <v>м3</v>
      </c>
      <c r="E238" s="12">
        <f>Source!I210</f>
        <v>1.503E-2</v>
      </c>
      <c r="F238" s="27">
        <f>Source!AK210</f>
        <v>7.07</v>
      </c>
      <c r="G238" s="31" t="s">
        <v>3</v>
      </c>
      <c r="H238" s="12">
        <f>Source!AW210</f>
        <v>1</v>
      </c>
      <c r="I238" s="28">
        <f>ROUND((Source!AC210*Source!AW210)*Source!I210, 2)+ROUND((Source!AD210*Source!AV210)*Source!I210, 2)+ROUND((Source!AF210*Source!AV210)*Source!I210, 2)</f>
        <v>0.11</v>
      </c>
      <c r="J238" s="12">
        <f>IF(Source!BC210&lt;&gt; 0, Source!BC210, 1)</f>
        <v>4.24</v>
      </c>
      <c r="K238" s="28">
        <f>Source!O210</f>
        <v>0.45</v>
      </c>
      <c r="Q238">
        <f>ROUND((Source!DN210/100)*ROUND((Source!AF210*Source!AV210)*Source!I210, 2), 2)</f>
        <v>0</v>
      </c>
      <c r="R238">
        <f>Source!X210</f>
        <v>0</v>
      </c>
      <c r="S238">
        <f>ROUND((Source!DO210/100)*ROUND((Source!AF210*Source!AV210)*Source!I210, 2), 2)</f>
        <v>0</v>
      </c>
      <c r="T238">
        <f>Source!Y210</f>
        <v>0</v>
      </c>
      <c r="U238">
        <f>ROUND((175/100)*ROUND((Source!AE210*Source!AV210)*Source!I210, 2), 2)</f>
        <v>0</v>
      </c>
      <c r="V238">
        <f>ROUND((168/100)*ROUND(Source!CS210*Source!I210, 2), 2)</f>
        <v>0</v>
      </c>
      <c r="X238">
        <f>IF(Source!BI210&lt;=1,I238, 0)</f>
        <v>0.11</v>
      </c>
      <c r="Y238">
        <f>IF(Source!BI210=2,I238, 0)</f>
        <v>0</v>
      </c>
      <c r="Z238">
        <f>IF(Source!BI210=3,I238, 0)</f>
        <v>0</v>
      </c>
      <c r="AA238">
        <f>IF(Source!BI210=4,I238, 0)</f>
        <v>0</v>
      </c>
    </row>
    <row r="239" spans="1:27" ht="85.5" x14ac:dyDescent="0.2">
      <c r="A239" s="23" t="str">
        <f>Source!E212</f>
        <v>19,2</v>
      </c>
      <c r="B239" s="24" t="str">
        <f>Source!F212</f>
        <v>1.3-2-26</v>
      </c>
      <c r="C239" s="24" t="str">
        <f>Source!G212</f>
        <v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v>
      </c>
      <c r="D239" s="25" t="str">
        <f>Source!H212</f>
        <v>т</v>
      </c>
      <c r="E239" s="12">
        <f>Source!I212</f>
        <v>8.5888000000000006E-2</v>
      </c>
      <c r="F239" s="27">
        <f>Source!AK212</f>
        <v>1823.55</v>
      </c>
      <c r="G239" s="31" t="s">
        <v>3</v>
      </c>
      <c r="H239" s="12">
        <f>Source!AW212</f>
        <v>1</v>
      </c>
      <c r="I239" s="28">
        <f>ROUND((Source!AC212*Source!AW212)*Source!I212, 2)+ROUND((Source!AD212*Source!AV212)*Source!I212, 2)+ROUND((Source!AF212*Source!AV212)*Source!I212, 2)</f>
        <v>156.62</v>
      </c>
      <c r="J239" s="12">
        <f>IF(Source!BC212&lt;&gt; 0, Source!BC212, 1)</f>
        <v>2.42</v>
      </c>
      <c r="K239" s="28">
        <f>Source!O212</f>
        <v>379.02</v>
      </c>
      <c r="Q239">
        <f>ROUND((Source!DN212/100)*ROUND((Source!AF212*Source!AV212)*Source!I212, 2), 2)</f>
        <v>0</v>
      </c>
      <c r="R239">
        <f>Source!X212</f>
        <v>0</v>
      </c>
      <c r="S239">
        <f>ROUND((Source!DO212/100)*ROUND((Source!AF212*Source!AV212)*Source!I212, 2), 2)</f>
        <v>0</v>
      </c>
      <c r="T239">
        <f>Source!Y212</f>
        <v>0</v>
      </c>
      <c r="U239">
        <f>ROUND((175/100)*ROUND((Source!AE212*Source!AV212)*Source!I212, 2), 2)</f>
        <v>0</v>
      </c>
      <c r="V239">
        <f>ROUND((168/100)*ROUND(Source!CS212*Source!I212, 2), 2)</f>
        <v>0</v>
      </c>
      <c r="X239">
        <f>IF(Source!BI212&lt;=1,I239, 0)</f>
        <v>156.62</v>
      </c>
      <c r="Y239">
        <f>IF(Source!BI212=2,I239, 0)</f>
        <v>0</v>
      </c>
      <c r="Z239">
        <f>IF(Source!BI212=3,I239, 0)</f>
        <v>0</v>
      </c>
      <c r="AA239">
        <f>IF(Source!BI212=4,I239, 0)</f>
        <v>0</v>
      </c>
    </row>
    <row r="240" spans="1:27" ht="28.5" x14ac:dyDescent="0.2">
      <c r="A240" s="23" t="str">
        <f>Source!E214</f>
        <v>19,3</v>
      </c>
      <c r="B240" s="24" t="str">
        <f>Source!F214</f>
        <v>1.3-2-11</v>
      </c>
      <c r="C240" s="24" t="str">
        <f>Source!G214</f>
        <v>Растворы цементно-известковые, марка 25</v>
      </c>
      <c r="D240" s="25" t="str">
        <f>Source!H214</f>
        <v>м3</v>
      </c>
      <c r="E240" s="12">
        <f>Source!I214</f>
        <v>0.20984</v>
      </c>
      <c r="F240" s="27">
        <f>Source!AK214</f>
        <v>441.1</v>
      </c>
      <c r="G240" s="31" t="s">
        <v>3</v>
      </c>
      <c r="H240" s="12">
        <f>Source!AW214</f>
        <v>1</v>
      </c>
      <c r="I240" s="28">
        <f>ROUND((Source!AC214*Source!AW214)*Source!I214, 2)+ROUND((Source!AD214*Source!AV214)*Source!I214, 2)+ROUND((Source!AF214*Source!AV214)*Source!I214, 2)</f>
        <v>92.56</v>
      </c>
      <c r="J240" s="12">
        <f>IF(Source!BC214&lt;&gt; 0, Source!BC214, 1)</f>
        <v>6.61</v>
      </c>
      <c r="K240" s="28">
        <f>Source!O214</f>
        <v>611.82000000000005</v>
      </c>
      <c r="Q240">
        <f>ROUND((Source!DN214/100)*ROUND((Source!AF214*Source!AV214)*Source!I214, 2), 2)</f>
        <v>0</v>
      </c>
      <c r="R240">
        <f>Source!X214</f>
        <v>0</v>
      </c>
      <c r="S240">
        <f>ROUND((Source!DO214/100)*ROUND((Source!AF214*Source!AV214)*Source!I214, 2), 2)</f>
        <v>0</v>
      </c>
      <c r="T240">
        <f>Source!Y214</f>
        <v>0</v>
      </c>
      <c r="U240">
        <f>ROUND((175/100)*ROUND((Source!AE214*Source!AV214)*Source!I214, 2), 2)</f>
        <v>0</v>
      </c>
      <c r="V240">
        <f>ROUND((168/100)*ROUND(Source!CS214*Source!I214, 2), 2)</f>
        <v>0</v>
      </c>
      <c r="X240">
        <f>IF(Source!BI214&lt;=1,I240, 0)</f>
        <v>92.56</v>
      </c>
      <c r="Y240">
        <f>IF(Source!BI214=2,I240, 0)</f>
        <v>0</v>
      </c>
      <c r="Z240">
        <f>IF(Source!BI214=3,I240, 0)</f>
        <v>0</v>
      </c>
      <c r="AA240">
        <f>IF(Source!BI214=4,I240, 0)</f>
        <v>0</v>
      </c>
    </row>
    <row r="241" spans="1:27" ht="14.25" x14ac:dyDescent="0.2">
      <c r="A241" s="23"/>
      <c r="B241" s="24"/>
      <c r="C241" s="24" t="s">
        <v>893</v>
      </c>
      <c r="D241" s="25" t="s">
        <v>894</v>
      </c>
      <c r="E241" s="12">
        <f>Source!DN208</f>
        <v>100</v>
      </c>
      <c r="F241" s="27"/>
      <c r="G241" s="26"/>
      <c r="H241" s="12"/>
      <c r="I241" s="28">
        <f>SUM(Q232:Q240)</f>
        <v>156.84</v>
      </c>
      <c r="J241" s="12">
        <f>Source!BZ208</f>
        <v>81</v>
      </c>
      <c r="K241" s="28">
        <f>SUM(R232:R240)</f>
        <v>2591.5500000000002</v>
      </c>
    </row>
    <row r="242" spans="1:27" ht="14.25" x14ac:dyDescent="0.2">
      <c r="A242" s="23"/>
      <c r="B242" s="24"/>
      <c r="C242" s="24" t="s">
        <v>895</v>
      </c>
      <c r="D242" s="25" t="s">
        <v>894</v>
      </c>
      <c r="E242" s="12">
        <f>Source!DO208</f>
        <v>64</v>
      </c>
      <c r="F242" s="27"/>
      <c r="G242" s="26"/>
      <c r="H242" s="12"/>
      <c r="I242" s="28">
        <f>SUM(S232:S241)</f>
        <v>100.38</v>
      </c>
      <c r="J242" s="12">
        <f>Source!CA208</f>
        <v>41</v>
      </c>
      <c r="K242" s="28">
        <f>SUM(T232:T241)</f>
        <v>1311.77</v>
      </c>
    </row>
    <row r="243" spans="1:27" ht="14.25" x14ac:dyDescent="0.2">
      <c r="A243" s="23"/>
      <c r="B243" s="24"/>
      <c r="C243" s="24" t="s">
        <v>896</v>
      </c>
      <c r="D243" s="25" t="s">
        <v>894</v>
      </c>
      <c r="E243" s="12">
        <f>175</f>
        <v>175</v>
      </c>
      <c r="F243" s="27"/>
      <c r="G243" s="26"/>
      <c r="H243" s="12"/>
      <c r="I243" s="28">
        <f>SUM(U232:U242)</f>
        <v>2.75</v>
      </c>
      <c r="J243" s="12">
        <f>168</f>
        <v>168</v>
      </c>
      <c r="K243" s="28">
        <f>SUM(V232:V242)</f>
        <v>53.78</v>
      </c>
    </row>
    <row r="244" spans="1:27" ht="14.25" x14ac:dyDescent="0.2">
      <c r="A244" s="23"/>
      <c r="B244" s="24"/>
      <c r="C244" s="24" t="s">
        <v>897</v>
      </c>
      <c r="D244" s="25" t="s">
        <v>898</v>
      </c>
      <c r="E244" s="12">
        <f>Source!AQ208</f>
        <v>179</v>
      </c>
      <c r="F244" s="27"/>
      <c r="G244" s="26" t="str">
        <f>Source!DI208</f>
        <v>)*1,15</v>
      </c>
      <c r="H244" s="12">
        <f>Source!AV208</f>
        <v>1</v>
      </c>
      <c r="I244" s="28">
        <f>Source!U208</f>
        <v>12.556849999999999</v>
      </c>
      <c r="J244" s="12"/>
      <c r="K244" s="28"/>
    </row>
    <row r="245" spans="1:27" ht="15" x14ac:dyDescent="0.25">
      <c r="A245" s="33"/>
      <c r="B245" s="33"/>
      <c r="C245" s="33"/>
      <c r="D245" s="33"/>
      <c r="E245" s="33"/>
      <c r="F245" s="33"/>
      <c r="G245" s="33"/>
      <c r="H245" s="59">
        <f>I234+I235+I237+I241+I242+I243+SUM(I238:I240)</f>
        <v>672.78</v>
      </c>
      <c r="I245" s="59"/>
      <c r="J245" s="59">
        <f>K234+K235+K237+K241+K242+K243+SUM(K238:K240)</f>
        <v>8207.49</v>
      </c>
      <c r="K245" s="59"/>
      <c r="O245" s="32">
        <f>I234+I235+I237+I241+I242+I243+SUM(I238:I240)</f>
        <v>672.78</v>
      </c>
      <c r="P245" s="32">
        <f>K234+K235+K237+K241+K242+K243+SUM(K238:K240)</f>
        <v>8207.49</v>
      </c>
      <c r="X245">
        <f>IF(Source!BI208&lt;=1,I234+I235+I237+I241+I242+I243-0, 0)</f>
        <v>423.49</v>
      </c>
      <c r="Y245">
        <f>IF(Source!BI208=2,I234+I235+I237+I241+I242+I243-0, 0)</f>
        <v>0</v>
      </c>
      <c r="Z245">
        <f>IF(Source!BI208=3,I234+I235+I237+I241+I242+I243-0, 0)</f>
        <v>0</v>
      </c>
      <c r="AA245">
        <f>IF(Source!BI208=4,I234+I235+I237+I241+I242+I243,0)</f>
        <v>0</v>
      </c>
    </row>
    <row r="246" spans="1:27" ht="71.25" x14ac:dyDescent="0.2">
      <c r="A246" s="23" t="str">
        <f>Source!E216</f>
        <v>20</v>
      </c>
      <c r="B246" s="24" t="str">
        <f>Source!F216</f>
        <v>3.15-96-3</v>
      </c>
      <c r="C246" s="24" t="str">
        <f>Source!G216</f>
        <v>Улучшенная окраска поливинилацетатными водоэмульсионными составами по штукатурке стен</v>
      </c>
      <c r="D246" s="25" t="str">
        <f>Source!H216</f>
        <v>100 м2 окрашиваемой поверхности</v>
      </c>
      <c r="E246" s="12">
        <f>Source!I216</f>
        <v>6.0999999999999999E-2</v>
      </c>
      <c r="F246" s="27"/>
      <c r="G246" s="26"/>
      <c r="H246" s="12"/>
      <c r="I246" s="28"/>
      <c r="J246" s="12"/>
      <c r="K246" s="28"/>
      <c r="Q246">
        <f>ROUND((Source!DN216/100)*ROUND((Source!AF216*Source!AV216)*Source!I216, 2), 2)</f>
        <v>32.17</v>
      </c>
      <c r="R246">
        <f>Source!X216</f>
        <v>531.64</v>
      </c>
      <c r="S246">
        <f>ROUND((Source!DO216/100)*ROUND((Source!AF216*Source!AV216)*Source!I216, 2), 2)</f>
        <v>20.59</v>
      </c>
      <c r="T246">
        <f>Source!Y216</f>
        <v>269.10000000000002</v>
      </c>
      <c r="U246">
        <f>ROUND((175/100)*ROUND((Source!AE216*Source!AV216)*Source!I216, 2), 2)</f>
        <v>0.91</v>
      </c>
      <c r="V246">
        <f>ROUND((168/100)*ROUND(Source!CS216*Source!I216, 2), 2)</f>
        <v>17.93</v>
      </c>
    </row>
    <row r="247" spans="1:27" x14ac:dyDescent="0.2">
      <c r="C247" s="29" t="str">
        <f>"Объем: "&amp;Source!I216&amp;"=6,1/"&amp;"100"</f>
        <v>Объем: 0,061=6,1/100</v>
      </c>
    </row>
    <row r="248" spans="1:27" ht="14.25" x14ac:dyDescent="0.2">
      <c r="A248" s="23"/>
      <c r="B248" s="24"/>
      <c r="C248" s="24" t="s">
        <v>890</v>
      </c>
      <c r="D248" s="25"/>
      <c r="E248" s="12"/>
      <c r="F248" s="27">
        <f>Source!AO216</f>
        <v>458.64</v>
      </c>
      <c r="G248" s="26" t="str">
        <f>Source!DG216</f>
        <v>)*1,15</v>
      </c>
      <c r="H248" s="12">
        <f>Source!AV216</f>
        <v>1</v>
      </c>
      <c r="I248" s="28">
        <f>ROUND((Source!AF216*Source!AV216)*Source!I216, 2)</f>
        <v>32.17</v>
      </c>
      <c r="J248" s="12">
        <f>IF(Source!BA216&lt;&gt; 0, Source!BA216, 1)</f>
        <v>20.399999999999999</v>
      </c>
      <c r="K248" s="28">
        <f>Source!S216</f>
        <v>656.34</v>
      </c>
      <c r="W248">
        <f>I248</f>
        <v>32.17</v>
      </c>
    </row>
    <row r="249" spans="1:27" ht="14.25" x14ac:dyDescent="0.2">
      <c r="A249" s="23"/>
      <c r="B249" s="24"/>
      <c r="C249" s="24" t="s">
        <v>891</v>
      </c>
      <c r="D249" s="25"/>
      <c r="E249" s="12"/>
      <c r="F249" s="27">
        <f>Source!AM216</f>
        <v>29.03</v>
      </c>
      <c r="G249" s="26" t="str">
        <f>Source!DE216</f>
        <v>)*1,25</v>
      </c>
      <c r="H249" s="12">
        <f>Source!AV216</f>
        <v>1</v>
      </c>
      <c r="I249" s="28">
        <f>ROUND((Source!AD216*Source!AV216)*Source!I216, 2)</f>
        <v>2.21</v>
      </c>
      <c r="J249" s="12">
        <f>IF(Source!BB216&lt;&gt; 0, Source!BB216, 1)</f>
        <v>8.9499999999999993</v>
      </c>
      <c r="K249" s="28">
        <f>Source!Q216</f>
        <v>19.809999999999999</v>
      </c>
    </row>
    <row r="250" spans="1:27" ht="14.25" x14ac:dyDescent="0.2">
      <c r="A250" s="23"/>
      <c r="B250" s="24"/>
      <c r="C250" s="24" t="s">
        <v>892</v>
      </c>
      <c r="D250" s="25"/>
      <c r="E250" s="12"/>
      <c r="F250" s="27">
        <f>Source!AN216</f>
        <v>6.86</v>
      </c>
      <c r="G250" s="26" t="str">
        <f>Source!DF216</f>
        <v>)*1,25</v>
      </c>
      <c r="H250" s="12">
        <f>Source!AV216</f>
        <v>1</v>
      </c>
      <c r="I250" s="30">
        <f>ROUND((Source!AE216*Source!AV216)*Source!I216, 2)</f>
        <v>0.52</v>
      </c>
      <c r="J250" s="12">
        <f>IF(Source!BS216&lt;&gt; 0, Source!BS216, 1)</f>
        <v>20.399999999999999</v>
      </c>
      <c r="K250" s="30">
        <f>Source!R216</f>
        <v>10.67</v>
      </c>
      <c r="W250">
        <f>I250</f>
        <v>0.52</v>
      </c>
    </row>
    <row r="251" spans="1:27" ht="14.25" x14ac:dyDescent="0.2">
      <c r="A251" s="23"/>
      <c r="B251" s="24"/>
      <c r="C251" s="24" t="s">
        <v>899</v>
      </c>
      <c r="D251" s="25"/>
      <c r="E251" s="12"/>
      <c r="F251" s="27">
        <f>Source!AL216</f>
        <v>6.09</v>
      </c>
      <c r="G251" s="26" t="str">
        <f>Source!DD216</f>
        <v/>
      </c>
      <c r="H251" s="12">
        <f>Source!AW216</f>
        <v>1</v>
      </c>
      <c r="I251" s="28">
        <f>ROUND((Source!AC216*Source!AW216)*Source!I216, 2)</f>
        <v>0.37</v>
      </c>
      <c r="J251" s="12">
        <f>IF(Source!BC216&lt;&gt; 0, Source!BC216, 1)</f>
        <v>5.23</v>
      </c>
      <c r="K251" s="28">
        <f>Source!P216</f>
        <v>1.94</v>
      </c>
    </row>
    <row r="252" spans="1:27" ht="28.5" x14ac:dyDescent="0.2">
      <c r="A252" s="23" t="str">
        <f>Source!E218</f>
        <v>20,1</v>
      </c>
      <c r="B252" s="24" t="str">
        <f>Source!F218</f>
        <v>1.1-1-1487</v>
      </c>
      <c r="C252" s="24" t="str">
        <f>Source!G218</f>
        <v>Шпатлевка масляно-клеевая универсальная</v>
      </c>
      <c r="D252" s="25" t="str">
        <f>Source!H218</f>
        <v>т</v>
      </c>
      <c r="E252" s="12">
        <f>Source!I218</f>
        <v>3.1110000000000001E-3</v>
      </c>
      <c r="F252" s="27">
        <f>Source!AK218</f>
        <v>2278.84</v>
      </c>
      <c r="G252" s="31" t="s">
        <v>3</v>
      </c>
      <c r="H252" s="12">
        <f>Source!AW218</f>
        <v>1</v>
      </c>
      <c r="I252" s="28">
        <f>ROUND((Source!AC218*Source!AW218)*Source!I218, 2)+ROUND((Source!AD218*Source!AV218)*Source!I218, 2)+ROUND((Source!AF218*Source!AV218)*Source!I218, 2)</f>
        <v>7.09</v>
      </c>
      <c r="J252" s="12">
        <f>IF(Source!BC218&lt;&gt; 0, Source!BC218, 1)</f>
        <v>6.28</v>
      </c>
      <c r="K252" s="28">
        <f>Source!O218</f>
        <v>44.52</v>
      </c>
      <c r="Q252">
        <f>ROUND((Source!DN218/100)*ROUND((Source!AF218*Source!AV218)*Source!I218, 2), 2)</f>
        <v>0</v>
      </c>
      <c r="R252">
        <f>Source!X218</f>
        <v>0</v>
      </c>
      <c r="S252">
        <f>ROUND((Source!DO218/100)*ROUND((Source!AF218*Source!AV218)*Source!I218, 2), 2)</f>
        <v>0</v>
      </c>
      <c r="T252">
        <f>Source!Y218</f>
        <v>0</v>
      </c>
      <c r="U252">
        <f>ROUND((175/100)*ROUND((Source!AE218*Source!AV218)*Source!I218, 2), 2)</f>
        <v>0</v>
      </c>
      <c r="V252">
        <f>ROUND((168/100)*ROUND(Source!CS218*Source!I218, 2), 2)</f>
        <v>0</v>
      </c>
      <c r="X252">
        <f>IF(Source!BI218&lt;=1,I252, 0)</f>
        <v>7.09</v>
      </c>
      <c r="Y252">
        <f>IF(Source!BI218=2,I252, 0)</f>
        <v>0</v>
      </c>
      <c r="Z252">
        <f>IF(Source!BI218=3,I252, 0)</f>
        <v>0</v>
      </c>
      <c r="AA252">
        <f>IF(Source!BI218=4,I252, 0)</f>
        <v>0</v>
      </c>
    </row>
    <row r="253" spans="1:27" ht="42.75" x14ac:dyDescent="0.2">
      <c r="A253" s="23" t="str">
        <f>Source!E220</f>
        <v>20,2</v>
      </c>
      <c r="B253" s="24" t="str">
        <f>Source!F220</f>
        <v>1.1-1-438</v>
      </c>
      <c r="C253" s="24" t="str">
        <f>Source!G220</f>
        <v>Краски водно-дисперсионные поливинилацетатные, белые, марка ВД-ВА-17</v>
      </c>
      <c r="D253" s="25" t="str">
        <f>Source!H220</f>
        <v>т</v>
      </c>
      <c r="E253" s="12">
        <f>Source!I220</f>
        <v>3.8430000000000001E-3</v>
      </c>
      <c r="F253" s="27">
        <f>Source!AK220</f>
        <v>22652.13</v>
      </c>
      <c r="G253" s="31" t="s">
        <v>3</v>
      </c>
      <c r="H253" s="12">
        <f>Source!AW220</f>
        <v>1</v>
      </c>
      <c r="I253" s="28">
        <f>ROUND((Source!AC220*Source!AW220)*Source!I220, 2)+ROUND((Source!AD220*Source!AV220)*Source!I220, 2)+ROUND((Source!AF220*Source!AV220)*Source!I220, 2)</f>
        <v>87.05</v>
      </c>
      <c r="J253" s="12">
        <f>IF(Source!BC220&lt;&gt; 0, Source!BC220, 1)</f>
        <v>1.86</v>
      </c>
      <c r="K253" s="28">
        <f>Source!O220</f>
        <v>161.91999999999999</v>
      </c>
      <c r="Q253">
        <f>ROUND((Source!DN220/100)*ROUND((Source!AF220*Source!AV220)*Source!I220, 2), 2)</f>
        <v>0</v>
      </c>
      <c r="R253">
        <f>Source!X220</f>
        <v>0</v>
      </c>
      <c r="S253">
        <f>ROUND((Source!DO220/100)*ROUND((Source!AF220*Source!AV220)*Source!I220, 2), 2)</f>
        <v>0</v>
      </c>
      <c r="T253">
        <f>Source!Y220</f>
        <v>0</v>
      </c>
      <c r="U253">
        <f>ROUND((175/100)*ROUND((Source!AE220*Source!AV220)*Source!I220, 2), 2)</f>
        <v>0</v>
      </c>
      <c r="V253">
        <f>ROUND((168/100)*ROUND(Source!CS220*Source!I220, 2), 2)</f>
        <v>0</v>
      </c>
      <c r="X253">
        <f>IF(Source!BI220&lt;=1,I253, 0)</f>
        <v>87.05</v>
      </c>
      <c r="Y253">
        <f>IF(Source!BI220=2,I253, 0)</f>
        <v>0</v>
      </c>
      <c r="Z253">
        <f>IF(Source!BI220=3,I253, 0)</f>
        <v>0</v>
      </c>
      <c r="AA253">
        <f>IF(Source!BI220=4,I253, 0)</f>
        <v>0</v>
      </c>
    </row>
    <row r="254" spans="1:27" ht="14.25" x14ac:dyDescent="0.2">
      <c r="A254" s="23"/>
      <c r="B254" s="24"/>
      <c r="C254" s="24" t="s">
        <v>893</v>
      </c>
      <c r="D254" s="25" t="s">
        <v>894</v>
      </c>
      <c r="E254" s="12">
        <f>Source!DN216</f>
        <v>100</v>
      </c>
      <c r="F254" s="27"/>
      <c r="G254" s="26"/>
      <c r="H254" s="12"/>
      <c r="I254" s="28">
        <f>SUM(Q246:Q253)</f>
        <v>32.17</v>
      </c>
      <c r="J254" s="12">
        <f>Source!BZ216</f>
        <v>81</v>
      </c>
      <c r="K254" s="28">
        <f>SUM(R246:R253)</f>
        <v>531.64</v>
      </c>
    </row>
    <row r="255" spans="1:27" ht="14.25" x14ac:dyDescent="0.2">
      <c r="A255" s="23"/>
      <c r="B255" s="24"/>
      <c r="C255" s="24" t="s">
        <v>895</v>
      </c>
      <c r="D255" s="25" t="s">
        <v>894</v>
      </c>
      <c r="E255" s="12">
        <f>Source!DO216</f>
        <v>64</v>
      </c>
      <c r="F255" s="27"/>
      <c r="G255" s="26"/>
      <c r="H255" s="12"/>
      <c r="I255" s="28">
        <f>SUM(S246:S254)</f>
        <v>20.59</v>
      </c>
      <c r="J255" s="12">
        <f>Source!CA216</f>
        <v>41</v>
      </c>
      <c r="K255" s="28">
        <f>SUM(T246:T254)</f>
        <v>269.10000000000002</v>
      </c>
    </row>
    <row r="256" spans="1:27" ht="14.25" x14ac:dyDescent="0.2">
      <c r="A256" s="23"/>
      <c r="B256" s="24"/>
      <c r="C256" s="24" t="s">
        <v>896</v>
      </c>
      <c r="D256" s="25" t="s">
        <v>894</v>
      </c>
      <c r="E256" s="12">
        <f>175</f>
        <v>175</v>
      </c>
      <c r="F256" s="27"/>
      <c r="G256" s="26"/>
      <c r="H256" s="12"/>
      <c r="I256" s="28">
        <f>SUM(U246:U255)</f>
        <v>0.91</v>
      </c>
      <c r="J256" s="12">
        <f>168</f>
        <v>168</v>
      </c>
      <c r="K256" s="28">
        <f>SUM(V246:V255)</f>
        <v>17.93</v>
      </c>
    </row>
    <row r="257" spans="1:27" ht="14.25" x14ac:dyDescent="0.2">
      <c r="A257" s="23"/>
      <c r="B257" s="24"/>
      <c r="C257" s="24" t="s">
        <v>897</v>
      </c>
      <c r="D257" s="25" t="s">
        <v>898</v>
      </c>
      <c r="E257" s="12">
        <f>Source!AQ216</f>
        <v>39</v>
      </c>
      <c r="F257" s="27"/>
      <c r="G257" s="26" t="str">
        <f>Source!DI216</f>
        <v>)*1,15</v>
      </c>
      <c r="H257" s="12">
        <f>Source!AV216</f>
        <v>1</v>
      </c>
      <c r="I257" s="28">
        <f>Source!U216</f>
        <v>2.7358499999999997</v>
      </c>
      <c r="J257" s="12"/>
      <c r="K257" s="28"/>
    </row>
    <row r="258" spans="1:27" ht="15" x14ac:dyDescent="0.25">
      <c r="A258" s="33"/>
      <c r="B258" s="33"/>
      <c r="C258" s="33"/>
      <c r="D258" s="33"/>
      <c r="E258" s="33"/>
      <c r="F258" s="33"/>
      <c r="G258" s="33"/>
      <c r="H258" s="59">
        <f>I248+I249+I251+I254+I255+I256+SUM(I252:I253)</f>
        <v>182.56</v>
      </c>
      <c r="I258" s="59"/>
      <c r="J258" s="59">
        <f>K248+K249+K251+K254+K255+K256+SUM(K252:K253)</f>
        <v>1703.2</v>
      </c>
      <c r="K258" s="59"/>
      <c r="O258" s="32">
        <f>I248+I249+I251+I254+I255+I256+SUM(I252:I253)</f>
        <v>182.56</v>
      </c>
      <c r="P258" s="32">
        <f>K248+K249+K251+K254+K255+K256+SUM(K252:K253)</f>
        <v>1703.2</v>
      </c>
      <c r="X258">
        <f>IF(Source!BI216&lt;=1,I248+I249+I251+I254+I255+I256-0, 0)</f>
        <v>88.42</v>
      </c>
      <c r="Y258">
        <f>IF(Source!BI216=2,I248+I249+I251+I254+I255+I256-0, 0)</f>
        <v>0</v>
      </c>
      <c r="Z258">
        <f>IF(Source!BI216=3,I248+I249+I251+I254+I255+I256-0, 0)</f>
        <v>0</v>
      </c>
      <c r="AA258">
        <f>IF(Source!BI216=4,I248+I249+I251+I254+I255+I256,0)</f>
        <v>0</v>
      </c>
    </row>
    <row r="259" spans="1:27" ht="42.75" x14ac:dyDescent="0.2">
      <c r="A259" s="23" t="str">
        <f>Source!E222</f>
        <v>21</v>
      </c>
      <c r="B259" s="24" t="str">
        <f>Source!F222</f>
        <v>3.9-36-1</v>
      </c>
      <c r="C259" s="24" t="str">
        <f>Source!G222</f>
        <v>Монтаж конструкций дверей и люков</v>
      </c>
      <c r="D259" s="25" t="str">
        <f>Source!H222</f>
        <v>1 т конструкций</v>
      </c>
      <c r="E259" s="12">
        <f>Source!I222</f>
        <v>0.1</v>
      </c>
      <c r="F259" s="27"/>
      <c r="G259" s="26"/>
      <c r="H259" s="12"/>
      <c r="I259" s="28"/>
      <c r="J259" s="12"/>
      <c r="K259" s="28"/>
      <c r="Q259">
        <f>ROUND((Source!DN222/100)*ROUND((Source!AF222*Source!AV222)*Source!I222, 2), 2)</f>
        <v>105.94</v>
      </c>
      <c r="R259">
        <f>Source!X222</f>
        <v>1728.84</v>
      </c>
      <c r="S259">
        <f>ROUND((Source!DO222/100)*ROUND((Source!AF222*Source!AV222)*Source!I222, 2), 2)</f>
        <v>87.24</v>
      </c>
      <c r="T259">
        <f>Source!Y222</f>
        <v>1042.3900000000001</v>
      </c>
      <c r="U259">
        <f>ROUND((175/100)*ROUND((Source!AE222*Source!AV222)*Source!I222, 2), 2)</f>
        <v>12.02</v>
      </c>
      <c r="V259">
        <f>ROUND((168/100)*ROUND(Source!CS222*Source!I222, 2), 2)</f>
        <v>235.32</v>
      </c>
    </row>
    <row r="260" spans="1:27" ht="14.25" x14ac:dyDescent="0.2">
      <c r="A260" s="23"/>
      <c r="B260" s="24"/>
      <c r="C260" s="24" t="s">
        <v>890</v>
      </c>
      <c r="D260" s="25"/>
      <c r="E260" s="12"/>
      <c r="F260" s="27">
        <f>Source!AO222</f>
        <v>1083.72</v>
      </c>
      <c r="G260" s="26" t="str">
        <f>Source!DG222</f>
        <v>)*1,15</v>
      </c>
      <c r="H260" s="12">
        <f>Source!AV222</f>
        <v>1</v>
      </c>
      <c r="I260" s="28">
        <f>ROUND((Source!AF222*Source!AV222)*Source!I222, 2)</f>
        <v>124.63</v>
      </c>
      <c r="J260" s="12">
        <f>IF(Source!BA222&lt;&gt; 0, Source!BA222, 1)</f>
        <v>20.399999999999999</v>
      </c>
      <c r="K260" s="28">
        <f>Source!S222</f>
        <v>2542.41</v>
      </c>
      <c r="W260">
        <f>I260</f>
        <v>124.63</v>
      </c>
    </row>
    <row r="261" spans="1:27" ht="14.25" x14ac:dyDescent="0.2">
      <c r="A261" s="23"/>
      <c r="B261" s="24"/>
      <c r="C261" s="24" t="s">
        <v>891</v>
      </c>
      <c r="D261" s="25"/>
      <c r="E261" s="12"/>
      <c r="F261" s="27">
        <f>Source!AM222</f>
        <v>234.59</v>
      </c>
      <c r="G261" s="26" t="str">
        <f>Source!DE222</f>
        <v>)*1,25</v>
      </c>
      <c r="H261" s="12">
        <f>Source!AV222</f>
        <v>1</v>
      </c>
      <c r="I261" s="28">
        <f>ROUND((Source!AD222*Source!AV222)*Source!I222, 2)</f>
        <v>29.32</v>
      </c>
      <c r="J261" s="12">
        <f>IF(Source!BB222&lt;&gt; 0, Source!BB222, 1)</f>
        <v>8.9600000000000009</v>
      </c>
      <c r="K261" s="28">
        <f>Source!Q222</f>
        <v>262.74</v>
      </c>
    </row>
    <row r="262" spans="1:27" ht="14.25" x14ac:dyDescent="0.2">
      <c r="A262" s="23"/>
      <c r="B262" s="24"/>
      <c r="C262" s="24" t="s">
        <v>892</v>
      </c>
      <c r="D262" s="25"/>
      <c r="E262" s="12"/>
      <c r="F262" s="27">
        <f>Source!AN222</f>
        <v>54.93</v>
      </c>
      <c r="G262" s="26" t="str">
        <f>Source!DF222</f>
        <v>)*1,25</v>
      </c>
      <c r="H262" s="12">
        <f>Source!AV222</f>
        <v>1</v>
      </c>
      <c r="I262" s="30">
        <f>ROUND((Source!AE222*Source!AV222)*Source!I222, 2)</f>
        <v>6.87</v>
      </c>
      <c r="J262" s="12">
        <f>IF(Source!BS222&lt;&gt; 0, Source!BS222, 1)</f>
        <v>20.399999999999999</v>
      </c>
      <c r="K262" s="30">
        <f>Source!R222</f>
        <v>140.07</v>
      </c>
      <c r="W262">
        <f>I262</f>
        <v>6.87</v>
      </c>
    </row>
    <row r="263" spans="1:27" ht="14.25" x14ac:dyDescent="0.2">
      <c r="A263" s="23"/>
      <c r="B263" s="24"/>
      <c r="C263" s="24" t="s">
        <v>899</v>
      </c>
      <c r="D263" s="25"/>
      <c r="E263" s="12"/>
      <c r="F263" s="27">
        <f>Source!AL222</f>
        <v>44.51</v>
      </c>
      <c r="G263" s="26" t="str">
        <f>Source!DD222</f>
        <v/>
      </c>
      <c r="H263" s="12">
        <f>Source!AW222</f>
        <v>1</v>
      </c>
      <c r="I263" s="28">
        <f>ROUND((Source!AC222*Source!AW222)*Source!I222, 2)</f>
        <v>4.45</v>
      </c>
      <c r="J263" s="12">
        <f>IF(Source!BC222&lt;&gt; 0, Source!BC222, 1)</f>
        <v>6</v>
      </c>
      <c r="K263" s="28">
        <f>Source!P222</f>
        <v>26.71</v>
      </c>
    </row>
    <row r="264" spans="1:27" ht="114" x14ac:dyDescent="0.2">
      <c r="A264" s="23" t="str">
        <f>Source!E224</f>
        <v>21,1</v>
      </c>
      <c r="B264" s="24" t="str">
        <f>Source!F224</f>
        <v>1.7-2-261</v>
      </c>
      <c r="C264" s="24" t="str">
        <f>Source!G224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D264" s="25" t="str">
        <f>Source!H224</f>
        <v>шт.</v>
      </c>
      <c r="E264" s="12">
        <f>Source!I224</f>
        <v>3</v>
      </c>
      <c r="F264" s="27">
        <f>Source!AK224</f>
        <v>7495.77</v>
      </c>
      <c r="G264" s="31" t="s">
        <v>3</v>
      </c>
      <c r="H264" s="12">
        <f>Source!AW224</f>
        <v>1</v>
      </c>
      <c r="I264" s="28">
        <f>ROUND((Source!AC224*Source!AW224)*Source!I224, 2)+ROUND((Source!AD224*Source!AV224)*Source!I224, 2)+ROUND((Source!AF224*Source!AV224)*Source!I224, 2)</f>
        <v>22487.31</v>
      </c>
      <c r="J264" s="12">
        <f>IF(Source!BC224&lt;&gt; 0, Source!BC224, 1)</f>
        <v>1.91</v>
      </c>
      <c r="K264" s="28">
        <f>Source!O224</f>
        <v>42950.76</v>
      </c>
      <c r="Q264">
        <f>ROUND((Source!DN224/100)*ROUND((Source!AF224*Source!AV224)*Source!I224, 2), 2)</f>
        <v>0</v>
      </c>
      <c r="R264">
        <f>Source!X224</f>
        <v>0</v>
      </c>
      <c r="S264">
        <f>ROUND((Source!DO224/100)*ROUND((Source!AF224*Source!AV224)*Source!I224, 2), 2)</f>
        <v>0</v>
      </c>
      <c r="T264">
        <f>Source!Y224</f>
        <v>0</v>
      </c>
      <c r="U264">
        <f>ROUND((175/100)*ROUND((Source!AE224*Source!AV224)*Source!I224, 2), 2)</f>
        <v>0</v>
      </c>
      <c r="V264">
        <f>ROUND((168/100)*ROUND(Source!CS224*Source!I224, 2), 2)</f>
        <v>0</v>
      </c>
      <c r="X264">
        <f>IF(Source!BI224&lt;=1,I264, 0)</f>
        <v>22487.31</v>
      </c>
      <c r="Y264">
        <f>IF(Source!BI224=2,I264, 0)</f>
        <v>0</v>
      </c>
      <c r="Z264">
        <f>IF(Source!BI224=3,I264, 0)</f>
        <v>0</v>
      </c>
      <c r="AA264">
        <f>IF(Source!BI224=4,I264, 0)</f>
        <v>0</v>
      </c>
    </row>
    <row r="265" spans="1:27" ht="71.25" x14ac:dyDescent="0.2">
      <c r="A265" s="23" t="str">
        <f>Source!E226</f>
        <v>21,2</v>
      </c>
      <c r="B265" s="24" t="str">
        <f>Source!F226</f>
        <v>1.7-2-264</v>
      </c>
      <c r="C265" s="24" t="str">
        <f>Source!G226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D265" s="25" t="str">
        <f>Source!H226</f>
        <v>шт.</v>
      </c>
      <c r="E265" s="12">
        <f>Source!I226</f>
        <v>4</v>
      </c>
      <c r="F265" s="27">
        <f>Source!AK226</f>
        <v>739.17</v>
      </c>
      <c r="G265" s="31" t="s">
        <v>3</v>
      </c>
      <c r="H265" s="12">
        <f>Source!AW226</f>
        <v>1</v>
      </c>
      <c r="I265" s="28">
        <f>ROUND((Source!AC226*Source!AW226)*Source!I226, 2)+ROUND((Source!AD226*Source!AV226)*Source!I226, 2)+ROUND((Source!AF226*Source!AV226)*Source!I226, 2)</f>
        <v>2956.68</v>
      </c>
      <c r="J265" s="12">
        <f>IF(Source!BC226&lt;&gt; 0, Source!BC226, 1)</f>
        <v>2.89</v>
      </c>
      <c r="K265" s="28">
        <f>Source!O226</f>
        <v>8544.81</v>
      </c>
      <c r="Q265">
        <f>ROUND((Source!DN226/100)*ROUND((Source!AF226*Source!AV226)*Source!I226, 2), 2)</f>
        <v>0</v>
      </c>
      <c r="R265">
        <f>Source!X226</f>
        <v>0</v>
      </c>
      <c r="S265">
        <f>ROUND((Source!DO226/100)*ROUND((Source!AF226*Source!AV226)*Source!I226, 2), 2)</f>
        <v>0</v>
      </c>
      <c r="T265">
        <f>Source!Y226</f>
        <v>0</v>
      </c>
      <c r="U265">
        <f>ROUND((175/100)*ROUND((Source!AE226*Source!AV226)*Source!I226, 2), 2)</f>
        <v>0</v>
      </c>
      <c r="V265">
        <f>ROUND((168/100)*ROUND(Source!CS226*Source!I226, 2), 2)</f>
        <v>0</v>
      </c>
      <c r="X265">
        <f>IF(Source!BI226&lt;=1,I265, 0)</f>
        <v>2956.68</v>
      </c>
      <c r="Y265">
        <f>IF(Source!BI226=2,I265, 0)</f>
        <v>0</v>
      </c>
      <c r="Z265">
        <f>IF(Source!BI226=3,I265, 0)</f>
        <v>0</v>
      </c>
      <c r="AA265">
        <f>IF(Source!BI226=4,I265, 0)</f>
        <v>0</v>
      </c>
    </row>
    <row r="266" spans="1:27" ht="14.25" x14ac:dyDescent="0.2">
      <c r="A266" s="23"/>
      <c r="B266" s="24"/>
      <c r="C266" s="24" t="s">
        <v>893</v>
      </c>
      <c r="D266" s="25" t="s">
        <v>894</v>
      </c>
      <c r="E266" s="12">
        <f>Source!DN222</f>
        <v>85</v>
      </c>
      <c r="F266" s="27"/>
      <c r="G266" s="26"/>
      <c r="H266" s="12"/>
      <c r="I266" s="28">
        <f>SUM(Q259:Q265)</f>
        <v>105.94</v>
      </c>
      <c r="J266" s="12">
        <f>Source!BZ222</f>
        <v>68</v>
      </c>
      <c r="K266" s="28">
        <f>SUM(R259:R265)</f>
        <v>1728.84</v>
      </c>
    </row>
    <row r="267" spans="1:27" ht="14.25" x14ac:dyDescent="0.2">
      <c r="A267" s="23"/>
      <c r="B267" s="24"/>
      <c r="C267" s="24" t="s">
        <v>895</v>
      </c>
      <c r="D267" s="25" t="s">
        <v>894</v>
      </c>
      <c r="E267" s="12">
        <f>Source!DO222</f>
        <v>70</v>
      </c>
      <c r="F267" s="27"/>
      <c r="G267" s="26"/>
      <c r="H267" s="12"/>
      <c r="I267" s="28">
        <f>SUM(S259:S266)</f>
        <v>87.24</v>
      </c>
      <c r="J267" s="12">
        <f>Source!CA222</f>
        <v>41</v>
      </c>
      <c r="K267" s="28">
        <f>SUM(T259:T266)</f>
        <v>1042.3900000000001</v>
      </c>
    </row>
    <row r="268" spans="1:27" ht="14.25" x14ac:dyDescent="0.2">
      <c r="A268" s="23"/>
      <c r="B268" s="24"/>
      <c r="C268" s="24" t="s">
        <v>896</v>
      </c>
      <c r="D268" s="25" t="s">
        <v>894</v>
      </c>
      <c r="E268" s="12">
        <f>175</f>
        <v>175</v>
      </c>
      <c r="F268" s="27"/>
      <c r="G268" s="26"/>
      <c r="H268" s="12"/>
      <c r="I268" s="28">
        <f>SUM(U259:U267)</f>
        <v>12.02</v>
      </c>
      <c r="J268" s="12">
        <f>168</f>
        <v>168</v>
      </c>
      <c r="K268" s="28">
        <f>SUM(V259:V267)</f>
        <v>235.32</v>
      </c>
    </row>
    <row r="269" spans="1:27" ht="14.25" x14ac:dyDescent="0.2">
      <c r="A269" s="23"/>
      <c r="B269" s="24"/>
      <c r="C269" s="24" t="s">
        <v>897</v>
      </c>
      <c r="D269" s="25" t="s">
        <v>898</v>
      </c>
      <c r="E269" s="12">
        <f>Source!AQ222</f>
        <v>82.1</v>
      </c>
      <c r="F269" s="27"/>
      <c r="G269" s="26" t="str">
        <f>Source!DI222</f>
        <v>)*1,15</v>
      </c>
      <c r="H269" s="12">
        <f>Source!AV222</f>
        <v>1</v>
      </c>
      <c r="I269" s="28">
        <f>Source!U222</f>
        <v>9.4414999999999996</v>
      </c>
      <c r="J269" s="12"/>
      <c r="K269" s="28"/>
    </row>
    <row r="270" spans="1:27" ht="15" x14ac:dyDescent="0.25">
      <c r="A270" s="33"/>
      <c r="B270" s="33"/>
      <c r="C270" s="33"/>
      <c r="D270" s="33"/>
      <c r="E270" s="33"/>
      <c r="F270" s="33"/>
      <c r="G270" s="33"/>
      <c r="H270" s="59">
        <f>I260+I261+I263+I266+I267+I268+SUM(I264:I265)</f>
        <v>25807.59</v>
      </c>
      <c r="I270" s="59"/>
      <c r="J270" s="59">
        <f>K260+K261+K263+K266+K267+K268+SUM(K264:K265)</f>
        <v>57333.979999999996</v>
      </c>
      <c r="K270" s="59"/>
      <c r="O270" s="32">
        <f>I260+I261+I263+I266+I267+I268+SUM(I264:I265)</f>
        <v>25807.59</v>
      </c>
      <c r="P270" s="32">
        <f>K260+K261+K263+K266+K267+K268+SUM(K264:K265)</f>
        <v>57333.979999999996</v>
      </c>
      <c r="X270">
        <f>IF(Source!BI222&lt;=1,I260+I261+I263+I266+I267+I268-0, 0)</f>
        <v>363.59999999999997</v>
      </c>
      <c r="Y270">
        <f>IF(Source!BI222=2,I260+I261+I263+I266+I267+I268-0, 0)</f>
        <v>0</v>
      </c>
      <c r="Z270">
        <f>IF(Source!BI222=3,I260+I261+I263+I266+I267+I268-0, 0)</f>
        <v>0</v>
      </c>
      <c r="AA270">
        <f>IF(Source!BI222=4,I260+I261+I263+I266+I267+I268,0)</f>
        <v>0</v>
      </c>
    </row>
    <row r="271" spans="1:27" ht="42.75" x14ac:dyDescent="0.2">
      <c r="A271" s="23" t="str">
        <f>Source!E228</f>
        <v>22</v>
      </c>
      <c r="B271" s="24" t="str">
        <f>Source!F228</f>
        <v>3.9-74-1</v>
      </c>
      <c r="C271" s="24" t="str">
        <f>Source!G228</f>
        <v>Установка противопожарных металлических однопольных дверных блоков</v>
      </c>
      <c r="D271" s="25" t="str">
        <f>Source!H228</f>
        <v>10 шт.</v>
      </c>
      <c r="E271" s="12">
        <f>Source!I228</f>
        <v>0.3</v>
      </c>
      <c r="F271" s="27"/>
      <c r="G271" s="26"/>
      <c r="H271" s="12"/>
      <c r="I271" s="28"/>
      <c r="J271" s="12"/>
      <c r="K271" s="28"/>
      <c r="Q271">
        <f>ROUND((Source!DN228/100)*ROUND((Source!AF228*Source!AV228)*Source!I228, 2), 2)</f>
        <v>193.68</v>
      </c>
      <c r="R271">
        <f>Source!X228</f>
        <v>3160.81</v>
      </c>
      <c r="S271">
        <f>ROUND((Source!DO228/100)*ROUND((Source!AF228*Source!AV228)*Source!I228, 2), 2)</f>
        <v>159.5</v>
      </c>
      <c r="T271">
        <f>Source!Y228</f>
        <v>1905.78</v>
      </c>
      <c r="U271">
        <f>ROUND((175/100)*ROUND((Source!AE228*Source!AV228)*Source!I228, 2), 2)</f>
        <v>1.89</v>
      </c>
      <c r="V271">
        <f>ROUND((168/100)*ROUND(Source!CS228*Source!I228, 2), 2)</f>
        <v>37.01</v>
      </c>
    </row>
    <row r="272" spans="1:27" x14ac:dyDescent="0.2">
      <c r="C272" s="29" t="str">
        <f>"Объем: "&amp;Source!I228&amp;"=3/"&amp;"10"</f>
        <v>Объем: 0,3=3/10</v>
      </c>
    </row>
    <row r="273" spans="1:27" ht="14.25" x14ac:dyDescent="0.2">
      <c r="A273" s="23"/>
      <c r="B273" s="24"/>
      <c r="C273" s="24" t="s">
        <v>890</v>
      </c>
      <c r="D273" s="25"/>
      <c r="E273" s="12"/>
      <c r="F273" s="27">
        <f>Source!AO228</f>
        <v>660.45</v>
      </c>
      <c r="G273" s="26" t="str">
        <f>Source!DG228</f>
        <v>)*1,15</v>
      </c>
      <c r="H273" s="12">
        <f>Source!AV228</f>
        <v>1</v>
      </c>
      <c r="I273" s="28">
        <f>ROUND((Source!AF228*Source!AV228)*Source!I228, 2)</f>
        <v>227.86</v>
      </c>
      <c r="J273" s="12">
        <f>IF(Source!BA228&lt;&gt; 0, Source!BA228, 1)</f>
        <v>20.399999999999999</v>
      </c>
      <c r="K273" s="28">
        <f>Source!S228</f>
        <v>4648.25</v>
      </c>
      <c r="W273">
        <f>I273</f>
        <v>227.86</v>
      </c>
    </row>
    <row r="274" spans="1:27" ht="14.25" x14ac:dyDescent="0.2">
      <c r="A274" s="23"/>
      <c r="B274" s="24"/>
      <c r="C274" s="92" t="s">
        <v>891</v>
      </c>
      <c r="D274" s="93"/>
      <c r="E274" s="94"/>
      <c r="F274" s="95">
        <f>Source!AM228</f>
        <v>23.33</v>
      </c>
      <c r="G274" s="96" t="str">
        <f>Source!DE228</f>
        <v>)*1,25</v>
      </c>
      <c r="H274" s="94">
        <f>Source!AV228</f>
        <v>1</v>
      </c>
      <c r="I274" s="97">
        <f>ROUND((Source!AD228*Source!AV228)*Source!I228, 2)</f>
        <v>8.75</v>
      </c>
      <c r="J274" s="94">
        <f>IF(Source!BB228&lt;&gt; 0, Source!BB228, 1)</f>
        <v>6.14</v>
      </c>
      <c r="K274" s="97">
        <f>Source!Q228</f>
        <v>53.72</v>
      </c>
    </row>
    <row r="275" spans="1:27" ht="14.25" x14ac:dyDescent="0.2">
      <c r="A275" s="23"/>
      <c r="B275" s="24"/>
      <c r="C275" s="92" t="s">
        <v>892</v>
      </c>
      <c r="D275" s="93"/>
      <c r="E275" s="94"/>
      <c r="F275" s="95">
        <f>Source!AN228</f>
        <v>2.88</v>
      </c>
      <c r="G275" s="96" t="str">
        <f>Source!DF228</f>
        <v>)*1,25</v>
      </c>
      <c r="H275" s="94">
        <f>Source!AV228</f>
        <v>1</v>
      </c>
      <c r="I275" s="98">
        <f>ROUND((Source!AE228*Source!AV228)*Source!I228, 2)</f>
        <v>1.08</v>
      </c>
      <c r="J275" s="94">
        <f>IF(Source!BS228&lt;&gt; 0, Source!BS228, 1)</f>
        <v>20.399999999999999</v>
      </c>
      <c r="K275" s="98">
        <f>Source!R228</f>
        <v>22.03</v>
      </c>
      <c r="W275">
        <f>I275</f>
        <v>1.08</v>
      </c>
    </row>
    <row r="276" spans="1:27" ht="14.25" x14ac:dyDescent="0.2">
      <c r="A276" s="23"/>
      <c r="B276" s="24"/>
      <c r="C276" s="24" t="s">
        <v>899</v>
      </c>
      <c r="D276" s="25"/>
      <c r="E276" s="12"/>
      <c r="F276" s="27">
        <f>Source!AL228</f>
        <v>2766.32</v>
      </c>
      <c r="G276" s="26" t="str">
        <f>Source!DD228</f>
        <v/>
      </c>
      <c r="H276" s="12">
        <f>Source!AW228</f>
        <v>1</v>
      </c>
      <c r="I276" s="28">
        <f>ROUND((Source!AC228*Source!AW228)*Source!I228, 2)</f>
        <v>829.9</v>
      </c>
      <c r="J276" s="12">
        <f>IF(Source!BC228&lt;&gt; 0, Source!BC228, 1)</f>
        <v>4.18</v>
      </c>
      <c r="K276" s="28">
        <f>Source!P228</f>
        <v>3468.97</v>
      </c>
    </row>
    <row r="277" spans="1:27" ht="114" x14ac:dyDescent="0.2">
      <c r="A277" s="23" t="str">
        <f>Source!E230</f>
        <v>22,1</v>
      </c>
      <c r="B277" s="24" t="str">
        <f>Source!F230</f>
        <v>1.7-2-261</v>
      </c>
      <c r="C277" s="24" t="str">
        <f>Source!G230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D277" s="25" t="str">
        <f>Source!H230</f>
        <v>шт.</v>
      </c>
      <c r="E277" s="12">
        <f>Source!I230</f>
        <v>3</v>
      </c>
      <c r="F277" s="27">
        <f>Source!AK230</f>
        <v>7495.77</v>
      </c>
      <c r="G277" s="31" t="s">
        <v>3</v>
      </c>
      <c r="H277" s="12">
        <f>Source!AW230</f>
        <v>1</v>
      </c>
      <c r="I277" s="28">
        <f>ROUND((Source!AC230*Source!AW230)*Source!I230, 2)+ROUND((Source!AD230*Source!AV230)*Source!I230, 2)+ROUND((Source!AF230*Source!AV230)*Source!I230, 2)</f>
        <v>22487.31</v>
      </c>
      <c r="J277" s="12">
        <f>IF(Source!BC230&lt;&gt; 0, Source!BC230, 1)</f>
        <v>1.91</v>
      </c>
      <c r="K277" s="28">
        <f>Source!O230</f>
        <v>42950.76</v>
      </c>
      <c r="Q277">
        <f>ROUND((Source!DN230/100)*ROUND((Source!AF230*Source!AV230)*Source!I230, 2), 2)</f>
        <v>0</v>
      </c>
      <c r="R277">
        <f>Source!X230</f>
        <v>0</v>
      </c>
      <c r="S277">
        <f>ROUND((Source!DO230/100)*ROUND((Source!AF230*Source!AV230)*Source!I230, 2), 2)</f>
        <v>0</v>
      </c>
      <c r="T277">
        <f>Source!Y230</f>
        <v>0</v>
      </c>
      <c r="U277">
        <f>ROUND((175/100)*ROUND((Source!AE230*Source!AV230)*Source!I230, 2), 2)</f>
        <v>0</v>
      </c>
      <c r="V277">
        <f>ROUND((168/100)*ROUND(Source!CS230*Source!I230, 2), 2)</f>
        <v>0</v>
      </c>
      <c r="X277">
        <f>IF(Source!BI230&lt;=1,I277, 0)</f>
        <v>22487.31</v>
      </c>
      <c r="Y277">
        <f>IF(Source!BI230=2,I277, 0)</f>
        <v>0</v>
      </c>
      <c r="Z277">
        <f>IF(Source!BI230=3,I277, 0)</f>
        <v>0</v>
      </c>
      <c r="AA277">
        <f>IF(Source!BI230=4,I277, 0)</f>
        <v>0</v>
      </c>
    </row>
    <row r="278" spans="1:27" ht="71.25" x14ac:dyDescent="0.2">
      <c r="A278" s="23" t="str">
        <f>Source!E232</f>
        <v>22,2</v>
      </c>
      <c r="B278" s="24" t="str">
        <f>Source!F232</f>
        <v>1.7-2-264</v>
      </c>
      <c r="C278" s="24" t="str">
        <f>Source!G232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D278" s="25" t="str">
        <f>Source!H232</f>
        <v>шт.</v>
      </c>
      <c r="E278" s="12">
        <f>Source!I232</f>
        <v>6</v>
      </c>
      <c r="F278" s="27">
        <f>Source!AK232</f>
        <v>739.17</v>
      </c>
      <c r="G278" s="31" t="s">
        <v>3</v>
      </c>
      <c r="H278" s="12">
        <f>Source!AW232</f>
        <v>1</v>
      </c>
      <c r="I278" s="28">
        <f>ROUND((Source!AC232*Source!AW232)*Source!I232, 2)+ROUND((Source!AD232*Source!AV232)*Source!I232, 2)+ROUND((Source!AF232*Source!AV232)*Source!I232, 2)</f>
        <v>4435.0200000000004</v>
      </c>
      <c r="J278" s="12">
        <f>IF(Source!BC232&lt;&gt; 0, Source!BC232, 1)</f>
        <v>2.89</v>
      </c>
      <c r="K278" s="28">
        <f>Source!O232</f>
        <v>12817.21</v>
      </c>
      <c r="Q278">
        <f>ROUND((Source!DN232/100)*ROUND((Source!AF232*Source!AV232)*Source!I232, 2), 2)</f>
        <v>0</v>
      </c>
      <c r="R278">
        <f>Source!X232</f>
        <v>0</v>
      </c>
      <c r="S278">
        <f>ROUND((Source!DO232/100)*ROUND((Source!AF232*Source!AV232)*Source!I232, 2), 2)</f>
        <v>0</v>
      </c>
      <c r="T278">
        <f>Source!Y232</f>
        <v>0</v>
      </c>
      <c r="U278">
        <f>ROUND((175/100)*ROUND((Source!AE232*Source!AV232)*Source!I232, 2), 2)</f>
        <v>0</v>
      </c>
      <c r="V278">
        <f>ROUND((168/100)*ROUND(Source!CS232*Source!I232, 2), 2)</f>
        <v>0</v>
      </c>
      <c r="X278">
        <f>IF(Source!BI232&lt;=1,I278, 0)</f>
        <v>4435.0200000000004</v>
      </c>
      <c r="Y278">
        <f>IF(Source!BI232=2,I278, 0)</f>
        <v>0</v>
      </c>
      <c r="Z278">
        <f>IF(Source!BI232=3,I278, 0)</f>
        <v>0</v>
      </c>
      <c r="AA278">
        <f>IF(Source!BI232=4,I278, 0)</f>
        <v>0</v>
      </c>
    </row>
    <row r="279" spans="1:27" ht="14.25" x14ac:dyDescent="0.2">
      <c r="A279" s="23"/>
      <c r="B279" s="24"/>
      <c r="C279" s="24" t="s">
        <v>893</v>
      </c>
      <c r="D279" s="25" t="s">
        <v>894</v>
      </c>
      <c r="E279" s="12">
        <f>Source!DN228</f>
        <v>85</v>
      </c>
      <c r="F279" s="27"/>
      <c r="G279" s="26"/>
      <c r="H279" s="12"/>
      <c r="I279" s="28">
        <f>SUM(Q271:Q278)</f>
        <v>193.68</v>
      </c>
      <c r="J279" s="12">
        <f>Source!BZ228</f>
        <v>68</v>
      </c>
      <c r="K279" s="28">
        <f>SUM(R271:R278)</f>
        <v>3160.81</v>
      </c>
    </row>
    <row r="280" spans="1:27" ht="14.25" x14ac:dyDescent="0.2">
      <c r="A280" s="23"/>
      <c r="B280" s="24"/>
      <c r="C280" s="24" t="s">
        <v>895</v>
      </c>
      <c r="D280" s="25" t="s">
        <v>894</v>
      </c>
      <c r="E280" s="12">
        <f>Source!DO228</f>
        <v>70</v>
      </c>
      <c r="F280" s="27"/>
      <c r="G280" s="26"/>
      <c r="H280" s="12"/>
      <c r="I280" s="28">
        <f>SUM(S271:S279)</f>
        <v>159.5</v>
      </c>
      <c r="J280" s="12">
        <f>Source!CA228</f>
        <v>41</v>
      </c>
      <c r="K280" s="28">
        <f>SUM(T271:T279)</f>
        <v>1905.78</v>
      </c>
    </row>
    <row r="281" spans="1:27" ht="14.25" x14ac:dyDescent="0.2">
      <c r="A281" s="23"/>
      <c r="B281" s="24"/>
      <c r="C281" s="24" t="s">
        <v>896</v>
      </c>
      <c r="D281" s="25" t="s">
        <v>894</v>
      </c>
      <c r="E281" s="12">
        <f>175</f>
        <v>175</v>
      </c>
      <c r="F281" s="27"/>
      <c r="G281" s="26"/>
      <c r="H281" s="12"/>
      <c r="I281" s="28">
        <f>SUM(U271:U280)</f>
        <v>1.89</v>
      </c>
      <c r="J281" s="12">
        <f>168</f>
        <v>168</v>
      </c>
      <c r="K281" s="28">
        <f>SUM(V271:V280)</f>
        <v>37.01</v>
      </c>
    </row>
    <row r="282" spans="1:27" ht="14.25" x14ac:dyDescent="0.2">
      <c r="A282" s="23"/>
      <c r="B282" s="24"/>
      <c r="C282" s="24" t="s">
        <v>897</v>
      </c>
      <c r="D282" s="25" t="s">
        <v>898</v>
      </c>
      <c r="E282" s="12">
        <f>Source!AQ228</f>
        <v>56.18</v>
      </c>
      <c r="F282" s="27"/>
      <c r="G282" s="26" t="str">
        <f>Source!DI228</f>
        <v>)*1,15</v>
      </c>
      <c r="H282" s="12">
        <f>Source!AV228</f>
        <v>1</v>
      </c>
      <c r="I282" s="28">
        <f>Source!U228</f>
        <v>19.382099999999998</v>
      </c>
      <c r="J282" s="12"/>
      <c r="K282" s="28"/>
    </row>
    <row r="283" spans="1:27" ht="15" x14ac:dyDescent="0.25">
      <c r="A283" s="33"/>
      <c r="B283" s="33"/>
      <c r="C283" s="33"/>
      <c r="D283" s="33"/>
      <c r="E283" s="33"/>
      <c r="F283" s="33"/>
      <c r="G283" s="33"/>
      <c r="H283" s="59">
        <f>I273+I274+I276+I279+I280+I281+SUM(I277:I278)</f>
        <v>28343.910000000003</v>
      </c>
      <c r="I283" s="59"/>
      <c r="J283" s="59">
        <f>K273+K274+K276+K279+K280+K281+SUM(K277:K278)</f>
        <v>69042.510000000009</v>
      </c>
      <c r="K283" s="59"/>
      <c r="O283" s="32">
        <f>I273+I274+I276+I279+I280+I281+SUM(I277:I278)</f>
        <v>28343.910000000003</v>
      </c>
      <c r="P283" s="32">
        <f>K273+K274+K276+K279+K280+K281+SUM(K277:K278)</f>
        <v>69042.510000000009</v>
      </c>
      <c r="X283">
        <f>IF(Source!BI228&lt;=1,I273+I274+I276+I279+I280+I281-0, 0)</f>
        <v>1421.5800000000002</v>
      </c>
      <c r="Y283">
        <f>IF(Source!BI228=2,I273+I274+I276+I279+I280+I281-0, 0)</f>
        <v>0</v>
      </c>
      <c r="Z283">
        <f>IF(Source!BI228=3,I273+I274+I276+I279+I280+I281-0, 0)</f>
        <v>0</v>
      </c>
      <c r="AA283">
        <f>IF(Source!BI228=4,I273+I274+I276+I279+I280+I281,0)</f>
        <v>0</v>
      </c>
    </row>
    <row r="284" spans="1:27" ht="28.5" x14ac:dyDescent="0.2">
      <c r="A284" s="23" t="str">
        <f>Source!E234</f>
        <v>23</v>
      </c>
      <c r="B284" s="24" t="str">
        <f>Source!F234</f>
        <v>3.10-82-1</v>
      </c>
      <c r="C284" s="24" t="str">
        <f>Source!G234</f>
        <v>Установка дверного доводчика к металлическим дверям</v>
      </c>
      <c r="D284" s="25" t="str">
        <f>Source!H234</f>
        <v>1  ШТ.</v>
      </c>
      <c r="E284" s="12">
        <f>Source!I234</f>
        <v>3</v>
      </c>
      <c r="F284" s="27"/>
      <c r="G284" s="26"/>
      <c r="H284" s="12"/>
      <c r="I284" s="28"/>
      <c r="J284" s="12"/>
      <c r="K284" s="28"/>
      <c r="Q284">
        <f>ROUND((Source!DN234/100)*ROUND((Source!AF234*Source!AV234)*Source!I234, 2), 2)</f>
        <v>46.72</v>
      </c>
      <c r="R284">
        <f>Source!X234</f>
        <v>764.49</v>
      </c>
      <c r="S284">
        <f>ROUND((Source!DO234/100)*ROUND((Source!AF234*Source!AV234)*Source!I234, 2), 2)</f>
        <v>35.94</v>
      </c>
      <c r="T284">
        <f>Source!Y234</f>
        <v>429.37</v>
      </c>
      <c r="U284">
        <f>ROUND((175/100)*ROUND((Source!AE234*Source!AV234)*Source!I234, 2), 2)</f>
        <v>0.6</v>
      </c>
      <c r="V284">
        <f>ROUND((168/100)*ROUND(Source!CS234*Source!I234, 2), 2)</f>
        <v>11.58</v>
      </c>
    </row>
    <row r="285" spans="1:27" ht="14.25" x14ac:dyDescent="0.2">
      <c r="A285" s="23"/>
      <c r="B285" s="24"/>
      <c r="C285" s="24" t="s">
        <v>890</v>
      </c>
      <c r="D285" s="25"/>
      <c r="E285" s="12"/>
      <c r="F285" s="27">
        <f>Source!AO234</f>
        <v>14.88</v>
      </c>
      <c r="G285" s="26" t="str">
        <f>Source!DG234</f>
        <v>)*1,15)</v>
      </c>
      <c r="H285" s="12">
        <f>Source!AV234</f>
        <v>1</v>
      </c>
      <c r="I285" s="28">
        <f>ROUND((Source!AF234*Source!AV234)*Source!I234, 2)</f>
        <v>51.34</v>
      </c>
      <c r="J285" s="12">
        <f>IF(Source!BA234&lt;&gt; 0, Source!BA234, 1)</f>
        <v>20.399999999999999</v>
      </c>
      <c r="K285" s="28">
        <f>Source!S234</f>
        <v>1047.25</v>
      </c>
      <c r="W285">
        <f>I285</f>
        <v>51.34</v>
      </c>
    </row>
    <row r="286" spans="1:27" ht="14.25" x14ac:dyDescent="0.2">
      <c r="A286" s="23"/>
      <c r="B286" s="24"/>
      <c r="C286" s="24" t="s">
        <v>891</v>
      </c>
      <c r="D286" s="25"/>
      <c r="E286" s="12"/>
      <c r="F286" s="27">
        <f>Source!AM234</f>
        <v>1.99</v>
      </c>
      <c r="G286" s="26" t="str">
        <f>Source!DE234</f>
        <v>)*1,25)</v>
      </c>
      <c r="H286" s="12">
        <f>Source!AV234</f>
        <v>1</v>
      </c>
      <c r="I286" s="28">
        <f>ROUND((Source!AD234*Source!AV234)*Source!I234, 2)</f>
        <v>7.46</v>
      </c>
      <c r="J286" s="12">
        <f>IF(Source!BB234&lt;&gt; 0, Source!BB234, 1)</f>
        <v>6.43</v>
      </c>
      <c r="K286" s="28">
        <f>Source!Q234</f>
        <v>47.98</v>
      </c>
    </row>
    <row r="287" spans="1:27" ht="14.25" x14ac:dyDescent="0.2">
      <c r="A287" s="23"/>
      <c r="B287" s="24"/>
      <c r="C287" s="24" t="s">
        <v>892</v>
      </c>
      <c r="D287" s="25"/>
      <c r="E287" s="12"/>
      <c r="F287" s="27">
        <f>Source!AN234</f>
        <v>0.09</v>
      </c>
      <c r="G287" s="26" t="str">
        <f>Source!DF234</f>
        <v>)*1,25)</v>
      </c>
      <c r="H287" s="12">
        <f>Source!AV234</f>
        <v>1</v>
      </c>
      <c r="I287" s="30">
        <f>ROUND((Source!AE234*Source!AV234)*Source!I234, 2)</f>
        <v>0.34</v>
      </c>
      <c r="J287" s="12">
        <f>IF(Source!BS234&lt;&gt; 0, Source!BS234, 1)</f>
        <v>20.399999999999999</v>
      </c>
      <c r="K287" s="30">
        <f>Source!R234</f>
        <v>6.89</v>
      </c>
      <c r="W287">
        <f>I287</f>
        <v>0.34</v>
      </c>
    </row>
    <row r="288" spans="1:27" ht="14.25" x14ac:dyDescent="0.2">
      <c r="A288" s="23"/>
      <c r="B288" s="24"/>
      <c r="C288" s="24" t="s">
        <v>899</v>
      </c>
      <c r="D288" s="25"/>
      <c r="E288" s="12"/>
      <c r="F288" s="27">
        <f>Source!AL234</f>
        <v>0.41</v>
      </c>
      <c r="G288" s="26" t="str">
        <f>Source!DD234</f>
        <v/>
      </c>
      <c r="H288" s="12">
        <f>Source!AW234</f>
        <v>1</v>
      </c>
      <c r="I288" s="28">
        <f>ROUND((Source!AC234*Source!AW234)*Source!I234, 2)</f>
        <v>1.23</v>
      </c>
      <c r="J288" s="12">
        <f>IF(Source!BC234&lt;&gt; 0, Source!BC234, 1)</f>
        <v>4.37</v>
      </c>
      <c r="K288" s="28">
        <f>Source!P234</f>
        <v>5.38</v>
      </c>
    </row>
    <row r="289" spans="1:27" ht="28.5" x14ac:dyDescent="0.2">
      <c r="A289" s="23" t="str">
        <f>Source!E236</f>
        <v>23,1</v>
      </c>
      <c r="B289" s="24" t="str">
        <f>Source!F236</f>
        <v>1.8-1-83</v>
      </c>
      <c r="C289" s="24" t="str">
        <f>Source!G236</f>
        <v>Доводчик дверной типа «ДОРМА» TS/83, масса двери до 150 кг</v>
      </c>
      <c r="D289" s="25" t="str">
        <f>Source!H236</f>
        <v>КОМПЛЕКТ</v>
      </c>
      <c r="E289" s="12">
        <f>Source!I236</f>
        <v>3</v>
      </c>
      <c r="F289" s="27">
        <f>Source!AK236</f>
        <v>1390.95</v>
      </c>
      <c r="G289" s="31" t="s">
        <v>3</v>
      </c>
      <c r="H289" s="12">
        <f>Source!AW236</f>
        <v>1</v>
      </c>
      <c r="I289" s="28">
        <f>ROUND((Source!AC236*Source!AW236)*Source!I236, 2)+ROUND((Source!AD236*Source!AV236)*Source!I236, 2)+ROUND((Source!AF236*Source!AV236)*Source!I236, 2)</f>
        <v>4172.8500000000004</v>
      </c>
      <c r="J289" s="12">
        <f>IF(Source!BC236&lt;&gt; 0, Source!BC236, 1)</f>
        <v>3.59</v>
      </c>
      <c r="K289" s="28">
        <f>Source!O236</f>
        <v>14980.53</v>
      </c>
      <c r="Q289">
        <f>ROUND((Source!DN236/100)*ROUND((Source!AF236*Source!AV236)*Source!I236, 2), 2)</f>
        <v>0</v>
      </c>
      <c r="R289">
        <f>Source!X236</f>
        <v>0</v>
      </c>
      <c r="S289">
        <f>ROUND((Source!DO236/100)*ROUND((Source!AF236*Source!AV236)*Source!I236, 2), 2)</f>
        <v>0</v>
      </c>
      <c r="T289">
        <f>Source!Y236</f>
        <v>0</v>
      </c>
      <c r="U289">
        <f>ROUND((175/100)*ROUND((Source!AE236*Source!AV236)*Source!I236, 2), 2)</f>
        <v>0</v>
      </c>
      <c r="V289">
        <f>ROUND((168/100)*ROUND(Source!CS236*Source!I236, 2), 2)</f>
        <v>0</v>
      </c>
      <c r="X289">
        <f>IF(Source!BI236&lt;=1,I289, 0)</f>
        <v>4172.8500000000004</v>
      </c>
      <c r="Y289">
        <f>IF(Source!BI236=2,I289, 0)</f>
        <v>0</v>
      </c>
      <c r="Z289">
        <f>IF(Source!BI236=3,I289, 0)</f>
        <v>0</v>
      </c>
      <c r="AA289">
        <f>IF(Source!BI236=4,I289, 0)</f>
        <v>0</v>
      </c>
    </row>
    <row r="290" spans="1:27" ht="14.25" x14ac:dyDescent="0.2">
      <c r="A290" s="23"/>
      <c r="B290" s="24"/>
      <c r="C290" s="24" t="s">
        <v>893</v>
      </c>
      <c r="D290" s="25" t="s">
        <v>894</v>
      </c>
      <c r="E290" s="12">
        <f>Source!DN234</f>
        <v>91</v>
      </c>
      <c r="F290" s="27"/>
      <c r="G290" s="26"/>
      <c r="H290" s="12"/>
      <c r="I290" s="28">
        <f>SUM(Q284:Q289)</f>
        <v>46.72</v>
      </c>
      <c r="J290" s="12">
        <f>Source!BZ234</f>
        <v>73</v>
      </c>
      <c r="K290" s="28">
        <f>SUM(R284:R289)</f>
        <v>764.49</v>
      </c>
    </row>
    <row r="291" spans="1:27" ht="14.25" x14ac:dyDescent="0.2">
      <c r="A291" s="23"/>
      <c r="B291" s="24"/>
      <c r="C291" s="24" t="s">
        <v>895</v>
      </c>
      <c r="D291" s="25" t="s">
        <v>894</v>
      </c>
      <c r="E291" s="12">
        <f>Source!DO234</f>
        <v>70</v>
      </c>
      <c r="F291" s="27"/>
      <c r="G291" s="26"/>
      <c r="H291" s="12"/>
      <c r="I291" s="28">
        <f>SUM(S284:S290)</f>
        <v>35.94</v>
      </c>
      <c r="J291" s="12">
        <f>Source!CA234</f>
        <v>41</v>
      </c>
      <c r="K291" s="28">
        <f>SUM(T284:T290)</f>
        <v>429.37</v>
      </c>
    </row>
    <row r="292" spans="1:27" ht="14.25" x14ac:dyDescent="0.2">
      <c r="A292" s="23"/>
      <c r="B292" s="24"/>
      <c r="C292" s="24" t="s">
        <v>896</v>
      </c>
      <c r="D292" s="25" t="s">
        <v>894</v>
      </c>
      <c r="E292" s="12">
        <f>175</f>
        <v>175</v>
      </c>
      <c r="F292" s="27"/>
      <c r="G292" s="26"/>
      <c r="H292" s="12"/>
      <c r="I292" s="28">
        <f>SUM(U284:U291)</f>
        <v>0.6</v>
      </c>
      <c r="J292" s="12">
        <f>168</f>
        <v>168</v>
      </c>
      <c r="K292" s="28">
        <f>SUM(V284:V291)</f>
        <v>11.58</v>
      </c>
    </row>
    <row r="293" spans="1:27" ht="14.25" x14ac:dyDescent="0.2">
      <c r="A293" s="23"/>
      <c r="B293" s="24"/>
      <c r="C293" s="24" t="s">
        <v>897</v>
      </c>
      <c r="D293" s="25" t="s">
        <v>898</v>
      </c>
      <c r="E293" s="12">
        <f>Source!AQ234</f>
        <v>1.1100000000000001</v>
      </c>
      <c r="F293" s="27"/>
      <c r="G293" s="26" t="str">
        <f>Source!DI234</f>
        <v>)*1,15)</v>
      </c>
      <c r="H293" s="12">
        <f>Source!AV234</f>
        <v>1</v>
      </c>
      <c r="I293" s="28">
        <f>Source!U234</f>
        <v>3.8294999999999999</v>
      </c>
      <c r="J293" s="12"/>
      <c r="K293" s="28"/>
    </row>
    <row r="294" spans="1:27" ht="15" x14ac:dyDescent="0.25">
      <c r="A294" s="33"/>
      <c r="B294" s="33"/>
      <c r="C294" s="33"/>
      <c r="D294" s="33"/>
      <c r="E294" s="33"/>
      <c r="F294" s="33"/>
      <c r="G294" s="33"/>
      <c r="H294" s="59">
        <f>I285+I286+I288+I290+I291+I292+SUM(I289:I289)</f>
        <v>4316.1400000000003</v>
      </c>
      <c r="I294" s="59"/>
      <c r="J294" s="59">
        <f>K285+K286+K288+K290+K291+K292+SUM(K289:K289)</f>
        <v>17286.580000000002</v>
      </c>
      <c r="K294" s="59"/>
      <c r="O294" s="32">
        <f>I285+I286+I288+I290+I291+I292+SUM(I289:I289)</f>
        <v>4316.1400000000003</v>
      </c>
      <c r="P294" s="32">
        <f>K285+K286+K288+K290+K291+K292+SUM(K289:K289)</f>
        <v>17286.580000000002</v>
      </c>
      <c r="X294">
        <f>IF(Source!BI234&lt;=1,I285+I286+I288+I290+I291+I292-0, 0)</f>
        <v>143.29</v>
      </c>
      <c r="Y294">
        <f>IF(Source!BI234=2,I285+I286+I288+I290+I291+I292-0, 0)</f>
        <v>0</v>
      </c>
      <c r="Z294">
        <f>IF(Source!BI234=3,I285+I286+I288+I290+I291+I292-0, 0)</f>
        <v>0</v>
      </c>
      <c r="AA294">
        <f>IF(Source!BI234=4,I285+I286+I288+I290+I291+I292,0)</f>
        <v>0</v>
      </c>
    </row>
    <row r="296" spans="1:27" ht="15" x14ac:dyDescent="0.25">
      <c r="A296" s="57" t="str">
        <f>CONCATENATE("Итого по подразделу: ",IF(Source!G238&lt;&gt;"Новый подраздел", Source!G238, ""))</f>
        <v>Итого по подразделу: Входная группа</v>
      </c>
      <c r="B296" s="57"/>
      <c r="C296" s="57"/>
      <c r="D296" s="57"/>
      <c r="E296" s="57"/>
      <c r="F296" s="57"/>
      <c r="G296" s="57"/>
      <c r="H296" s="55">
        <f>SUM(O180:O295)</f>
        <v>71432.33</v>
      </c>
      <c r="I296" s="56"/>
      <c r="J296" s="55">
        <f>SUM(P180:P295)</f>
        <v>221095.48000000004</v>
      </c>
      <c r="K296" s="56"/>
    </row>
    <row r="297" spans="1:27" ht="15" hidden="1" x14ac:dyDescent="0.25">
      <c r="A297" s="57" t="s">
        <v>900</v>
      </c>
      <c r="B297" s="57"/>
      <c r="C297" s="57"/>
      <c r="D297" s="57"/>
      <c r="E297" s="57"/>
      <c r="F297" s="57"/>
      <c r="G297" s="57"/>
      <c r="H297" s="55">
        <f>SUM(AC180:AC296)</f>
        <v>0</v>
      </c>
      <c r="I297" s="56"/>
      <c r="J297" s="55">
        <f>SUM(AD180:AD296)</f>
        <v>0</v>
      </c>
      <c r="K297" s="56"/>
    </row>
    <row r="299" spans="1:27" ht="16.5" x14ac:dyDescent="0.25">
      <c r="A299" s="60" t="str">
        <f>CONCATENATE("Подраздел: ",IF(Source!G267&lt;&gt;"Новый подраздел", Source!G267, ""))</f>
        <v>Подраздел: Обеспечение доступа МГН</v>
      </c>
      <c r="B299" s="60"/>
      <c r="C299" s="60"/>
      <c r="D299" s="60"/>
      <c r="E299" s="60"/>
      <c r="F299" s="60"/>
      <c r="G299" s="60"/>
      <c r="H299" s="60"/>
      <c r="I299" s="60"/>
      <c r="J299" s="60"/>
      <c r="K299" s="60"/>
    </row>
    <row r="300" spans="1:27" ht="42.75" x14ac:dyDescent="0.2">
      <c r="A300" s="23" t="str">
        <f>Source!E272</f>
        <v>24</v>
      </c>
      <c r="B300" s="24" t="str">
        <f>Source!F272</f>
        <v>3.11-47-1</v>
      </c>
      <c r="C300" s="24" t="str">
        <f>Source!G272</f>
        <v>Укладка тактильных плиток (указателей) поливинилхлоридных размером 300х300х4 мм на клее</v>
      </c>
      <c r="D300" s="25" t="str">
        <f>Source!H272</f>
        <v>10 шт.</v>
      </c>
      <c r="E300" s="12">
        <f>Source!I272</f>
        <v>3.5</v>
      </c>
      <c r="F300" s="27"/>
      <c r="G300" s="26"/>
      <c r="H300" s="12"/>
      <c r="I300" s="28"/>
      <c r="J300" s="12"/>
      <c r="K300" s="28"/>
      <c r="Q300">
        <f>ROUND((Source!DN272/100)*ROUND((Source!AF272*Source!AV272)*Source!I272, 2), 2)</f>
        <v>19.64</v>
      </c>
      <c r="R300">
        <f>Source!X272</f>
        <v>327.33999999999997</v>
      </c>
      <c r="S300">
        <f>ROUND((Source!DO272/100)*ROUND((Source!AF272*Source!AV272)*Source!I272, 2), 2)</f>
        <v>13.22</v>
      </c>
      <c r="T300">
        <f>Source!Y272</f>
        <v>157.88999999999999</v>
      </c>
      <c r="U300">
        <f>ROUND((175/100)*ROUND((Source!AE272*Source!AV272)*Source!I272, 2), 2)</f>
        <v>0.84</v>
      </c>
      <c r="V300">
        <f>ROUND((168/100)*ROUND(Source!CS272*Source!I272, 2), 2)</f>
        <v>16.5</v>
      </c>
    </row>
    <row r="301" spans="1:27" x14ac:dyDescent="0.2">
      <c r="C301" s="29" t="str">
        <f>"Объем: "&amp;Source!I272&amp;"=35/"&amp;"10"</f>
        <v>Объем: 3,5=35/10</v>
      </c>
    </row>
    <row r="302" spans="1:27" ht="14.25" x14ac:dyDescent="0.2">
      <c r="A302" s="23"/>
      <c r="B302" s="24"/>
      <c r="C302" s="24" t="s">
        <v>890</v>
      </c>
      <c r="D302" s="25"/>
      <c r="E302" s="12"/>
      <c r="F302" s="27">
        <f>Source!AO272</f>
        <v>4.6900000000000004</v>
      </c>
      <c r="G302" s="26" t="str">
        <f>Source!DG272</f>
        <v>)*1,15</v>
      </c>
      <c r="H302" s="12">
        <f>Source!AV272</f>
        <v>1</v>
      </c>
      <c r="I302" s="28">
        <f>ROUND((Source!AF272*Source!AV272)*Source!I272, 2)</f>
        <v>18.88</v>
      </c>
      <c r="J302" s="12">
        <f>IF(Source!BA272&lt;&gt; 0, Source!BA272, 1)</f>
        <v>20.399999999999999</v>
      </c>
      <c r="K302" s="28">
        <f>Source!S272</f>
        <v>385.1</v>
      </c>
      <c r="W302">
        <f>I302</f>
        <v>18.88</v>
      </c>
    </row>
    <row r="303" spans="1:27" ht="14.25" x14ac:dyDescent="0.2">
      <c r="A303" s="23"/>
      <c r="B303" s="24"/>
      <c r="C303" s="24" t="s">
        <v>891</v>
      </c>
      <c r="D303" s="25"/>
      <c r="E303" s="12"/>
      <c r="F303" s="27">
        <f>Source!AM272</f>
        <v>0.6</v>
      </c>
      <c r="G303" s="26" t="str">
        <f>Source!DE272</f>
        <v>)*1,25</v>
      </c>
      <c r="H303" s="12">
        <f>Source!AV272</f>
        <v>1</v>
      </c>
      <c r="I303" s="28">
        <f>ROUND((Source!AD272*Source!AV272)*Source!I272, 2)</f>
        <v>2.63</v>
      </c>
      <c r="J303" s="12">
        <f>IF(Source!BB272&lt;&gt; 0, Source!BB272, 1)</f>
        <v>7</v>
      </c>
      <c r="K303" s="28">
        <f>Source!Q272</f>
        <v>18.38</v>
      </c>
    </row>
    <row r="304" spans="1:27" ht="14.25" x14ac:dyDescent="0.2">
      <c r="A304" s="23"/>
      <c r="B304" s="24"/>
      <c r="C304" s="24" t="s">
        <v>892</v>
      </c>
      <c r="D304" s="25"/>
      <c r="E304" s="12"/>
      <c r="F304" s="27">
        <f>Source!AN272</f>
        <v>0.11</v>
      </c>
      <c r="G304" s="26" t="str">
        <f>Source!DF272</f>
        <v>)*1,25</v>
      </c>
      <c r="H304" s="12">
        <f>Source!AV272</f>
        <v>1</v>
      </c>
      <c r="I304" s="30">
        <f>ROUND((Source!AE272*Source!AV272)*Source!I272, 2)</f>
        <v>0.48</v>
      </c>
      <c r="J304" s="12">
        <f>IF(Source!BS272&lt;&gt; 0, Source!BS272, 1)</f>
        <v>20.399999999999999</v>
      </c>
      <c r="K304" s="30">
        <f>Source!R272</f>
        <v>9.82</v>
      </c>
      <c r="W304">
        <f>I304</f>
        <v>0.48</v>
      </c>
    </row>
    <row r="305" spans="1:27" ht="14.25" x14ac:dyDescent="0.2">
      <c r="A305" s="23"/>
      <c r="B305" s="24"/>
      <c r="C305" s="24" t="s">
        <v>899</v>
      </c>
      <c r="D305" s="25"/>
      <c r="E305" s="12"/>
      <c r="F305" s="27">
        <f>Source!AL272</f>
        <v>11.75</v>
      </c>
      <c r="G305" s="26" t="str">
        <f>Source!DD272</f>
        <v/>
      </c>
      <c r="H305" s="12">
        <f>Source!AW272</f>
        <v>1</v>
      </c>
      <c r="I305" s="28">
        <f>ROUND((Source!AC272*Source!AW272)*Source!I272, 2)</f>
        <v>41.13</v>
      </c>
      <c r="J305" s="12">
        <f>IF(Source!BC272&lt;&gt; 0, Source!BC272, 1)</f>
        <v>2</v>
      </c>
      <c r="K305" s="28">
        <f>Source!P272</f>
        <v>82.25</v>
      </c>
    </row>
    <row r="306" spans="1:27" ht="42.75" x14ac:dyDescent="0.2">
      <c r="A306" s="23" t="str">
        <f>Source!E274</f>
        <v>24,1</v>
      </c>
      <c r="B306" s="24" t="str">
        <f>Source!F274</f>
        <v>1.1-1-3574</v>
      </c>
      <c r="C306" s="24" t="str">
        <f>Source!G274</f>
        <v>Плитка тактильная поливинилхлоридная, размеры 300х300х4 мм</v>
      </c>
      <c r="D306" s="25" t="str">
        <f>Source!H274</f>
        <v>м2</v>
      </c>
      <c r="E306" s="12">
        <f>Source!I274</f>
        <v>3.15</v>
      </c>
      <c r="F306" s="27">
        <f>Source!AK274</f>
        <v>175.56</v>
      </c>
      <c r="G306" s="31" t="s">
        <v>3</v>
      </c>
      <c r="H306" s="12">
        <f>Source!AW274</f>
        <v>1</v>
      </c>
      <c r="I306" s="28">
        <f>ROUND((Source!AC274*Source!AW274)*Source!I274, 2)+ROUND((Source!AD274*Source!AV274)*Source!I274, 2)+ROUND((Source!AF274*Source!AV274)*Source!I274, 2)</f>
        <v>553.01</v>
      </c>
      <c r="J306" s="12">
        <f>IF(Source!BC274&lt;&gt; 0, Source!BC274, 1)</f>
        <v>9.35</v>
      </c>
      <c r="K306" s="28">
        <f>Source!O274</f>
        <v>5170.68</v>
      </c>
      <c r="Q306">
        <f>ROUND((Source!DN274/100)*ROUND((Source!AF274*Source!AV274)*Source!I274, 2), 2)</f>
        <v>0</v>
      </c>
      <c r="R306">
        <f>Source!X274</f>
        <v>0</v>
      </c>
      <c r="S306">
        <f>ROUND((Source!DO274/100)*ROUND((Source!AF274*Source!AV274)*Source!I274, 2), 2)</f>
        <v>0</v>
      </c>
      <c r="T306">
        <f>Source!Y274</f>
        <v>0</v>
      </c>
      <c r="U306">
        <f>ROUND((175/100)*ROUND((Source!AE274*Source!AV274)*Source!I274, 2), 2)</f>
        <v>0</v>
      </c>
      <c r="V306">
        <f>ROUND((168/100)*ROUND(Source!CS274*Source!I274, 2), 2)</f>
        <v>0</v>
      </c>
      <c r="X306">
        <f>IF(Source!BI274&lt;=1,I306, 0)</f>
        <v>553.01</v>
      </c>
      <c r="Y306">
        <f>IF(Source!BI274=2,I306, 0)</f>
        <v>0</v>
      </c>
      <c r="Z306">
        <f>IF(Source!BI274=3,I306, 0)</f>
        <v>0</v>
      </c>
      <c r="AA306">
        <f>IF(Source!BI274=4,I306, 0)</f>
        <v>0</v>
      </c>
    </row>
    <row r="307" spans="1:27" ht="14.25" x14ac:dyDescent="0.2">
      <c r="A307" s="23"/>
      <c r="B307" s="24"/>
      <c r="C307" s="24" t="s">
        <v>893</v>
      </c>
      <c r="D307" s="25" t="s">
        <v>894</v>
      </c>
      <c r="E307" s="12">
        <f>Source!DN272</f>
        <v>104</v>
      </c>
      <c r="F307" s="27"/>
      <c r="G307" s="26"/>
      <c r="H307" s="12"/>
      <c r="I307" s="28">
        <f>SUM(Q300:Q306)</f>
        <v>19.64</v>
      </c>
      <c r="J307" s="12">
        <f>Source!BZ272</f>
        <v>85</v>
      </c>
      <c r="K307" s="28">
        <f>SUM(R300:R306)</f>
        <v>327.33999999999997</v>
      </c>
    </row>
    <row r="308" spans="1:27" ht="14.25" x14ac:dyDescent="0.2">
      <c r="A308" s="23"/>
      <c r="B308" s="24"/>
      <c r="C308" s="24" t="s">
        <v>895</v>
      </c>
      <c r="D308" s="25" t="s">
        <v>894</v>
      </c>
      <c r="E308" s="12">
        <f>Source!DO272</f>
        <v>70</v>
      </c>
      <c r="F308" s="27"/>
      <c r="G308" s="26"/>
      <c r="H308" s="12"/>
      <c r="I308" s="28">
        <f>SUM(S300:S307)</f>
        <v>13.22</v>
      </c>
      <c r="J308" s="12">
        <f>Source!CA272</f>
        <v>41</v>
      </c>
      <c r="K308" s="28">
        <f>SUM(T300:T307)</f>
        <v>157.88999999999999</v>
      </c>
    </row>
    <row r="309" spans="1:27" ht="14.25" x14ac:dyDescent="0.2">
      <c r="A309" s="23"/>
      <c r="B309" s="24"/>
      <c r="C309" s="24" t="s">
        <v>896</v>
      </c>
      <c r="D309" s="25" t="s">
        <v>894</v>
      </c>
      <c r="E309" s="12">
        <f>175</f>
        <v>175</v>
      </c>
      <c r="F309" s="27"/>
      <c r="G309" s="26"/>
      <c r="H309" s="12"/>
      <c r="I309" s="28">
        <f>SUM(U300:U308)</f>
        <v>0.84</v>
      </c>
      <c r="J309" s="12">
        <f>168</f>
        <v>168</v>
      </c>
      <c r="K309" s="28">
        <f>SUM(V300:V308)</f>
        <v>16.5</v>
      </c>
    </row>
    <row r="310" spans="1:27" ht="14.25" x14ac:dyDescent="0.2">
      <c r="A310" s="23"/>
      <c r="B310" s="24"/>
      <c r="C310" s="24" t="s">
        <v>897</v>
      </c>
      <c r="D310" s="25" t="s">
        <v>898</v>
      </c>
      <c r="E310" s="12">
        <f>Source!AQ272</f>
        <v>0.4</v>
      </c>
      <c r="F310" s="27"/>
      <c r="G310" s="26" t="str">
        <f>Source!DI272</f>
        <v>)*1,15</v>
      </c>
      <c r="H310" s="12">
        <f>Source!AV272</f>
        <v>1</v>
      </c>
      <c r="I310" s="28">
        <f>Source!U272</f>
        <v>1.6099999999999999</v>
      </c>
      <c r="J310" s="12"/>
      <c r="K310" s="28"/>
    </row>
    <row r="311" spans="1:27" ht="15" x14ac:dyDescent="0.25">
      <c r="A311" s="33"/>
      <c r="B311" s="33"/>
      <c r="C311" s="33"/>
      <c r="D311" s="33"/>
      <c r="E311" s="33"/>
      <c r="F311" s="33"/>
      <c r="G311" s="33"/>
      <c r="H311" s="59">
        <f>I302+I303+I305+I307+I308+I309+SUM(I306:I306)</f>
        <v>649.35</v>
      </c>
      <c r="I311" s="59"/>
      <c r="J311" s="59">
        <f>K302+K303+K305+K307+K308+K309+SUM(K306:K306)</f>
        <v>6158.14</v>
      </c>
      <c r="K311" s="59"/>
      <c r="O311" s="32">
        <f>I302+I303+I305+I307+I308+I309+SUM(I306:I306)</f>
        <v>649.35</v>
      </c>
      <c r="P311" s="32">
        <f>K302+K303+K305+K307+K308+K309+SUM(K306:K306)</f>
        <v>6158.14</v>
      </c>
      <c r="X311">
        <f>IF(Source!BI272&lt;=1,I302+I303+I305+I307+I308+I309-0, 0)</f>
        <v>96.34</v>
      </c>
      <c r="Y311">
        <f>IF(Source!BI272=2,I302+I303+I305+I307+I308+I309-0, 0)</f>
        <v>0</v>
      </c>
      <c r="Z311">
        <f>IF(Source!BI272=3,I302+I303+I305+I307+I308+I309-0, 0)</f>
        <v>0</v>
      </c>
      <c r="AA311">
        <f>IF(Source!BI272=4,I302+I303+I305+I307+I308+I309,0)</f>
        <v>0</v>
      </c>
    </row>
    <row r="312" spans="1:27" ht="57" x14ac:dyDescent="0.2">
      <c r="A312" s="23" t="str">
        <f>Source!E276</f>
        <v>25</v>
      </c>
      <c r="B312" s="24" t="str">
        <f>Source!F276</f>
        <v>3.47-76-4</v>
      </c>
      <c r="C312" s="24" t="str">
        <f>Source!G276</f>
        <v>Укладка наземных тактильных плит (указателей) на слой сухой цементно-песчаной смеси вручную, плитка размером 500х500х100 (80) мм</v>
      </c>
      <c r="D312" s="25" t="str">
        <f>Source!H276</f>
        <v>10 шт.</v>
      </c>
      <c r="E312" s="12">
        <f>Source!I276</f>
        <v>0.8</v>
      </c>
      <c r="F312" s="27"/>
      <c r="G312" s="26"/>
      <c r="H312" s="12"/>
      <c r="I312" s="28"/>
      <c r="J312" s="12"/>
      <c r="K312" s="28"/>
      <c r="Q312">
        <f>ROUND((Source!DN276/100)*ROUND((Source!AF276*Source!AV276)*Source!I276, 2), 2)</f>
        <v>62.12</v>
      </c>
      <c r="R312">
        <f>Source!X276</f>
        <v>731.05</v>
      </c>
      <c r="S312">
        <f>ROUND((Source!DO276/100)*ROUND((Source!AF276*Source!AV276)*Source!I276, 2), 2)</f>
        <v>33.450000000000003</v>
      </c>
      <c r="T312">
        <f>Source!Y276</f>
        <v>333.03</v>
      </c>
      <c r="U312">
        <f>ROUND((175/100)*ROUND((Source!AE276*Source!AV276)*Source!I276, 2), 2)</f>
        <v>3.38</v>
      </c>
      <c r="V312">
        <f>ROUND((168/100)*ROUND(Source!CS276*Source!I276, 2), 2)</f>
        <v>66.14</v>
      </c>
    </row>
    <row r="313" spans="1:27" x14ac:dyDescent="0.2">
      <c r="C313" s="29" t="str">
        <f>"Объем: "&amp;Source!I276&amp;"=8/"&amp;"10"</f>
        <v>Объем: 0,8=8/10</v>
      </c>
    </row>
    <row r="314" spans="1:27" ht="14.25" x14ac:dyDescent="0.2">
      <c r="A314" s="23"/>
      <c r="B314" s="24"/>
      <c r="C314" s="24" t="s">
        <v>890</v>
      </c>
      <c r="D314" s="25"/>
      <c r="E314" s="12"/>
      <c r="F314" s="27">
        <f>Source!AO276</f>
        <v>43.28</v>
      </c>
      <c r="G314" s="26" t="str">
        <f>Source!DG276</f>
        <v>)*1,15</v>
      </c>
      <c r="H314" s="12">
        <f>Source!AV276</f>
        <v>1</v>
      </c>
      <c r="I314" s="28">
        <f>ROUND((Source!AF276*Source!AV276)*Source!I276, 2)</f>
        <v>39.82</v>
      </c>
      <c r="J314" s="12">
        <f>IF(Source!BA276&lt;&gt; 0, Source!BA276, 1)</f>
        <v>20.399999999999999</v>
      </c>
      <c r="K314" s="28">
        <f>Source!S276</f>
        <v>812.28</v>
      </c>
      <c r="W314">
        <f>I314</f>
        <v>39.82</v>
      </c>
    </row>
    <row r="315" spans="1:27" ht="14.25" x14ac:dyDescent="0.2">
      <c r="A315" s="23"/>
      <c r="B315" s="24"/>
      <c r="C315" s="24" t="s">
        <v>891</v>
      </c>
      <c r="D315" s="25"/>
      <c r="E315" s="12"/>
      <c r="F315" s="27">
        <f>Source!AM276</f>
        <v>7.49</v>
      </c>
      <c r="G315" s="26" t="str">
        <f>Source!DE276</f>
        <v>)*1,25</v>
      </c>
      <c r="H315" s="12">
        <f>Source!AV276</f>
        <v>1</v>
      </c>
      <c r="I315" s="28">
        <f>ROUND((Source!AD276*Source!AV276)*Source!I276, 2)</f>
        <v>7.49</v>
      </c>
      <c r="J315" s="12">
        <f>IF(Source!BB276&lt;&gt; 0, Source!BB276, 1)</f>
        <v>8.76</v>
      </c>
      <c r="K315" s="28">
        <f>Source!Q276</f>
        <v>65.61</v>
      </c>
    </row>
    <row r="316" spans="1:27" ht="14.25" x14ac:dyDescent="0.2">
      <c r="A316" s="23"/>
      <c r="B316" s="24"/>
      <c r="C316" s="24" t="s">
        <v>892</v>
      </c>
      <c r="D316" s="25"/>
      <c r="E316" s="12"/>
      <c r="F316" s="27">
        <f>Source!AN276</f>
        <v>1.93</v>
      </c>
      <c r="G316" s="26" t="str">
        <f>Source!DF276</f>
        <v>)*1,25</v>
      </c>
      <c r="H316" s="12">
        <f>Source!AV276</f>
        <v>1</v>
      </c>
      <c r="I316" s="30">
        <f>ROUND((Source!AE276*Source!AV276)*Source!I276, 2)</f>
        <v>1.93</v>
      </c>
      <c r="J316" s="12">
        <f>IF(Source!BS276&lt;&gt; 0, Source!BS276, 1)</f>
        <v>20.399999999999999</v>
      </c>
      <c r="K316" s="30">
        <f>Source!R276</f>
        <v>39.369999999999997</v>
      </c>
      <c r="W316">
        <f>I316</f>
        <v>1.93</v>
      </c>
    </row>
    <row r="317" spans="1:27" ht="14.25" x14ac:dyDescent="0.2">
      <c r="A317" s="23"/>
      <c r="B317" s="24"/>
      <c r="C317" s="24" t="s">
        <v>899</v>
      </c>
      <c r="D317" s="25"/>
      <c r="E317" s="12"/>
      <c r="F317" s="27">
        <f>Source!AL276</f>
        <v>0.18</v>
      </c>
      <c r="G317" s="26" t="str">
        <f>Source!DD276</f>
        <v/>
      </c>
      <c r="H317" s="12">
        <f>Source!AW276</f>
        <v>1</v>
      </c>
      <c r="I317" s="28">
        <f>ROUND((Source!AC276*Source!AW276)*Source!I276, 2)</f>
        <v>0.14000000000000001</v>
      </c>
      <c r="J317" s="12">
        <f>IF(Source!BC276&lt;&gt; 0, Source!BC276, 1)</f>
        <v>4.17</v>
      </c>
      <c r="K317" s="28">
        <f>Source!P276</f>
        <v>0.6</v>
      </c>
    </row>
    <row r="318" spans="1:27" ht="42.75" x14ac:dyDescent="0.2">
      <c r="A318" s="23" t="str">
        <f>Source!E278</f>
        <v>25,1</v>
      </c>
      <c r="B318" s="24" t="str">
        <f>Source!F278</f>
        <v>1.3-2-163</v>
      </c>
      <c r="C318" s="24" t="str">
        <f>Source!G278</f>
        <v>Смеси сухие цементно-песчаные, универсальные для общестроительных и штукатурных работ, марка М-150</v>
      </c>
      <c r="D318" s="25" t="str">
        <f>Source!H278</f>
        <v>т</v>
      </c>
      <c r="E318" s="12">
        <f>Source!I278</f>
        <v>0.1148</v>
      </c>
      <c r="F318" s="27">
        <f>Source!AK278</f>
        <v>575.97</v>
      </c>
      <c r="G318" s="31" t="s">
        <v>3</v>
      </c>
      <c r="H318" s="12">
        <f>Source!AW278</f>
        <v>1</v>
      </c>
      <c r="I318" s="28">
        <f>ROUND((Source!AC278*Source!AW278)*Source!I278, 2)+ROUND((Source!AD278*Source!AV278)*Source!I278, 2)+ROUND((Source!AF278*Source!AV278)*Source!I278, 2)</f>
        <v>66.12</v>
      </c>
      <c r="J318" s="12">
        <f>IF(Source!BC278&lt;&gt; 0, Source!BC278, 1)</f>
        <v>5.0999999999999996</v>
      </c>
      <c r="K318" s="28">
        <f>Source!O278</f>
        <v>337.22</v>
      </c>
      <c r="Q318">
        <f>ROUND((Source!DN278/100)*ROUND((Source!AF278*Source!AV278)*Source!I278, 2), 2)</f>
        <v>0</v>
      </c>
      <c r="R318">
        <f>Source!X278</f>
        <v>0</v>
      </c>
      <c r="S318">
        <f>ROUND((Source!DO278/100)*ROUND((Source!AF278*Source!AV278)*Source!I278, 2), 2)</f>
        <v>0</v>
      </c>
      <c r="T318">
        <f>Source!Y278</f>
        <v>0</v>
      </c>
      <c r="U318">
        <f>ROUND((175/100)*ROUND((Source!AE278*Source!AV278)*Source!I278, 2), 2)</f>
        <v>0</v>
      </c>
      <c r="V318">
        <f>ROUND((168/100)*ROUND(Source!CS278*Source!I278, 2), 2)</f>
        <v>0</v>
      </c>
      <c r="X318">
        <f>IF(Source!BI278&lt;=1,I318, 0)</f>
        <v>66.12</v>
      </c>
      <c r="Y318">
        <f>IF(Source!BI278=2,I318, 0)</f>
        <v>0</v>
      </c>
      <c r="Z318">
        <f>IF(Source!BI278=3,I318, 0)</f>
        <v>0</v>
      </c>
      <c r="AA318">
        <f>IF(Source!BI278=4,I318, 0)</f>
        <v>0</v>
      </c>
    </row>
    <row r="319" spans="1:27" ht="42.75" x14ac:dyDescent="0.2">
      <c r="A319" s="23" t="str">
        <f>Source!E280</f>
        <v>25,2</v>
      </c>
      <c r="B319" s="24" t="str">
        <f>Source!F280</f>
        <v>1.5-3-492</v>
      </c>
      <c r="C319" s="24" t="str">
        <f>Source!G280</f>
        <v>Плиты бетонные тротуарные тактильные, толщина 80 мм, цвет серый</v>
      </c>
      <c r="D319" s="25" t="str">
        <f>Source!H280</f>
        <v>м2</v>
      </c>
      <c r="E319" s="12">
        <f>Source!I280</f>
        <v>2.88</v>
      </c>
      <c r="F319" s="27">
        <f>Source!AK280</f>
        <v>227.22</v>
      </c>
      <c r="G319" s="31" t="s">
        <v>3</v>
      </c>
      <c r="H319" s="12">
        <f>Source!AW280</f>
        <v>1</v>
      </c>
      <c r="I319" s="28">
        <f>ROUND((Source!AC280*Source!AW280)*Source!I280, 2)+ROUND((Source!AD280*Source!AV280)*Source!I280, 2)+ROUND((Source!AF280*Source!AV280)*Source!I280, 2)</f>
        <v>654.39</v>
      </c>
      <c r="J319" s="12">
        <f>IF(Source!BC280&lt;&gt; 0, Source!BC280, 1)</f>
        <v>3.43</v>
      </c>
      <c r="K319" s="28">
        <f>Source!O280</f>
        <v>2244.5700000000002</v>
      </c>
      <c r="Q319">
        <f>ROUND((Source!DN280/100)*ROUND((Source!AF280*Source!AV280)*Source!I280, 2), 2)</f>
        <v>0</v>
      </c>
      <c r="R319">
        <f>Source!X280</f>
        <v>0</v>
      </c>
      <c r="S319">
        <f>ROUND((Source!DO280/100)*ROUND((Source!AF280*Source!AV280)*Source!I280, 2), 2)</f>
        <v>0</v>
      </c>
      <c r="T319">
        <f>Source!Y280</f>
        <v>0</v>
      </c>
      <c r="U319">
        <f>ROUND((175/100)*ROUND((Source!AE280*Source!AV280)*Source!I280, 2), 2)</f>
        <v>0</v>
      </c>
      <c r="V319">
        <f>ROUND((168/100)*ROUND(Source!CS280*Source!I280, 2), 2)</f>
        <v>0</v>
      </c>
      <c r="X319">
        <f>IF(Source!BI280&lt;=1,I319, 0)</f>
        <v>654.39</v>
      </c>
      <c r="Y319">
        <f>IF(Source!BI280=2,I319, 0)</f>
        <v>0</v>
      </c>
      <c r="Z319">
        <f>IF(Source!BI280=3,I319, 0)</f>
        <v>0</v>
      </c>
      <c r="AA319">
        <f>IF(Source!BI280=4,I319, 0)</f>
        <v>0</v>
      </c>
    </row>
    <row r="320" spans="1:27" ht="14.25" x14ac:dyDescent="0.2">
      <c r="A320" s="23"/>
      <c r="B320" s="24"/>
      <c r="C320" s="24" t="s">
        <v>893</v>
      </c>
      <c r="D320" s="25" t="s">
        <v>894</v>
      </c>
      <c r="E320" s="12">
        <f>Source!DN276</f>
        <v>156</v>
      </c>
      <c r="F320" s="27"/>
      <c r="G320" s="26"/>
      <c r="H320" s="12"/>
      <c r="I320" s="28">
        <f>SUM(Q312:Q319)</f>
        <v>62.12</v>
      </c>
      <c r="J320" s="12">
        <f>Source!BZ276</f>
        <v>90</v>
      </c>
      <c r="K320" s="28">
        <f>SUM(R312:R319)</f>
        <v>731.05</v>
      </c>
    </row>
    <row r="321" spans="1:27" ht="14.25" x14ac:dyDescent="0.2">
      <c r="A321" s="23"/>
      <c r="B321" s="24"/>
      <c r="C321" s="24" t="s">
        <v>895</v>
      </c>
      <c r="D321" s="25" t="s">
        <v>894</v>
      </c>
      <c r="E321" s="12">
        <f>Source!DO276</f>
        <v>84</v>
      </c>
      <c r="F321" s="27"/>
      <c r="G321" s="26"/>
      <c r="H321" s="12"/>
      <c r="I321" s="28">
        <f>SUM(S312:S320)</f>
        <v>33.450000000000003</v>
      </c>
      <c r="J321" s="12">
        <f>Source!CA276</f>
        <v>41</v>
      </c>
      <c r="K321" s="28">
        <f>SUM(T312:T320)</f>
        <v>333.03</v>
      </c>
    </row>
    <row r="322" spans="1:27" ht="14.25" x14ac:dyDescent="0.2">
      <c r="A322" s="23"/>
      <c r="B322" s="24"/>
      <c r="C322" s="24" t="s">
        <v>896</v>
      </c>
      <c r="D322" s="25" t="s">
        <v>894</v>
      </c>
      <c r="E322" s="12">
        <f>175</f>
        <v>175</v>
      </c>
      <c r="F322" s="27"/>
      <c r="G322" s="26"/>
      <c r="H322" s="12"/>
      <c r="I322" s="28">
        <f>SUM(U312:U321)</f>
        <v>3.38</v>
      </c>
      <c r="J322" s="12">
        <f>168</f>
        <v>168</v>
      </c>
      <c r="K322" s="28">
        <f>SUM(V312:V321)</f>
        <v>66.14</v>
      </c>
    </row>
    <row r="323" spans="1:27" ht="14.25" x14ac:dyDescent="0.2">
      <c r="A323" s="23"/>
      <c r="B323" s="24"/>
      <c r="C323" s="24" t="s">
        <v>897</v>
      </c>
      <c r="D323" s="25" t="s">
        <v>898</v>
      </c>
      <c r="E323" s="12">
        <f>Source!AQ276</f>
        <v>3.88</v>
      </c>
      <c r="F323" s="27"/>
      <c r="G323" s="26" t="str">
        <f>Source!DI276</f>
        <v>)*1,15</v>
      </c>
      <c r="H323" s="12">
        <f>Source!AV276</f>
        <v>1</v>
      </c>
      <c r="I323" s="28">
        <f>Source!U276</f>
        <v>3.5695999999999999</v>
      </c>
      <c r="J323" s="12"/>
      <c r="K323" s="28"/>
    </row>
    <row r="324" spans="1:27" ht="15" x14ac:dyDescent="0.25">
      <c r="A324" s="33"/>
      <c r="B324" s="33"/>
      <c r="C324" s="33"/>
      <c r="D324" s="33"/>
      <c r="E324" s="33"/>
      <c r="F324" s="33"/>
      <c r="G324" s="33"/>
      <c r="H324" s="59">
        <f>I314+I315+I317+I320+I321+I322+SUM(I318:I319)</f>
        <v>866.91</v>
      </c>
      <c r="I324" s="59"/>
      <c r="J324" s="59">
        <f>K314+K315+K317+K320+K321+K322+SUM(K318:K319)</f>
        <v>4590.5</v>
      </c>
      <c r="K324" s="59"/>
      <c r="O324" s="32">
        <f>I314+I315+I317+I320+I321+I322+SUM(I318:I319)</f>
        <v>866.91</v>
      </c>
      <c r="P324" s="32">
        <f>K314+K315+K317+K320+K321+K322+SUM(K318:K319)</f>
        <v>4590.5</v>
      </c>
      <c r="X324">
        <f>IF(Source!BI276&lt;=1,I314+I315+I317+I320+I321+I322-0, 0)</f>
        <v>146.39999999999998</v>
      </c>
      <c r="Y324">
        <f>IF(Source!BI276=2,I314+I315+I317+I320+I321+I322-0, 0)</f>
        <v>0</v>
      </c>
      <c r="Z324">
        <f>IF(Source!BI276=3,I314+I315+I317+I320+I321+I322-0, 0)</f>
        <v>0</v>
      </c>
      <c r="AA324">
        <f>IF(Source!BI276=4,I314+I315+I317+I320+I321+I322,0)</f>
        <v>0</v>
      </c>
    </row>
    <row r="325" spans="1:27" ht="57" x14ac:dyDescent="0.2">
      <c r="A325" s="23" t="str">
        <f>Source!E282</f>
        <v>26</v>
      </c>
      <c r="B325" s="24" t="str">
        <f>Source!F282</f>
        <v>3.11-27-1</v>
      </c>
      <c r="C325" s="24" t="str">
        <f>Source!G282</f>
        <v>Покрытие полов мягкими коврами по готовому основанию без галтелей или плинтусов на клей "Бустилат" (лента противоскользящаям 0,025*3,4м)</v>
      </c>
      <c r="D325" s="25" t="str">
        <f>Source!H282</f>
        <v>100 м2 покрытия</v>
      </c>
      <c r="E325" s="12">
        <f>Source!I282</f>
        <v>8.4999999999999995E-4</v>
      </c>
      <c r="F325" s="27"/>
      <c r="G325" s="26"/>
      <c r="H325" s="12"/>
      <c r="I325" s="28"/>
      <c r="J325" s="12"/>
      <c r="K325" s="28"/>
      <c r="Q325">
        <f>ROUND((Source!DN282/100)*ROUND((Source!AF282*Source!AV282)*Source!I282, 2), 2)</f>
        <v>1.05</v>
      </c>
      <c r="R325">
        <f>Source!X282</f>
        <v>17.57</v>
      </c>
      <c r="S325">
        <f>ROUND((Source!DO282/100)*ROUND((Source!AF282*Source!AV282)*Source!I282, 2), 2)</f>
        <v>0.71</v>
      </c>
      <c r="T325">
        <f>Source!Y282</f>
        <v>8.4700000000000006</v>
      </c>
      <c r="U325">
        <f>ROUND((175/100)*ROUND((Source!AE282*Source!AV282)*Source!I282, 2), 2)</f>
        <v>0</v>
      </c>
      <c r="V325">
        <f>ROUND((168/100)*ROUND(Source!CS282*Source!I282, 2), 2)</f>
        <v>0</v>
      </c>
    </row>
    <row r="326" spans="1:27" x14ac:dyDescent="0.2">
      <c r="C326" s="29" t="str">
        <f>"Объем: "&amp;Source!I282&amp;"=0,085/"&amp;"100"</f>
        <v>Объем: 0,00085=0,085/100</v>
      </c>
    </row>
    <row r="327" spans="1:27" ht="14.25" x14ac:dyDescent="0.2">
      <c r="A327" s="23"/>
      <c r="B327" s="24"/>
      <c r="C327" s="24" t="s">
        <v>890</v>
      </c>
      <c r="D327" s="25"/>
      <c r="E327" s="12"/>
      <c r="F327" s="27">
        <f>Source!AO282</f>
        <v>1036.67</v>
      </c>
      <c r="G327" s="26" t="str">
        <f>Source!DG282</f>
        <v>)*1,15</v>
      </c>
      <c r="H327" s="12">
        <f>Source!AV282</f>
        <v>1</v>
      </c>
      <c r="I327" s="28">
        <f>ROUND((Source!AF282*Source!AV282)*Source!I282, 2)</f>
        <v>1.01</v>
      </c>
      <c r="J327" s="12">
        <f>IF(Source!BA282&lt;&gt; 0, Source!BA282, 1)</f>
        <v>20.399999999999999</v>
      </c>
      <c r="K327" s="28">
        <f>Source!S282</f>
        <v>20.67</v>
      </c>
      <c r="W327">
        <f>I327</f>
        <v>1.01</v>
      </c>
    </row>
    <row r="328" spans="1:27" ht="14.25" x14ac:dyDescent="0.2">
      <c r="A328" s="23"/>
      <c r="B328" s="24"/>
      <c r="C328" s="24" t="s">
        <v>899</v>
      </c>
      <c r="D328" s="25"/>
      <c r="E328" s="12"/>
      <c r="F328" s="27">
        <f>Source!AL282</f>
        <v>147.6</v>
      </c>
      <c r="G328" s="26" t="str">
        <f>Source!DD282</f>
        <v/>
      </c>
      <c r="H328" s="12">
        <f>Source!AW282</f>
        <v>1</v>
      </c>
      <c r="I328" s="28">
        <f>ROUND((Source!AC282*Source!AW282)*Source!I282, 2)</f>
        <v>0.13</v>
      </c>
      <c r="J328" s="12">
        <f>IF(Source!BC282&lt;&gt; 0, Source!BC282, 1)</f>
        <v>5.23</v>
      </c>
      <c r="K328" s="28">
        <f>Source!P282</f>
        <v>0.66</v>
      </c>
    </row>
    <row r="329" spans="1:27" ht="54" x14ac:dyDescent="0.2">
      <c r="A329" s="23" t="str">
        <f>Source!E284</f>
        <v>26,1</v>
      </c>
      <c r="B329" s="24" t="str">
        <f>Source!F284</f>
        <v>цена поставщика</v>
      </c>
      <c r="C329" s="24" t="s">
        <v>903</v>
      </c>
      <c r="D329" s="25" t="str">
        <f>Source!H284</f>
        <v>м</v>
      </c>
      <c r="E329" s="12">
        <f>Source!I284</f>
        <v>3.4</v>
      </c>
      <c r="F329" s="27">
        <f>Source!AK284</f>
        <v>20.329999999999998</v>
      </c>
      <c r="G329" s="31" t="s">
        <v>3</v>
      </c>
      <c r="H329" s="12">
        <f>Source!AW284</f>
        <v>1</v>
      </c>
      <c r="I329" s="28">
        <f>ROUND((Source!AC284*Source!AW284)*Source!I284, 2)+ROUND((Source!AD284*Source!AV284)*Source!I284, 2)+ROUND((Source!AF284*Source!AV284)*Source!I284, 2)</f>
        <v>69.12</v>
      </c>
      <c r="J329" s="12">
        <f>IF(Source!BC284&lt;&gt; 0, Source!BC284, 1)</f>
        <v>5.23</v>
      </c>
      <c r="K329" s="28">
        <f>Source!O284</f>
        <v>361.51</v>
      </c>
      <c r="Q329">
        <f>ROUND((Source!DN284/100)*ROUND((Source!AF284*Source!AV284)*Source!I284, 2), 2)</f>
        <v>0</v>
      </c>
      <c r="R329">
        <f>Source!X284</f>
        <v>0</v>
      </c>
      <c r="S329">
        <f>ROUND((Source!DO284/100)*ROUND((Source!AF284*Source!AV284)*Source!I284, 2), 2)</f>
        <v>0</v>
      </c>
      <c r="T329">
        <f>Source!Y284</f>
        <v>0</v>
      </c>
      <c r="U329">
        <f>ROUND((175/100)*ROUND((Source!AE284*Source!AV284)*Source!I284, 2), 2)</f>
        <v>0</v>
      </c>
      <c r="V329">
        <f>ROUND((168/100)*ROUND(Source!CS284*Source!I284, 2), 2)</f>
        <v>0</v>
      </c>
      <c r="X329">
        <f>IF(Source!BI284&lt;=1,I329, 0)</f>
        <v>69.12</v>
      </c>
      <c r="Y329">
        <f>IF(Source!BI284=2,I329, 0)</f>
        <v>0</v>
      </c>
      <c r="Z329">
        <f>IF(Source!BI284=3,I329, 0)</f>
        <v>0</v>
      </c>
      <c r="AA329">
        <f>IF(Source!BI284=4,I329, 0)</f>
        <v>0</v>
      </c>
    </row>
    <row r="330" spans="1:27" ht="14.25" x14ac:dyDescent="0.2">
      <c r="A330" s="23" t="str">
        <f>Source!E286</f>
        <v>26,2</v>
      </c>
      <c r="B330" s="24" t="str">
        <f>Source!F286</f>
        <v>1.1-1-389</v>
      </c>
      <c r="C330" s="24" t="str">
        <f>Source!G286</f>
        <v>Клей дисперсный, "АДМ-К"</v>
      </c>
      <c r="D330" s="25" t="str">
        <f>Source!H286</f>
        <v>т</v>
      </c>
      <c r="E330" s="12">
        <f>Source!I286</f>
        <v>5.9999999999999995E-5</v>
      </c>
      <c r="F330" s="27">
        <f>Source!AK286</f>
        <v>43326.77</v>
      </c>
      <c r="G330" s="31" t="s">
        <v>3</v>
      </c>
      <c r="H330" s="12">
        <f>Source!AW286</f>
        <v>1</v>
      </c>
      <c r="I330" s="28">
        <f>ROUND((Source!AC286*Source!AW286)*Source!I286, 2)+ROUND((Source!AD286*Source!AV286)*Source!I286, 2)+ROUND((Source!AF286*Source!AV286)*Source!I286, 2)</f>
        <v>2.6</v>
      </c>
      <c r="J330" s="12">
        <f>IF(Source!BC286&lt;&gt; 0, Source!BC286, 1)</f>
        <v>1.29</v>
      </c>
      <c r="K330" s="28">
        <f>Source!O286</f>
        <v>3.35</v>
      </c>
      <c r="Q330">
        <f>ROUND((Source!DN286/100)*ROUND((Source!AF286*Source!AV286)*Source!I286, 2), 2)</f>
        <v>0</v>
      </c>
      <c r="R330">
        <f>Source!X286</f>
        <v>0</v>
      </c>
      <c r="S330">
        <f>ROUND((Source!DO286/100)*ROUND((Source!AF286*Source!AV286)*Source!I286, 2), 2)</f>
        <v>0</v>
      </c>
      <c r="T330">
        <f>Source!Y286</f>
        <v>0</v>
      </c>
      <c r="U330">
        <f>ROUND((175/100)*ROUND((Source!AE286*Source!AV286)*Source!I286, 2), 2)</f>
        <v>0</v>
      </c>
      <c r="V330">
        <f>ROUND((168/100)*ROUND(Source!CS286*Source!I286, 2), 2)</f>
        <v>0</v>
      </c>
      <c r="X330">
        <f>IF(Source!BI286&lt;=1,I330, 0)</f>
        <v>2.6</v>
      </c>
      <c r="Y330">
        <f>IF(Source!BI286=2,I330, 0)</f>
        <v>0</v>
      </c>
      <c r="Z330">
        <f>IF(Source!BI286=3,I330, 0)</f>
        <v>0</v>
      </c>
      <c r="AA330">
        <f>IF(Source!BI286=4,I330, 0)</f>
        <v>0</v>
      </c>
    </row>
    <row r="331" spans="1:27" ht="14.25" x14ac:dyDescent="0.2">
      <c r="A331" s="23"/>
      <c r="B331" s="24"/>
      <c r="C331" s="24" t="s">
        <v>893</v>
      </c>
      <c r="D331" s="25" t="s">
        <v>894</v>
      </c>
      <c r="E331" s="12">
        <f>Source!DN282</f>
        <v>104</v>
      </c>
      <c r="F331" s="27"/>
      <c r="G331" s="26"/>
      <c r="H331" s="12"/>
      <c r="I331" s="28">
        <f>SUM(Q325:Q330)</f>
        <v>1.05</v>
      </c>
      <c r="J331" s="12">
        <f>Source!BZ282</f>
        <v>85</v>
      </c>
      <c r="K331" s="28">
        <f>SUM(R325:R330)</f>
        <v>17.57</v>
      </c>
    </row>
    <row r="332" spans="1:27" ht="14.25" x14ac:dyDescent="0.2">
      <c r="A332" s="23"/>
      <c r="B332" s="24"/>
      <c r="C332" s="24" t="s">
        <v>895</v>
      </c>
      <c r="D332" s="25" t="s">
        <v>894</v>
      </c>
      <c r="E332" s="12">
        <f>Source!DO282</f>
        <v>70</v>
      </c>
      <c r="F332" s="27"/>
      <c r="G332" s="26"/>
      <c r="H332" s="12"/>
      <c r="I332" s="28">
        <f>SUM(S325:S331)</f>
        <v>0.71</v>
      </c>
      <c r="J332" s="12">
        <f>Source!CA282</f>
        <v>41</v>
      </c>
      <c r="K332" s="28">
        <f>SUM(T325:T331)</f>
        <v>8.4700000000000006</v>
      </c>
    </row>
    <row r="333" spans="1:27" ht="14.25" x14ac:dyDescent="0.2">
      <c r="A333" s="23"/>
      <c r="B333" s="24"/>
      <c r="C333" s="24" t="s">
        <v>897</v>
      </c>
      <c r="D333" s="25" t="s">
        <v>898</v>
      </c>
      <c r="E333" s="12">
        <f>Source!AQ282</f>
        <v>83</v>
      </c>
      <c r="F333" s="27"/>
      <c r="G333" s="26" t="str">
        <f>Source!DI282</f>
        <v>)*1,15</v>
      </c>
      <c r="H333" s="12">
        <f>Source!AV282</f>
        <v>1</v>
      </c>
      <c r="I333" s="28">
        <f>Source!U282</f>
        <v>8.1132499999999982E-2</v>
      </c>
      <c r="J333" s="12"/>
      <c r="K333" s="28"/>
    </row>
    <row r="334" spans="1:27" ht="15" x14ac:dyDescent="0.25">
      <c r="A334" s="33"/>
      <c r="B334" s="33"/>
      <c r="C334" s="33"/>
      <c r="D334" s="33"/>
      <c r="E334" s="33"/>
      <c r="F334" s="33"/>
      <c r="G334" s="33"/>
      <c r="H334" s="59">
        <f>I327+I328+I331+I332+SUM(I329:I330)</f>
        <v>74.62</v>
      </c>
      <c r="I334" s="59"/>
      <c r="J334" s="59">
        <f>K327+K328+K331+K332+SUM(K329:K330)</f>
        <v>412.23</v>
      </c>
      <c r="K334" s="59"/>
      <c r="O334" s="32">
        <f>I327+I328+I331+I332+SUM(I329:I330)</f>
        <v>74.62</v>
      </c>
      <c r="P334" s="32">
        <f>K327+K328+K331+K332+SUM(K329:K330)</f>
        <v>412.23</v>
      </c>
      <c r="X334">
        <f>IF(Source!BI282&lt;=1,I327+I328+I331+I332-0, 0)</f>
        <v>2.9000000000000004</v>
      </c>
      <c r="Y334">
        <f>IF(Source!BI282=2,I327+I328+I331+I332-0, 0)</f>
        <v>0</v>
      </c>
      <c r="Z334">
        <f>IF(Source!BI282=3,I327+I328+I331+I332-0, 0)</f>
        <v>0</v>
      </c>
      <c r="AA334">
        <f>IF(Source!BI282=4,I327+I328+I331+I332,0)</f>
        <v>0</v>
      </c>
    </row>
    <row r="335" spans="1:27" ht="28.5" x14ac:dyDescent="0.2">
      <c r="A335" s="23" t="str">
        <f>Source!E288</f>
        <v>27</v>
      </c>
      <c r="B335" s="24" t="str">
        <f>Source!F288</f>
        <v>3.9-65-1</v>
      </c>
      <c r="C335" s="24" t="str">
        <f>Source!G288</f>
        <v>Установка номерных табличек для квартир</v>
      </c>
      <c r="D335" s="25" t="str">
        <f>Source!H288</f>
        <v>шт.</v>
      </c>
      <c r="E335" s="12">
        <f>Source!I288</f>
        <v>10</v>
      </c>
      <c r="F335" s="27"/>
      <c r="G335" s="26"/>
      <c r="H335" s="12"/>
      <c r="I335" s="28"/>
      <c r="J335" s="12"/>
      <c r="K335" s="28"/>
      <c r="Q335">
        <f>ROUND((Source!DN288/100)*ROUND((Source!AF288*Source!AV288)*Source!I288, 2), 2)</f>
        <v>9.8800000000000008</v>
      </c>
      <c r="R335">
        <f>Source!X288</f>
        <v>161.13</v>
      </c>
      <c r="S335">
        <f>ROUND((Source!DO288/100)*ROUND((Source!AF288*Source!AV288)*Source!I288, 2), 2)</f>
        <v>8.1300000000000008</v>
      </c>
      <c r="T335">
        <f>Source!Y288</f>
        <v>97.15</v>
      </c>
      <c r="U335">
        <f>ROUND((175/100)*ROUND((Source!AE288*Source!AV288)*Source!I288, 2), 2)</f>
        <v>0</v>
      </c>
      <c r="V335">
        <f>ROUND((168/100)*ROUND(Source!CS288*Source!I288, 2), 2)</f>
        <v>0</v>
      </c>
    </row>
    <row r="336" spans="1:27" ht="14.25" x14ac:dyDescent="0.2">
      <c r="A336" s="23"/>
      <c r="B336" s="24"/>
      <c r="C336" s="24" t="s">
        <v>890</v>
      </c>
      <c r="D336" s="25"/>
      <c r="E336" s="12"/>
      <c r="F336" s="27">
        <f>Source!AO288</f>
        <v>1.01</v>
      </c>
      <c r="G336" s="26" t="str">
        <f>Source!DG288</f>
        <v>)*1,15</v>
      </c>
      <c r="H336" s="12">
        <f>Source!AV288</f>
        <v>1</v>
      </c>
      <c r="I336" s="28">
        <f>ROUND((Source!AF288*Source!AV288)*Source!I288, 2)</f>
        <v>11.62</v>
      </c>
      <c r="J336" s="12">
        <f>IF(Source!BA288&lt;&gt; 0, Source!BA288, 1)</f>
        <v>20.399999999999999</v>
      </c>
      <c r="K336" s="28">
        <f>Source!S288</f>
        <v>236.95</v>
      </c>
      <c r="W336">
        <f>I336</f>
        <v>11.62</v>
      </c>
    </row>
    <row r="337" spans="1:27" ht="14.25" x14ac:dyDescent="0.2">
      <c r="A337" s="23"/>
      <c r="B337" s="24"/>
      <c r="C337" s="24" t="s">
        <v>899</v>
      </c>
      <c r="D337" s="25"/>
      <c r="E337" s="12"/>
      <c r="F337" s="27">
        <f>Source!AL288</f>
        <v>0.17</v>
      </c>
      <c r="G337" s="26" t="str">
        <f>Source!DD288</f>
        <v/>
      </c>
      <c r="H337" s="12">
        <f>Source!AW288</f>
        <v>1</v>
      </c>
      <c r="I337" s="28">
        <f>ROUND((Source!AC288*Source!AW288)*Source!I288, 2)</f>
        <v>1.7</v>
      </c>
      <c r="J337" s="12">
        <f>IF(Source!BC288&lt;&gt; 0, Source!BC288, 1)</f>
        <v>7.94</v>
      </c>
      <c r="K337" s="28">
        <f>Source!P288</f>
        <v>13.5</v>
      </c>
    </row>
    <row r="338" spans="1:27" ht="42.75" x14ac:dyDescent="0.2">
      <c r="A338" s="23" t="str">
        <f>Source!E290</f>
        <v>27,1</v>
      </c>
      <c r="B338" s="24" t="str">
        <f>Source!F290</f>
        <v>Цена поставщика</v>
      </c>
      <c r="C338" s="24" t="s">
        <v>904</v>
      </c>
      <c r="D338" s="25" t="str">
        <f>Source!H290</f>
        <v>шт.</v>
      </c>
      <c r="E338" s="12">
        <f>Source!I290</f>
        <v>2</v>
      </c>
      <c r="F338" s="27">
        <f>Source!AK290</f>
        <v>70.25</v>
      </c>
      <c r="G338" s="31" t="s">
        <v>3</v>
      </c>
      <c r="H338" s="12">
        <f>Source!AW290</f>
        <v>1</v>
      </c>
      <c r="I338" s="28">
        <f>ROUND((Source!AC290*Source!AW290)*Source!I290, 2)+ROUND((Source!AD290*Source!AV290)*Source!I290, 2)+ROUND((Source!AF290*Source!AV290)*Source!I290, 2)</f>
        <v>140.5</v>
      </c>
      <c r="J338" s="12">
        <f>IF(Source!BC290&lt;&gt; 0, Source!BC290, 1)</f>
        <v>5.23</v>
      </c>
      <c r="K338" s="28">
        <f>Source!O290</f>
        <v>734.82</v>
      </c>
      <c r="Q338">
        <f>ROUND((Source!DN290/100)*ROUND((Source!AF290*Source!AV290)*Source!I290, 2), 2)</f>
        <v>0</v>
      </c>
      <c r="R338">
        <f>Source!X290</f>
        <v>0</v>
      </c>
      <c r="S338">
        <f>ROUND((Source!DO290/100)*ROUND((Source!AF290*Source!AV290)*Source!I290, 2), 2)</f>
        <v>0</v>
      </c>
      <c r="T338">
        <f>Source!Y290</f>
        <v>0</v>
      </c>
      <c r="U338">
        <f>ROUND((175/100)*ROUND((Source!AE290*Source!AV290)*Source!I290, 2), 2)</f>
        <v>0</v>
      </c>
      <c r="V338">
        <f>ROUND((168/100)*ROUND(Source!CS290*Source!I290, 2), 2)</f>
        <v>0</v>
      </c>
      <c r="X338">
        <f>IF(Source!BI290&lt;=1,I338, 0)</f>
        <v>140.5</v>
      </c>
      <c r="Y338">
        <f>IF(Source!BI290=2,I338, 0)</f>
        <v>0</v>
      </c>
      <c r="Z338">
        <f>IF(Source!BI290=3,I338, 0)</f>
        <v>0</v>
      </c>
      <c r="AA338">
        <f>IF(Source!BI290=4,I338, 0)</f>
        <v>0</v>
      </c>
    </row>
    <row r="339" spans="1:27" ht="54" x14ac:dyDescent="0.2">
      <c r="A339" s="23" t="str">
        <f>Source!E292</f>
        <v>27,2</v>
      </c>
      <c r="B339" s="24" t="str">
        <f>Source!F292</f>
        <v>Цена поставщика</v>
      </c>
      <c r="C339" s="24" t="s">
        <v>905</v>
      </c>
      <c r="D339" s="25" t="str">
        <f>Source!H292</f>
        <v>шт.</v>
      </c>
      <c r="E339" s="12">
        <f>Source!I292</f>
        <v>7</v>
      </c>
      <c r="F339" s="27">
        <f>Source!AK292</f>
        <v>157.35</v>
      </c>
      <c r="G339" s="31" t="s">
        <v>3</v>
      </c>
      <c r="H339" s="12">
        <f>Source!AW292</f>
        <v>1</v>
      </c>
      <c r="I339" s="28">
        <f>ROUND((Source!AC292*Source!AW292)*Source!I292, 2)+ROUND((Source!AD292*Source!AV292)*Source!I292, 2)+ROUND((Source!AF292*Source!AV292)*Source!I292, 2)</f>
        <v>1101.45</v>
      </c>
      <c r="J339" s="12">
        <f>IF(Source!BC292&lt;&gt; 0, Source!BC292, 1)</f>
        <v>5.23</v>
      </c>
      <c r="K339" s="28">
        <f>Source!O292</f>
        <v>5760.58</v>
      </c>
      <c r="Q339">
        <f>ROUND((Source!DN292/100)*ROUND((Source!AF292*Source!AV292)*Source!I292, 2), 2)</f>
        <v>0</v>
      </c>
      <c r="R339">
        <f>Source!X292</f>
        <v>0</v>
      </c>
      <c r="S339">
        <f>ROUND((Source!DO292/100)*ROUND((Source!AF292*Source!AV292)*Source!I292, 2), 2)</f>
        <v>0</v>
      </c>
      <c r="T339">
        <f>Source!Y292</f>
        <v>0</v>
      </c>
      <c r="U339">
        <f>ROUND((175/100)*ROUND((Source!AE292*Source!AV292)*Source!I292, 2), 2)</f>
        <v>0</v>
      </c>
      <c r="V339">
        <f>ROUND((168/100)*ROUND(Source!CS292*Source!I292, 2), 2)</f>
        <v>0</v>
      </c>
      <c r="X339">
        <f>IF(Source!BI292&lt;=1,I339, 0)</f>
        <v>1101.45</v>
      </c>
      <c r="Y339">
        <f>IF(Source!BI292=2,I339, 0)</f>
        <v>0</v>
      </c>
      <c r="Z339">
        <f>IF(Source!BI292=3,I339, 0)</f>
        <v>0</v>
      </c>
      <c r="AA339">
        <f>IF(Source!BI292=4,I339, 0)</f>
        <v>0</v>
      </c>
    </row>
    <row r="340" spans="1:27" ht="54" x14ac:dyDescent="0.2">
      <c r="A340" s="23" t="str">
        <f>Source!E294</f>
        <v>27,3</v>
      </c>
      <c r="B340" s="24" t="str">
        <f>Source!F294</f>
        <v>Цена поставщика</v>
      </c>
      <c r="C340" s="24" t="s">
        <v>906</v>
      </c>
      <c r="D340" s="25" t="str">
        <f>Source!H294</f>
        <v>пара</v>
      </c>
      <c r="E340" s="12">
        <f>Source!I294</f>
        <v>1</v>
      </c>
      <c r="F340" s="27">
        <f>Source!AK294</f>
        <v>234.69</v>
      </c>
      <c r="G340" s="31" t="s">
        <v>3</v>
      </c>
      <c r="H340" s="12">
        <f>Source!AW294</f>
        <v>1</v>
      </c>
      <c r="I340" s="28">
        <f>ROUND((Source!AC294*Source!AW294)*Source!I294, 2)+ROUND((Source!AD294*Source!AV294)*Source!I294, 2)+ROUND((Source!AF294*Source!AV294)*Source!I294, 2)</f>
        <v>234.69</v>
      </c>
      <c r="J340" s="12">
        <f>IF(Source!BC294&lt;&gt; 0, Source!BC294, 1)</f>
        <v>5.23</v>
      </c>
      <c r="K340" s="28">
        <f>Source!O294</f>
        <v>1227.43</v>
      </c>
      <c r="Q340">
        <f>ROUND((Source!DN294/100)*ROUND((Source!AF294*Source!AV294)*Source!I294, 2), 2)</f>
        <v>0</v>
      </c>
      <c r="R340">
        <f>Source!X294</f>
        <v>0</v>
      </c>
      <c r="S340">
        <f>ROUND((Source!DO294/100)*ROUND((Source!AF294*Source!AV294)*Source!I294, 2), 2)</f>
        <v>0</v>
      </c>
      <c r="T340">
        <f>Source!Y294</f>
        <v>0</v>
      </c>
      <c r="U340">
        <f>ROUND((175/100)*ROUND((Source!AE294*Source!AV294)*Source!I294, 2), 2)</f>
        <v>0</v>
      </c>
      <c r="V340">
        <f>ROUND((168/100)*ROUND(Source!CS294*Source!I294, 2), 2)</f>
        <v>0</v>
      </c>
      <c r="X340">
        <f>IF(Source!BI294&lt;=1,I340, 0)</f>
        <v>234.69</v>
      </c>
      <c r="Y340">
        <f>IF(Source!BI294=2,I340, 0)</f>
        <v>0</v>
      </c>
      <c r="Z340">
        <f>IF(Source!BI294=3,I340, 0)</f>
        <v>0</v>
      </c>
      <c r="AA340">
        <f>IF(Source!BI294=4,I340, 0)</f>
        <v>0</v>
      </c>
    </row>
    <row r="341" spans="1:27" ht="14.25" x14ac:dyDescent="0.2">
      <c r="A341" s="23"/>
      <c r="B341" s="24"/>
      <c r="C341" s="24" t="s">
        <v>893</v>
      </c>
      <c r="D341" s="25" t="s">
        <v>894</v>
      </c>
      <c r="E341" s="12">
        <f>Source!DN288</f>
        <v>85</v>
      </c>
      <c r="F341" s="27"/>
      <c r="G341" s="26"/>
      <c r="H341" s="12"/>
      <c r="I341" s="28">
        <f>SUM(Q335:Q340)</f>
        <v>9.8800000000000008</v>
      </c>
      <c r="J341" s="12">
        <f>Source!BZ288</f>
        <v>68</v>
      </c>
      <c r="K341" s="28">
        <f>SUM(R335:R340)</f>
        <v>161.13</v>
      </c>
    </row>
    <row r="342" spans="1:27" ht="14.25" x14ac:dyDescent="0.2">
      <c r="A342" s="23"/>
      <c r="B342" s="24"/>
      <c r="C342" s="24" t="s">
        <v>895</v>
      </c>
      <c r="D342" s="25" t="s">
        <v>894</v>
      </c>
      <c r="E342" s="12">
        <f>Source!DO288</f>
        <v>70</v>
      </c>
      <c r="F342" s="27"/>
      <c r="G342" s="26"/>
      <c r="H342" s="12"/>
      <c r="I342" s="28">
        <f>SUM(S335:S341)</f>
        <v>8.1300000000000008</v>
      </c>
      <c r="J342" s="12">
        <f>Source!CA288</f>
        <v>41</v>
      </c>
      <c r="K342" s="28">
        <f>SUM(T335:T341)</f>
        <v>97.15</v>
      </c>
    </row>
    <row r="343" spans="1:27" ht="14.25" x14ac:dyDescent="0.2">
      <c r="A343" s="23"/>
      <c r="B343" s="24"/>
      <c r="C343" s="24" t="s">
        <v>897</v>
      </c>
      <c r="D343" s="25" t="s">
        <v>898</v>
      </c>
      <c r="E343" s="12">
        <f>Source!AQ288</f>
        <v>0.09</v>
      </c>
      <c r="F343" s="27"/>
      <c r="G343" s="26" t="str">
        <f>Source!DI288</f>
        <v>)*1,15</v>
      </c>
      <c r="H343" s="12">
        <f>Source!AV288</f>
        <v>1</v>
      </c>
      <c r="I343" s="28">
        <f>Source!U288</f>
        <v>1.0349999999999999</v>
      </c>
      <c r="J343" s="12"/>
      <c r="K343" s="28"/>
    </row>
    <row r="344" spans="1:27" ht="15" x14ac:dyDescent="0.25">
      <c r="A344" s="33"/>
      <c r="B344" s="33"/>
      <c r="C344" s="33"/>
      <c r="D344" s="33"/>
      <c r="E344" s="33"/>
      <c r="F344" s="33"/>
      <c r="G344" s="33"/>
      <c r="H344" s="59">
        <f>I336+I337+I341+I342+SUM(I338:I340)</f>
        <v>1507.97</v>
      </c>
      <c r="I344" s="59"/>
      <c r="J344" s="59">
        <f>K336+K337+K341+K342+SUM(K338:K340)</f>
        <v>8231.56</v>
      </c>
      <c r="K344" s="59"/>
      <c r="O344" s="32">
        <f>I336+I337+I341+I342+SUM(I338:I340)</f>
        <v>1507.97</v>
      </c>
      <c r="P344" s="32">
        <f>K336+K337+K341+K342+SUM(K338:K340)</f>
        <v>8231.56</v>
      </c>
      <c r="X344">
        <f>IF(Source!BI288&lt;=1,I336+I337+I341+I342-0, 0)</f>
        <v>31.33</v>
      </c>
      <c r="Y344">
        <f>IF(Source!BI288=2,I336+I337+I341+I342-0, 0)</f>
        <v>0</v>
      </c>
      <c r="Z344">
        <f>IF(Source!BI288=3,I336+I337+I341+I342-0, 0)</f>
        <v>0</v>
      </c>
      <c r="AA344">
        <f>IF(Source!BI288=4,I336+I337+I341+I342,0)</f>
        <v>0</v>
      </c>
    </row>
    <row r="346" spans="1:27" ht="15" x14ac:dyDescent="0.25">
      <c r="A346" s="57" t="str">
        <f>CONCATENATE("Итого по подразделу: ",IF(Source!G296&lt;&gt;"Новый подраздел", Source!G296, ""))</f>
        <v>Итого по подразделу: Обеспечение доступа МГН</v>
      </c>
      <c r="B346" s="57"/>
      <c r="C346" s="57"/>
      <c r="D346" s="57"/>
      <c r="E346" s="57"/>
      <c r="F346" s="57"/>
      <c r="G346" s="57"/>
      <c r="H346" s="55">
        <f>SUM(O299:O345)</f>
        <v>3098.8500000000004</v>
      </c>
      <c r="I346" s="56"/>
      <c r="J346" s="55">
        <f>SUM(P299:P345)</f>
        <v>19392.43</v>
      </c>
      <c r="K346" s="56"/>
    </row>
    <row r="347" spans="1:27" ht="15" hidden="1" x14ac:dyDescent="0.25">
      <c r="A347" s="57" t="s">
        <v>900</v>
      </c>
      <c r="B347" s="57"/>
      <c r="C347" s="57"/>
      <c r="D347" s="57"/>
      <c r="E347" s="57"/>
      <c r="F347" s="57"/>
      <c r="G347" s="57"/>
      <c r="H347" s="55">
        <f>SUM(AC299:AC346)</f>
        <v>0</v>
      </c>
      <c r="I347" s="56"/>
      <c r="J347" s="55">
        <f>SUM(AD299:AD346)</f>
        <v>0</v>
      </c>
      <c r="K347" s="56"/>
    </row>
    <row r="349" spans="1:27" ht="16.5" x14ac:dyDescent="0.25">
      <c r="A349" s="60" t="str">
        <f>CONCATENATE("Подраздел: ",IF(Source!G325&lt;&gt;"Новый подраздел", Source!G325, ""))</f>
        <v>Подраздел: Конструктивные решения</v>
      </c>
      <c r="B349" s="60"/>
      <c r="C349" s="60"/>
      <c r="D349" s="60"/>
      <c r="E349" s="60"/>
      <c r="F349" s="60"/>
      <c r="G349" s="60"/>
      <c r="H349" s="60"/>
      <c r="I349" s="60"/>
      <c r="J349" s="60"/>
      <c r="K349" s="60"/>
    </row>
    <row r="350" spans="1:27" ht="99.75" x14ac:dyDescent="0.2">
      <c r="A350" s="23" t="str">
        <f>Source!E330</f>
        <v>28</v>
      </c>
      <c r="B350" s="24" t="str">
        <f>Source!F330</f>
        <v>3.27-12-1</v>
      </c>
      <c r="C350" s="24" t="str">
        <f>Source!G330</f>
        <v>Устройство подстилающих и выравнивающих слоев оснований из песка</v>
      </c>
      <c r="D350" s="25" t="str">
        <f>Source!H330</f>
        <v>100 м3 материала основания (в плотном теле)</v>
      </c>
      <c r="E350" s="12">
        <f>Source!I330</f>
        <v>3.0000000000000001E-3</v>
      </c>
      <c r="F350" s="27"/>
      <c r="G350" s="26"/>
      <c r="H350" s="12"/>
      <c r="I350" s="28"/>
      <c r="J350" s="12"/>
      <c r="K350" s="28"/>
      <c r="Q350">
        <f>ROUND((Source!DN330/100)*ROUND((Source!AF330*Source!AV330)*Source!I330, 2), 2)</f>
        <v>0.73</v>
      </c>
      <c r="R350">
        <f>Source!X330</f>
        <v>11.94</v>
      </c>
      <c r="S350">
        <f>ROUND((Source!DO330/100)*ROUND((Source!AF330*Source!AV330)*Source!I330, 2), 2)</f>
        <v>0.41</v>
      </c>
      <c r="T350">
        <f>Source!Y330</f>
        <v>4.37</v>
      </c>
      <c r="U350">
        <f>ROUND((175/100)*ROUND((Source!AE330*Source!AV330)*Source!I330, 2), 2)</f>
        <v>0.79</v>
      </c>
      <c r="V350">
        <f>ROUND((168/100)*ROUND(Source!CS330*Source!I330, 2), 2)</f>
        <v>15.3</v>
      </c>
    </row>
    <row r="351" spans="1:27" x14ac:dyDescent="0.2">
      <c r="C351" s="29" t="str">
        <f>"Объем: "&amp;Source!I330&amp;"=0,3/"&amp;"100"</f>
        <v>Объем: 0,003=0,3/100</v>
      </c>
    </row>
    <row r="352" spans="1:27" ht="14.25" x14ac:dyDescent="0.2">
      <c r="A352" s="23"/>
      <c r="B352" s="24"/>
      <c r="C352" s="24" t="s">
        <v>890</v>
      </c>
      <c r="D352" s="25"/>
      <c r="E352" s="12"/>
      <c r="F352" s="27">
        <f>Source!AO330</f>
        <v>151.49</v>
      </c>
      <c r="G352" s="26" t="str">
        <f>Source!DG330</f>
        <v>)*1,15</v>
      </c>
      <c r="H352" s="12">
        <f>Source!AV330</f>
        <v>1</v>
      </c>
      <c r="I352" s="28">
        <f>ROUND((Source!AF330*Source!AV330)*Source!I330, 2)</f>
        <v>0.52</v>
      </c>
      <c r="J352" s="12">
        <f>IF(Source!BA330&lt;&gt; 0, Source!BA330, 1)</f>
        <v>20.399999999999999</v>
      </c>
      <c r="K352" s="28">
        <f>Source!S330</f>
        <v>10.66</v>
      </c>
      <c r="W352">
        <f>I352</f>
        <v>0.52</v>
      </c>
    </row>
    <row r="353" spans="1:27" ht="14.25" x14ac:dyDescent="0.2">
      <c r="A353" s="23"/>
      <c r="B353" s="24"/>
      <c r="C353" s="24" t="s">
        <v>891</v>
      </c>
      <c r="D353" s="25"/>
      <c r="E353" s="12"/>
      <c r="F353" s="27">
        <f>Source!AM330</f>
        <v>676.47</v>
      </c>
      <c r="G353" s="26" t="str">
        <f>Source!DE330</f>
        <v>)*1,25</v>
      </c>
      <c r="H353" s="12">
        <f>Source!AV330</f>
        <v>1</v>
      </c>
      <c r="I353" s="28">
        <f>ROUND((Source!AD330*Source!AV330)*Source!I330, 2)</f>
        <v>2.54</v>
      </c>
      <c r="J353" s="12">
        <f>IF(Source!BB330&lt;&gt; 0, Source!BB330, 1)</f>
        <v>8.98</v>
      </c>
      <c r="K353" s="28">
        <f>Source!Q330</f>
        <v>22.78</v>
      </c>
    </row>
    <row r="354" spans="1:27" ht="14.25" x14ac:dyDescent="0.2">
      <c r="A354" s="23"/>
      <c r="B354" s="24"/>
      <c r="C354" s="24" t="s">
        <v>892</v>
      </c>
      <c r="D354" s="25"/>
      <c r="E354" s="12"/>
      <c r="F354" s="27">
        <f>Source!AN330</f>
        <v>119.05</v>
      </c>
      <c r="G354" s="26" t="str">
        <f>Source!DF330</f>
        <v>)*1,25</v>
      </c>
      <c r="H354" s="12">
        <f>Source!AV330</f>
        <v>1</v>
      </c>
      <c r="I354" s="30">
        <f>ROUND((Source!AE330*Source!AV330)*Source!I330, 2)</f>
        <v>0.45</v>
      </c>
      <c r="J354" s="12">
        <f>IF(Source!BS330&lt;&gt; 0, Source!BS330, 1)</f>
        <v>20.399999999999999</v>
      </c>
      <c r="K354" s="30">
        <f>Source!R330</f>
        <v>9.11</v>
      </c>
      <c r="W354">
        <f>I354</f>
        <v>0.45</v>
      </c>
    </row>
    <row r="355" spans="1:27" ht="14.25" x14ac:dyDescent="0.2">
      <c r="A355" s="23"/>
      <c r="B355" s="24"/>
      <c r="C355" s="24" t="s">
        <v>899</v>
      </c>
      <c r="D355" s="25"/>
      <c r="E355" s="12"/>
      <c r="F355" s="27">
        <f>Source!AL330</f>
        <v>35.35</v>
      </c>
      <c r="G355" s="26" t="str">
        <f>Source!DD330</f>
        <v/>
      </c>
      <c r="H355" s="12">
        <f>Source!AW330</f>
        <v>1</v>
      </c>
      <c r="I355" s="28">
        <f>ROUND((Source!AC330*Source!AW330)*Source!I330, 2)</f>
        <v>0.11</v>
      </c>
      <c r="J355" s="12">
        <f>IF(Source!BC330&lt;&gt; 0, Source!BC330, 1)</f>
        <v>4.24</v>
      </c>
      <c r="K355" s="28">
        <f>Source!P330</f>
        <v>0.45</v>
      </c>
    </row>
    <row r="356" spans="1:27" ht="28.5" x14ac:dyDescent="0.2">
      <c r="A356" s="23" t="str">
        <f>Source!E332</f>
        <v>28,1</v>
      </c>
      <c r="B356" s="24" t="str">
        <f>Source!F332</f>
        <v>1.1-1-766</v>
      </c>
      <c r="C356" s="24" t="str">
        <f>Source!G332</f>
        <v>Песок для строительных работ, рядовой</v>
      </c>
      <c r="D356" s="25" t="str">
        <f>Source!H332</f>
        <v>м3</v>
      </c>
      <c r="E356" s="12">
        <f>Source!I332</f>
        <v>0.3</v>
      </c>
      <c r="F356" s="27">
        <f>Source!AK332</f>
        <v>104.99</v>
      </c>
      <c r="G356" s="31" t="s">
        <v>3</v>
      </c>
      <c r="H356" s="12">
        <f>Source!AW332</f>
        <v>1</v>
      </c>
      <c r="I356" s="28">
        <f>ROUND((Source!AC332*Source!AW332)*Source!I332, 2)+ROUND((Source!AD332*Source!AV332)*Source!I332, 2)+ROUND((Source!AF332*Source!AV332)*Source!I332, 2)</f>
        <v>31.5</v>
      </c>
      <c r="J356" s="12">
        <f>IF(Source!BC332&lt;&gt; 0, Source!BC332, 1)</f>
        <v>5.45</v>
      </c>
      <c r="K356" s="28">
        <f>Source!O332</f>
        <v>171.66</v>
      </c>
      <c r="Q356">
        <f>ROUND((Source!DN332/100)*ROUND((Source!AF332*Source!AV332)*Source!I332, 2), 2)</f>
        <v>0</v>
      </c>
      <c r="R356">
        <f>Source!X332</f>
        <v>0</v>
      </c>
      <c r="S356">
        <f>ROUND((Source!DO332/100)*ROUND((Source!AF332*Source!AV332)*Source!I332, 2), 2)</f>
        <v>0</v>
      </c>
      <c r="T356">
        <f>Source!Y332</f>
        <v>0</v>
      </c>
      <c r="U356">
        <f>ROUND((175/100)*ROUND((Source!AE332*Source!AV332)*Source!I332, 2), 2)</f>
        <v>0</v>
      </c>
      <c r="V356">
        <f>ROUND((168/100)*ROUND(Source!CS332*Source!I332, 2), 2)</f>
        <v>0</v>
      </c>
      <c r="X356">
        <f>IF(Source!BI332&lt;=1,I356, 0)</f>
        <v>31.5</v>
      </c>
      <c r="Y356">
        <f>IF(Source!BI332=2,I356, 0)</f>
        <v>0</v>
      </c>
      <c r="Z356">
        <f>IF(Source!BI332=3,I356, 0)</f>
        <v>0</v>
      </c>
      <c r="AA356">
        <f>IF(Source!BI332=4,I356, 0)</f>
        <v>0</v>
      </c>
    </row>
    <row r="357" spans="1:27" ht="14.25" x14ac:dyDescent="0.2">
      <c r="A357" s="23"/>
      <c r="B357" s="24"/>
      <c r="C357" s="24" t="s">
        <v>893</v>
      </c>
      <c r="D357" s="25" t="s">
        <v>894</v>
      </c>
      <c r="E357" s="12">
        <f>Source!DN330</f>
        <v>140</v>
      </c>
      <c r="F357" s="27"/>
      <c r="G357" s="26"/>
      <c r="H357" s="12"/>
      <c r="I357" s="28">
        <f>SUM(Q350:Q356)</f>
        <v>0.73</v>
      </c>
      <c r="J357" s="12">
        <f>Source!BZ330</f>
        <v>112</v>
      </c>
      <c r="K357" s="28">
        <f>SUM(R350:R356)</f>
        <v>11.94</v>
      </c>
    </row>
    <row r="358" spans="1:27" ht="14.25" x14ac:dyDescent="0.2">
      <c r="A358" s="23"/>
      <c r="B358" s="24"/>
      <c r="C358" s="24" t="s">
        <v>895</v>
      </c>
      <c r="D358" s="25" t="s">
        <v>894</v>
      </c>
      <c r="E358" s="12">
        <f>Source!DO330</f>
        <v>79</v>
      </c>
      <c r="F358" s="27"/>
      <c r="G358" s="26"/>
      <c r="H358" s="12"/>
      <c r="I358" s="28">
        <f>SUM(S350:S357)</f>
        <v>0.41</v>
      </c>
      <c r="J358" s="12">
        <f>Source!CA330</f>
        <v>41</v>
      </c>
      <c r="K358" s="28">
        <f>SUM(T350:T357)</f>
        <v>4.37</v>
      </c>
    </row>
    <row r="359" spans="1:27" ht="14.25" x14ac:dyDescent="0.2">
      <c r="A359" s="23"/>
      <c r="B359" s="24"/>
      <c r="C359" s="24" t="s">
        <v>896</v>
      </c>
      <c r="D359" s="25" t="s">
        <v>894</v>
      </c>
      <c r="E359" s="12">
        <f>175</f>
        <v>175</v>
      </c>
      <c r="F359" s="27"/>
      <c r="G359" s="26"/>
      <c r="H359" s="12"/>
      <c r="I359" s="28">
        <f>SUM(U350:U358)</f>
        <v>0.79</v>
      </c>
      <c r="J359" s="12">
        <f>168</f>
        <v>168</v>
      </c>
      <c r="K359" s="28">
        <f>SUM(V350:V358)</f>
        <v>15.3</v>
      </c>
    </row>
    <row r="360" spans="1:27" ht="14.25" x14ac:dyDescent="0.2">
      <c r="A360" s="23"/>
      <c r="B360" s="24"/>
      <c r="C360" s="24" t="s">
        <v>897</v>
      </c>
      <c r="D360" s="25" t="s">
        <v>898</v>
      </c>
      <c r="E360" s="12">
        <f>Source!AQ330</f>
        <v>14.4</v>
      </c>
      <c r="F360" s="27"/>
      <c r="G360" s="26" t="str">
        <f>Source!DI330</f>
        <v>)*1,15</v>
      </c>
      <c r="H360" s="12">
        <f>Source!AV330</f>
        <v>1</v>
      </c>
      <c r="I360" s="28">
        <f>Source!U330</f>
        <v>4.9679999999999995E-2</v>
      </c>
      <c r="J360" s="12"/>
      <c r="K360" s="28"/>
    </row>
    <row r="361" spans="1:27" ht="15" x14ac:dyDescent="0.25">
      <c r="A361" s="33"/>
      <c r="B361" s="33"/>
      <c r="C361" s="33"/>
      <c r="D361" s="33"/>
      <c r="E361" s="33"/>
      <c r="F361" s="33"/>
      <c r="G361" s="33"/>
      <c r="H361" s="59">
        <f>I352+I353+I355+I357+I358+I359+SUM(I356:I356)</f>
        <v>36.6</v>
      </c>
      <c r="I361" s="59"/>
      <c r="J361" s="59">
        <f>K352+K353+K355+K357+K358+K359+SUM(K356:K356)</f>
        <v>237.16</v>
      </c>
      <c r="K361" s="59"/>
      <c r="O361" s="32">
        <f>I352+I353+I355+I357+I358+I359+SUM(I356:I356)</f>
        <v>36.6</v>
      </c>
      <c r="P361" s="32">
        <f>K352+K353+K355+K357+K358+K359+SUM(K356:K356)</f>
        <v>237.16</v>
      </c>
      <c r="X361">
        <f>IF(Source!BI330&lt;=1,I352+I353+I355+I357+I358+I359-0, 0)</f>
        <v>5.0999999999999996</v>
      </c>
      <c r="Y361">
        <f>IF(Source!BI330=2,I352+I353+I355+I357+I358+I359-0, 0)</f>
        <v>0</v>
      </c>
      <c r="Z361">
        <f>IF(Source!BI330=3,I352+I353+I355+I357+I358+I359-0, 0)</f>
        <v>0</v>
      </c>
      <c r="AA361">
        <f>IF(Source!BI330=4,I352+I353+I355+I357+I358+I359,0)</f>
        <v>0</v>
      </c>
    </row>
    <row r="362" spans="1:27" ht="28.5" x14ac:dyDescent="0.2">
      <c r="A362" s="23" t="str">
        <f>Source!E334</f>
        <v>29</v>
      </c>
      <c r="B362" s="24" t="str">
        <f>Source!F334</f>
        <v>3.6-1-1</v>
      </c>
      <c r="C362" s="24" t="str">
        <f>Source!G334</f>
        <v>Устройство бетонной подготовки</v>
      </c>
      <c r="D362" s="25" t="str">
        <f>Source!H334</f>
        <v>100 м3 в деле</v>
      </c>
      <c r="E362" s="12">
        <f>Source!I334</f>
        <v>8.0000000000000004E-4</v>
      </c>
      <c r="F362" s="27"/>
      <c r="G362" s="26"/>
      <c r="H362" s="12"/>
      <c r="I362" s="28"/>
      <c r="J362" s="12"/>
      <c r="K362" s="28"/>
      <c r="Q362">
        <f>ROUND((Source!DN334/100)*ROUND((Source!AF334*Source!AV334)*Source!I334, 2), 2)</f>
        <v>1.08</v>
      </c>
      <c r="R362">
        <f>Source!X334</f>
        <v>17.61</v>
      </c>
      <c r="S362">
        <f>ROUND((Source!DO334/100)*ROUND((Source!AF334*Source!AV334)*Source!I334, 2), 2)</f>
        <v>0.89</v>
      </c>
      <c r="T362">
        <f>Source!Y334</f>
        <v>10.61</v>
      </c>
      <c r="U362">
        <f>ROUND((175/100)*ROUND((Source!AE334*Source!AV334)*Source!I334, 2), 2)</f>
        <v>0</v>
      </c>
      <c r="V362">
        <f>ROUND((168/100)*ROUND(Source!CS334*Source!I334, 2), 2)</f>
        <v>7.0000000000000007E-2</v>
      </c>
    </row>
    <row r="363" spans="1:27" x14ac:dyDescent="0.2">
      <c r="C363" s="29" t="str">
        <f>"Объем: "&amp;Source!I334&amp;"=0,08/"&amp;"100"</f>
        <v>Объем: 0,0008=0,08/100</v>
      </c>
    </row>
    <row r="364" spans="1:27" ht="14.25" x14ac:dyDescent="0.2">
      <c r="A364" s="23"/>
      <c r="B364" s="24"/>
      <c r="C364" s="24" t="s">
        <v>890</v>
      </c>
      <c r="D364" s="25"/>
      <c r="E364" s="12"/>
      <c r="F364" s="27">
        <f>Source!AO334</f>
        <v>1379.7</v>
      </c>
      <c r="G364" s="26" t="str">
        <f>Source!DG334</f>
        <v>)*1,15</v>
      </c>
      <c r="H364" s="12">
        <f>Source!AV334</f>
        <v>1</v>
      </c>
      <c r="I364" s="28">
        <f>ROUND((Source!AF334*Source!AV334)*Source!I334, 2)</f>
        <v>1.27</v>
      </c>
      <c r="J364" s="12">
        <f>IF(Source!BA334&lt;&gt; 0, Source!BA334, 1)</f>
        <v>20.399999999999999</v>
      </c>
      <c r="K364" s="28">
        <f>Source!S334</f>
        <v>25.89</v>
      </c>
      <c r="W364">
        <f>I364</f>
        <v>1.27</v>
      </c>
    </row>
    <row r="365" spans="1:27" ht="14.25" x14ac:dyDescent="0.2">
      <c r="A365" s="23"/>
      <c r="B365" s="24"/>
      <c r="C365" s="24" t="s">
        <v>891</v>
      </c>
      <c r="D365" s="25"/>
      <c r="E365" s="12"/>
      <c r="F365" s="27">
        <f>Source!AM334</f>
        <v>22.6</v>
      </c>
      <c r="G365" s="26" t="str">
        <f>Source!DE334</f>
        <v>)*1,25</v>
      </c>
      <c r="H365" s="12">
        <f>Source!AV334</f>
        <v>1</v>
      </c>
      <c r="I365" s="28">
        <f>ROUND((Source!AD334*Source!AV334)*Source!I334, 2)</f>
        <v>0.02</v>
      </c>
      <c r="J365" s="12">
        <f>IF(Source!BB334&lt;&gt; 0, Source!BB334, 1)</f>
        <v>4.7699999999999996</v>
      </c>
      <c r="K365" s="28">
        <f>Source!Q334</f>
        <v>0.11</v>
      </c>
    </row>
    <row r="366" spans="1:27" ht="14.25" x14ac:dyDescent="0.2">
      <c r="A366" s="23"/>
      <c r="B366" s="24"/>
      <c r="C366" s="24" t="s">
        <v>892</v>
      </c>
      <c r="D366" s="25"/>
      <c r="E366" s="12"/>
      <c r="F366" s="27">
        <f>Source!AN334</f>
        <v>2.09</v>
      </c>
      <c r="G366" s="26" t="str">
        <f>Source!DF334</f>
        <v>)*1,25</v>
      </c>
      <c r="H366" s="12">
        <f>Source!AV334</f>
        <v>1</v>
      </c>
      <c r="I366" s="30">
        <f>ROUND((Source!AE334*Source!AV334)*Source!I334, 2)</f>
        <v>0</v>
      </c>
      <c r="J366" s="12">
        <f>IF(Source!BS334&lt;&gt; 0, Source!BS334, 1)</f>
        <v>20.399999999999999</v>
      </c>
      <c r="K366" s="30">
        <f>Source!R334</f>
        <v>0.04</v>
      </c>
      <c r="W366">
        <f>I366</f>
        <v>0</v>
      </c>
    </row>
    <row r="367" spans="1:27" ht="14.25" x14ac:dyDescent="0.2">
      <c r="A367" s="23"/>
      <c r="B367" s="24"/>
      <c r="C367" s="24" t="s">
        <v>899</v>
      </c>
      <c r="D367" s="25"/>
      <c r="E367" s="12"/>
      <c r="F367" s="27">
        <f>Source!AL334</f>
        <v>1859.87</v>
      </c>
      <c r="G367" s="26" t="str">
        <f>Source!DD334</f>
        <v/>
      </c>
      <c r="H367" s="12">
        <f>Source!AW334</f>
        <v>1</v>
      </c>
      <c r="I367" s="28">
        <f>ROUND((Source!AC334*Source!AW334)*Source!I334, 2)</f>
        <v>1.49</v>
      </c>
      <c r="J367" s="12">
        <f>IF(Source!BC334&lt;&gt; 0, Source!BC334, 1)</f>
        <v>2.88</v>
      </c>
      <c r="K367" s="28">
        <f>Source!P334</f>
        <v>4.29</v>
      </c>
    </row>
    <row r="368" spans="1:27" ht="42.75" x14ac:dyDescent="0.2">
      <c r="A368" s="23" t="str">
        <f>Source!E336</f>
        <v>29,1</v>
      </c>
      <c r="B368" s="24" t="str">
        <f>Source!F336</f>
        <v>1.3-1-64</v>
      </c>
      <c r="C368" s="24" t="str">
        <f>Source!G336</f>
        <v>Смеси бетонные, БСГ, песчаного бетона, класс прочности В7,5 (М100); П1, F50, W2</v>
      </c>
      <c r="D368" s="25" t="str">
        <f>Source!H336</f>
        <v>м3</v>
      </c>
      <c r="E368" s="12">
        <f>Source!I336</f>
        <v>8.1600000000000006E-2</v>
      </c>
      <c r="F368" s="27">
        <f>Source!AK336</f>
        <v>530.75</v>
      </c>
      <c r="G368" s="31" t="s">
        <v>3</v>
      </c>
      <c r="H368" s="12">
        <f>Source!AW336</f>
        <v>1</v>
      </c>
      <c r="I368" s="28">
        <f>ROUND((Source!AC336*Source!AW336)*Source!I336, 2)+ROUND((Source!AD336*Source!AV336)*Source!I336, 2)+ROUND((Source!AF336*Source!AV336)*Source!I336, 2)</f>
        <v>43.31</v>
      </c>
      <c r="J368" s="12">
        <f>IF(Source!BC336&lt;&gt; 0, Source!BC336, 1)</f>
        <v>5.58</v>
      </c>
      <c r="K368" s="28">
        <f>Source!O336</f>
        <v>241.67</v>
      </c>
      <c r="Q368">
        <f>ROUND((Source!DN336/100)*ROUND((Source!AF336*Source!AV336)*Source!I336, 2), 2)</f>
        <v>0</v>
      </c>
      <c r="R368">
        <f>Source!X336</f>
        <v>0</v>
      </c>
      <c r="S368">
        <f>ROUND((Source!DO336/100)*ROUND((Source!AF336*Source!AV336)*Source!I336, 2), 2)</f>
        <v>0</v>
      </c>
      <c r="T368">
        <f>Source!Y336</f>
        <v>0</v>
      </c>
      <c r="U368">
        <f>ROUND((175/100)*ROUND((Source!AE336*Source!AV336)*Source!I336, 2), 2)</f>
        <v>0</v>
      </c>
      <c r="V368">
        <f>ROUND((168/100)*ROUND(Source!CS336*Source!I336, 2), 2)</f>
        <v>0</v>
      </c>
      <c r="X368">
        <f>IF(Source!BI336&lt;=1,I368, 0)</f>
        <v>43.31</v>
      </c>
      <c r="Y368">
        <f>IF(Source!BI336=2,I368, 0)</f>
        <v>0</v>
      </c>
      <c r="Z368">
        <f>IF(Source!BI336=3,I368, 0)</f>
        <v>0</v>
      </c>
      <c r="AA368">
        <f>IF(Source!BI336=4,I368, 0)</f>
        <v>0</v>
      </c>
    </row>
    <row r="369" spans="1:27" ht="14.25" x14ac:dyDescent="0.2">
      <c r="A369" s="23"/>
      <c r="B369" s="24"/>
      <c r="C369" s="24" t="s">
        <v>893</v>
      </c>
      <c r="D369" s="25" t="s">
        <v>894</v>
      </c>
      <c r="E369" s="12">
        <f>Source!DN334</f>
        <v>85</v>
      </c>
      <c r="F369" s="27"/>
      <c r="G369" s="26"/>
      <c r="H369" s="12"/>
      <c r="I369" s="28">
        <f>SUM(Q362:Q368)</f>
        <v>1.08</v>
      </c>
      <c r="J369" s="12">
        <f>Source!BZ334</f>
        <v>68</v>
      </c>
      <c r="K369" s="28">
        <f>SUM(R362:R368)</f>
        <v>17.61</v>
      </c>
    </row>
    <row r="370" spans="1:27" ht="14.25" x14ac:dyDescent="0.2">
      <c r="A370" s="23"/>
      <c r="B370" s="24"/>
      <c r="C370" s="24" t="s">
        <v>895</v>
      </c>
      <c r="D370" s="25" t="s">
        <v>894</v>
      </c>
      <c r="E370" s="12">
        <f>Source!DO334</f>
        <v>70</v>
      </c>
      <c r="F370" s="27"/>
      <c r="G370" s="26"/>
      <c r="H370" s="12"/>
      <c r="I370" s="28">
        <f>SUM(S362:S369)</f>
        <v>0.89</v>
      </c>
      <c r="J370" s="12">
        <f>Source!CA334</f>
        <v>41</v>
      </c>
      <c r="K370" s="28">
        <f>SUM(T362:T369)</f>
        <v>10.61</v>
      </c>
    </row>
    <row r="371" spans="1:27" ht="14.25" x14ac:dyDescent="0.2">
      <c r="A371" s="23"/>
      <c r="B371" s="24"/>
      <c r="C371" s="24" t="s">
        <v>896</v>
      </c>
      <c r="D371" s="25" t="s">
        <v>894</v>
      </c>
      <c r="E371" s="12">
        <f>175</f>
        <v>175</v>
      </c>
      <c r="F371" s="27"/>
      <c r="G371" s="26"/>
      <c r="H371" s="12"/>
      <c r="I371" s="28">
        <f>SUM(U362:U370)</f>
        <v>0</v>
      </c>
      <c r="J371" s="12">
        <f>168</f>
        <v>168</v>
      </c>
      <c r="K371" s="28">
        <f>SUM(V362:V370)</f>
        <v>7.0000000000000007E-2</v>
      </c>
    </row>
    <row r="372" spans="1:27" ht="14.25" x14ac:dyDescent="0.2">
      <c r="A372" s="23"/>
      <c r="B372" s="24"/>
      <c r="C372" s="24" t="s">
        <v>897</v>
      </c>
      <c r="D372" s="25" t="s">
        <v>898</v>
      </c>
      <c r="E372" s="12">
        <f>Source!AQ334</f>
        <v>135</v>
      </c>
      <c r="F372" s="27"/>
      <c r="G372" s="26" t="str">
        <f>Source!DI334</f>
        <v>)*1,15</v>
      </c>
      <c r="H372" s="12">
        <f>Source!AV334</f>
        <v>1</v>
      </c>
      <c r="I372" s="28">
        <f>Source!U334</f>
        <v>0.1242</v>
      </c>
      <c r="J372" s="12"/>
      <c r="K372" s="28"/>
    </row>
    <row r="373" spans="1:27" ht="15" x14ac:dyDescent="0.25">
      <c r="A373" s="33"/>
      <c r="B373" s="33"/>
      <c r="C373" s="33"/>
      <c r="D373" s="33"/>
      <c r="E373" s="33"/>
      <c r="F373" s="33"/>
      <c r="G373" s="33"/>
      <c r="H373" s="59">
        <f>I364+I365+I367+I369+I370+I371+SUM(I368:I368)</f>
        <v>48.06</v>
      </c>
      <c r="I373" s="59"/>
      <c r="J373" s="59">
        <f>K364+K365+K367+K369+K370+K371+SUM(K368:K368)</f>
        <v>300.25</v>
      </c>
      <c r="K373" s="59"/>
      <c r="O373" s="32">
        <f>I364+I365+I367+I369+I370+I371+SUM(I368:I368)</f>
        <v>48.06</v>
      </c>
      <c r="P373" s="32">
        <f>K364+K365+K367+K369+K370+K371+SUM(K368:K368)</f>
        <v>300.25</v>
      </c>
      <c r="X373">
        <f>IF(Source!BI334&lt;=1,I364+I365+I367+I369+I370+I371-0, 0)</f>
        <v>4.75</v>
      </c>
      <c r="Y373">
        <f>IF(Source!BI334=2,I364+I365+I367+I369+I370+I371-0, 0)</f>
        <v>0</v>
      </c>
      <c r="Z373">
        <f>IF(Source!BI334=3,I364+I365+I367+I369+I370+I371-0, 0)</f>
        <v>0</v>
      </c>
      <c r="AA373">
        <f>IF(Source!BI334=4,I364+I365+I367+I369+I370+I371,0)</f>
        <v>0</v>
      </c>
    </row>
    <row r="374" spans="1:27" ht="28.5" x14ac:dyDescent="0.2">
      <c r="A374" s="23" t="str">
        <f>Source!E338</f>
        <v>30</v>
      </c>
      <c r="B374" s="24" t="str">
        <f>Source!F338</f>
        <v>3.6-1-15</v>
      </c>
      <c r="C374" s="24" t="str">
        <f>Source!G338</f>
        <v>Устройство фундаментных плит железобетонных плоских</v>
      </c>
      <c r="D374" s="25" t="str">
        <f>Source!H338</f>
        <v>100 м3 в деле</v>
      </c>
      <c r="E374" s="12">
        <f>Source!I338</f>
        <v>1.1999999999999999E-3</v>
      </c>
      <c r="F374" s="27"/>
      <c r="G374" s="26"/>
      <c r="H374" s="12"/>
      <c r="I374" s="28"/>
      <c r="J374" s="12"/>
      <c r="K374" s="28"/>
      <c r="Q374">
        <f>ROUND((Source!DN338/100)*ROUND((Source!AF338*Source!AV338)*Source!I338, 2), 2)</f>
        <v>2.35</v>
      </c>
      <c r="R374">
        <f>Source!X338</f>
        <v>38.31</v>
      </c>
      <c r="S374">
        <f>ROUND((Source!DO338/100)*ROUND((Source!AF338*Source!AV338)*Source!I338, 2), 2)</f>
        <v>1.93</v>
      </c>
      <c r="T374">
        <f>Source!Y338</f>
        <v>23.1</v>
      </c>
      <c r="U374">
        <f>ROUND((175/100)*ROUND((Source!AE338*Source!AV338)*Source!I338, 2), 2)</f>
        <v>0.23</v>
      </c>
      <c r="V374">
        <f>ROUND((168/100)*ROUND(Source!CS338*Source!I338, 2), 2)</f>
        <v>4.4400000000000004</v>
      </c>
    </row>
    <row r="375" spans="1:27" x14ac:dyDescent="0.2">
      <c r="C375" s="29" t="str">
        <f>"Объем: "&amp;Source!I338&amp;"=0,12/"&amp;"100"</f>
        <v>Объем: 0,0012=0,12/100</v>
      </c>
    </row>
    <row r="376" spans="1:27" ht="14.25" x14ac:dyDescent="0.2">
      <c r="A376" s="23"/>
      <c r="B376" s="24"/>
      <c r="C376" s="24" t="s">
        <v>890</v>
      </c>
      <c r="D376" s="25"/>
      <c r="E376" s="12"/>
      <c r="F376" s="27">
        <f>Source!AO338</f>
        <v>2001.22</v>
      </c>
      <c r="G376" s="26" t="str">
        <f>Source!DG338</f>
        <v>)*1,15</v>
      </c>
      <c r="H376" s="12">
        <f>Source!AV338</f>
        <v>1</v>
      </c>
      <c r="I376" s="28">
        <f>ROUND((Source!AF338*Source!AV338)*Source!I338, 2)</f>
        <v>2.76</v>
      </c>
      <c r="J376" s="12">
        <f>IF(Source!BA338&lt;&gt; 0, Source!BA338, 1)</f>
        <v>20.399999999999999</v>
      </c>
      <c r="K376" s="28">
        <f>Source!S338</f>
        <v>56.34</v>
      </c>
      <c r="W376">
        <f>I376</f>
        <v>2.76</v>
      </c>
    </row>
    <row r="377" spans="1:27" ht="14.25" x14ac:dyDescent="0.2">
      <c r="A377" s="23"/>
      <c r="B377" s="24"/>
      <c r="C377" s="24" t="s">
        <v>891</v>
      </c>
      <c r="D377" s="25"/>
      <c r="E377" s="12"/>
      <c r="F377" s="27">
        <f>Source!AM338</f>
        <v>978.83</v>
      </c>
      <c r="G377" s="26" t="str">
        <f>Source!DE338</f>
        <v>)*1,25</v>
      </c>
      <c r="H377" s="12">
        <f>Source!AV338</f>
        <v>1</v>
      </c>
      <c r="I377" s="28">
        <f>ROUND((Source!AD338*Source!AV338)*Source!I338, 2)</f>
        <v>1.47</v>
      </c>
      <c r="J377" s="12">
        <f>IF(Source!BB338&lt;&gt; 0, Source!BB338, 1)</f>
        <v>6.22</v>
      </c>
      <c r="K377" s="28">
        <f>Source!Q338</f>
        <v>9.1300000000000008</v>
      </c>
    </row>
    <row r="378" spans="1:27" ht="14.25" x14ac:dyDescent="0.2">
      <c r="A378" s="23"/>
      <c r="B378" s="24"/>
      <c r="C378" s="24" t="s">
        <v>892</v>
      </c>
      <c r="D378" s="25"/>
      <c r="E378" s="12"/>
      <c r="F378" s="27">
        <f>Source!AN338</f>
        <v>86.26</v>
      </c>
      <c r="G378" s="26" t="str">
        <f>Source!DF338</f>
        <v>)*1,25</v>
      </c>
      <c r="H378" s="12">
        <f>Source!AV338</f>
        <v>1</v>
      </c>
      <c r="I378" s="30">
        <f>ROUND((Source!AE338*Source!AV338)*Source!I338, 2)</f>
        <v>0.13</v>
      </c>
      <c r="J378" s="12">
        <f>IF(Source!BS338&lt;&gt; 0, Source!BS338, 1)</f>
        <v>20.399999999999999</v>
      </c>
      <c r="K378" s="30">
        <f>Source!R338</f>
        <v>2.64</v>
      </c>
      <c r="W378">
        <f>I378</f>
        <v>0.13</v>
      </c>
    </row>
    <row r="379" spans="1:27" ht="14.25" x14ac:dyDescent="0.2">
      <c r="A379" s="23"/>
      <c r="B379" s="24"/>
      <c r="C379" s="24" t="s">
        <v>899</v>
      </c>
      <c r="D379" s="25"/>
      <c r="E379" s="12"/>
      <c r="F379" s="27">
        <f>Source!AL338</f>
        <v>1800.88</v>
      </c>
      <c r="G379" s="26" t="str">
        <f>Source!DD338</f>
        <v/>
      </c>
      <c r="H379" s="12">
        <f>Source!AW338</f>
        <v>1</v>
      </c>
      <c r="I379" s="28">
        <f>ROUND((Source!AC338*Source!AW338)*Source!I338, 2)</f>
        <v>2.16</v>
      </c>
      <c r="J379" s="12">
        <f>IF(Source!BC338&lt;&gt; 0, Source!BC338, 1)</f>
        <v>9.1300000000000008</v>
      </c>
      <c r="K379" s="28">
        <f>Source!P338</f>
        <v>19.73</v>
      </c>
    </row>
    <row r="380" spans="1:27" ht="71.25" x14ac:dyDescent="0.2">
      <c r="A380" s="23" t="str">
        <f>Source!E340</f>
        <v>30,1</v>
      </c>
      <c r="B380" s="24" t="str">
        <f>Source!F340</f>
        <v>1.3-4-20</v>
      </c>
      <c r="C380" s="24" t="str">
        <f>Source!G340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D380" s="25" t="str">
        <f>Source!H340</f>
        <v>т</v>
      </c>
      <c r="E380" s="12">
        <f>Source!I340</f>
        <v>2E-3</v>
      </c>
      <c r="F380" s="27">
        <f>Source!AK340</f>
        <v>5752.41</v>
      </c>
      <c r="G380" s="31" t="s">
        <v>3</v>
      </c>
      <c r="H380" s="12">
        <f>Source!AW340</f>
        <v>1</v>
      </c>
      <c r="I380" s="28">
        <f>ROUND((Source!AC340*Source!AW340)*Source!I340, 2)+ROUND((Source!AD340*Source!AV340)*Source!I340, 2)+ROUND((Source!AF340*Source!AV340)*Source!I340, 2)</f>
        <v>11.5</v>
      </c>
      <c r="J380" s="12">
        <f>IF(Source!BC340&lt;&gt; 0, Source!BC340, 1)</f>
        <v>6.03</v>
      </c>
      <c r="K380" s="28">
        <f>Source!O340</f>
        <v>69.37</v>
      </c>
      <c r="Q380">
        <f>ROUND((Source!DN340/100)*ROUND((Source!AF340*Source!AV340)*Source!I340, 2), 2)</f>
        <v>0</v>
      </c>
      <c r="R380">
        <f>Source!X340</f>
        <v>0</v>
      </c>
      <c r="S380">
        <f>ROUND((Source!DO340/100)*ROUND((Source!AF340*Source!AV340)*Source!I340, 2), 2)</f>
        <v>0</v>
      </c>
      <c r="T380">
        <f>Source!Y340</f>
        <v>0</v>
      </c>
      <c r="U380">
        <f>ROUND((175/100)*ROUND((Source!AE340*Source!AV340)*Source!I340, 2), 2)</f>
        <v>0</v>
      </c>
      <c r="V380">
        <f>ROUND((168/100)*ROUND(Source!CS340*Source!I340, 2), 2)</f>
        <v>0</v>
      </c>
      <c r="X380">
        <f>IF(Source!BI340&lt;=1,I380, 0)</f>
        <v>11.5</v>
      </c>
      <c r="Y380">
        <f>IF(Source!BI340=2,I380, 0)</f>
        <v>0</v>
      </c>
      <c r="Z380">
        <f>IF(Source!BI340=3,I380, 0)</f>
        <v>0</v>
      </c>
      <c r="AA380">
        <f>IF(Source!BI340=4,I380, 0)</f>
        <v>0</v>
      </c>
    </row>
    <row r="381" spans="1:27" ht="71.25" x14ac:dyDescent="0.2">
      <c r="A381" s="23" t="str">
        <f>Source!E342</f>
        <v>30,2</v>
      </c>
      <c r="B381" s="24" t="str">
        <f>Source!F342</f>
        <v>1.3-4-22</v>
      </c>
      <c r="C381" s="24" t="str">
        <f>Source!G342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D381" s="25" t="str">
        <f>Source!H342</f>
        <v>т</v>
      </c>
      <c r="E381" s="12">
        <f>Source!I342</f>
        <v>4.0000000000000001E-3</v>
      </c>
      <c r="F381" s="27">
        <f>Source!AK342</f>
        <v>5752.41</v>
      </c>
      <c r="G381" s="31" t="s">
        <v>3</v>
      </c>
      <c r="H381" s="12">
        <f>Source!AW342</f>
        <v>1</v>
      </c>
      <c r="I381" s="28">
        <f>ROUND((Source!AC342*Source!AW342)*Source!I342, 2)+ROUND((Source!AD342*Source!AV342)*Source!I342, 2)+ROUND((Source!AF342*Source!AV342)*Source!I342, 2)</f>
        <v>23.01</v>
      </c>
      <c r="J381" s="12">
        <f>IF(Source!BC342&lt;&gt; 0, Source!BC342, 1)</f>
        <v>6.03</v>
      </c>
      <c r="K381" s="28">
        <f>Source!O342</f>
        <v>138.75</v>
      </c>
      <c r="Q381">
        <f>ROUND((Source!DN342/100)*ROUND((Source!AF342*Source!AV342)*Source!I342, 2), 2)</f>
        <v>0</v>
      </c>
      <c r="R381">
        <f>Source!X342</f>
        <v>0</v>
      </c>
      <c r="S381">
        <f>ROUND((Source!DO342/100)*ROUND((Source!AF342*Source!AV342)*Source!I342, 2), 2)</f>
        <v>0</v>
      </c>
      <c r="T381">
        <f>Source!Y342</f>
        <v>0</v>
      </c>
      <c r="U381">
        <f>ROUND((175/100)*ROUND((Source!AE342*Source!AV342)*Source!I342, 2), 2)</f>
        <v>0</v>
      </c>
      <c r="V381">
        <f>ROUND((168/100)*ROUND(Source!CS342*Source!I342, 2), 2)</f>
        <v>0</v>
      </c>
      <c r="X381">
        <f>IF(Source!BI342&lt;=1,I381, 0)</f>
        <v>23.01</v>
      </c>
      <c r="Y381">
        <f>IF(Source!BI342=2,I381, 0)</f>
        <v>0</v>
      </c>
      <c r="Z381">
        <f>IF(Source!BI342=3,I381, 0)</f>
        <v>0</v>
      </c>
      <c r="AA381">
        <f>IF(Source!BI342=4,I381, 0)</f>
        <v>0</v>
      </c>
    </row>
    <row r="382" spans="1:27" ht="57" x14ac:dyDescent="0.2">
      <c r="A382" s="23" t="str">
        <f>Source!E344</f>
        <v>30,3</v>
      </c>
      <c r="B382" s="24" t="str">
        <f>Source!F344</f>
        <v>1.3-1-39</v>
      </c>
      <c r="C382" s="24" t="str">
        <f>Source!G344</f>
        <v>Смеси бетонные, БСГ, тяжелого бетона на гранитном щебне, класс прочности В20 (М250); П3, фракция 5-20, F100, W2</v>
      </c>
      <c r="D382" s="25" t="str">
        <f>Source!H344</f>
        <v>м3</v>
      </c>
      <c r="E382" s="12">
        <f>Source!I344</f>
        <v>0.12180000000000001</v>
      </c>
      <c r="F382" s="27">
        <f>Source!AK344</f>
        <v>711.12</v>
      </c>
      <c r="G382" s="31" t="s">
        <v>3</v>
      </c>
      <c r="H382" s="12">
        <f>Source!AW344</f>
        <v>1</v>
      </c>
      <c r="I382" s="28">
        <f>ROUND((Source!AC344*Source!AW344)*Source!I344, 2)+ROUND((Source!AD344*Source!AV344)*Source!I344, 2)+ROUND((Source!AF344*Source!AV344)*Source!I344, 2)</f>
        <v>86.61</v>
      </c>
      <c r="J382" s="12">
        <f>IF(Source!BC344&lt;&gt; 0, Source!BC344, 1)</f>
        <v>5.43</v>
      </c>
      <c r="K382" s="28">
        <f>Source!O344</f>
        <v>470.32</v>
      </c>
      <c r="Q382">
        <f>ROUND((Source!DN344/100)*ROUND((Source!AF344*Source!AV344)*Source!I344, 2), 2)</f>
        <v>0</v>
      </c>
      <c r="R382">
        <f>Source!X344</f>
        <v>0</v>
      </c>
      <c r="S382">
        <f>ROUND((Source!DO344/100)*ROUND((Source!AF344*Source!AV344)*Source!I344, 2), 2)</f>
        <v>0</v>
      </c>
      <c r="T382">
        <f>Source!Y344</f>
        <v>0</v>
      </c>
      <c r="U382">
        <f>ROUND((175/100)*ROUND((Source!AE344*Source!AV344)*Source!I344, 2), 2)</f>
        <v>0</v>
      </c>
      <c r="V382">
        <f>ROUND((168/100)*ROUND(Source!CS344*Source!I344, 2), 2)</f>
        <v>0</v>
      </c>
      <c r="X382">
        <f>IF(Source!BI344&lt;=1,I382, 0)</f>
        <v>86.61</v>
      </c>
      <c r="Y382">
        <f>IF(Source!BI344=2,I382, 0)</f>
        <v>0</v>
      </c>
      <c r="Z382">
        <f>IF(Source!BI344=3,I382, 0)</f>
        <v>0</v>
      </c>
      <c r="AA382">
        <f>IF(Source!BI344=4,I382, 0)</f>
        <v>0</v>
      </c>
    </row>
    <row r="383" spans="1:27" ht="14.25" x14ac:dyDescent="0.2">
      <c r="A383" s="23"/>
      <c r="B383" s="24"/>
      <c r="C383" s="24" t="s">
        <v>893</v>
      </c>
      <c r="D383" s="25" t="s">
        <v>894</v>
      </c>
      <c r="E383" s="12">
        <f>Source!DN338</f>
        <v>85</v>
      </c>
      <c r="F383" s="27"/>
      <c r="G383" s="26"/>
      <c r="H383" s="12"/>
      <c r="I383" s="28">
        <f>SUM(Q374:Q382)</f>
        <v>2.35</v>
      </c>
      <c r="J383" s="12">
        <f>Source!BZ338</f>
        <v>68</v>
      </c>
      <c r="K383" s="28">
        <f>SUM(R374:R382)</f>
        <v>38.31</v>
      </c>
    </row>
    <row r="384" spans="1:27" ht="14.25" x14ac:dyDescent="0.2">
      <c r="A384" s="23"/>
      <c r="B384" s="24"/>
      <c r="C384" s="24" t="s">
        <v>895</v>
      </c>
      <c r="D384" s="25" t="s">
        <v>894</v>
      </c>
      <c r="E384" s="12">
        <f>Source!DO338</f>
        <v>70</v>
      </c>
      <c r="F384" s="27"/>
      <c r="G384" s="26"/>
      <c r="H384" s="12"/>
      <c r="I384" s="28">
        <f>SUM(S374:S383)</f>
        <v>1.93</v>
      </c>
      <c r="J384" s="12">
        <f>Source!CA338</f>
        <v>41</v>
      </c>
      <c r="K384" s="28">
        <f>SUM(T374:T383)</f>
        <v>23.1</v>
      </c>
    </row>
    <row r="385" spans="1:27" ht="14.25" x14ac:dyDescent="0.2">
      <c r="A385" s="23"/>
      <c r="B385" s="24"/>
      <c r="C385" s="24" t="s">
        <v>896</v>
      </c>
      <c r="D385" s="25" t="s">
        <v>894</v>
      </c>
      <c r="E385" s="12">
        <f>175</f>
        <v>175</v>
      </c>
      <c r="F385" s="27"/>
      <c r="G385" s="26"/>
      <c r="H385" s="12"/>
      <c r="I385" s="28">
        <f>SUM(U374:U384)</f>
        <v>0.23</v>
      </c>
      <c r="J385" s="12">
        <f>168</f>
        <v>168</v>
      </c>
      <c r="K385" s="28">
        <f>SUM(V374:V384)</f>
        <v>4.4400000000000004</v>
      </c>
    </row>
    <row r="386" spans="1:27" ht="14.25" x14ac:dyDescent="0.2">
      <c r="A386" s="23"/>
      <c r="B386" s="24"/>
      <c r="C386" s="24" t="s">
        <v>897</v>
      </c>
      <c r="D386" s="25" t="s">
        <v>898</v>
      </c>
      <c r="E386" s="12">
        <f>Source!AQ338</f>
        <v>179</v>
      </c>
      <c r="F386" s="27"/>
      <c r="G386" s="26" t="str">
        <f>Source!DI338</f>
        <v>)*1,15</v>
      </c>
      <c r="H386" s="12">
        <f>Source!AV338</f>
        <v>1</v>
      </c>
      <c r="I386" s="28">
        <f>Source!U338</f>
        <v>0.24701999999999996</v>
      </c>
      <c r="J386" s="12"/>
      <c r="K386" s="28"/>
    </row>
    <row r="387" spans="1:27" ht="15" x14ac:dyDescent="0.25">
      <c r="A387" s="33"/>
      <c r="B387" s="33"/>
      <c r="C387" s="33"/>
      <c r="D387" s="33"/>
      <c r="E387" s="33"/>
      <c r="F387" s="33"/>
      <c r="G387" s="33"/>
      <c r="H387" s="59">
        <f>I376+I377+I379+I383+I384+I385+SUM(I380:I382)</f>
        <v>132.02000000000001</v>
      </c>
      <c r="I387" s="59"/>
      <c r="J387" s="59">
        <f>K376+K377+K379+K383+K384+K385+SUM(K380:K382)</f>
        <v>829.49</v>
      </c>
      <c r="K387" s="59"/>
      <c r="O387" s="32">
        <f>I376+I377+I379+I383+I384+I385+SUM(I380:I382)</f>
        <v>132.02000000000001</v>
      </c>
      <c r="P387" s="32">
        <f>K376+K377+K379+K383+K384+K385+SUM(K380:K382)</f>
        <v>829.49</v>
      </c>
      <c r="X387">
        <f>IF(Source!BI338&lt;=1,I376+I377+I379+I383+I384+I385-0, 0)</f>
        <v>10.9</v>
      </c>
      <c r="Y387">
        <f>IF(Source!BI338=2,I376+I377+I379+I383+I384+I385-0, 0)</f>
        <v>0</v>
      </c>
      <c r="Z387">
        <f>IF(Source!BI338=3,I376+I377+I379+I383+I384+I385-0, 0)</f>
        <v>0</v>
      </c>
      <c r="AA387">
        <f>IF(Source!BI338=4,I376+I377+I379+I383+I384+I385,0)</f>
        <v>0</v>
      </c>
    </row>
    <row r="388" spans="1:27" ht="42.75" x14ac:dyDescent="0.2">
      <c r="A388" s="23" t="str">
        <f>Source!E346</f>
        <v>31</v>
      </c>
      <c r="B388" s="24" t="str">
        <f>Source!F346</f>
        <v>3.9-20-1</v>
      </c>
      <c r="C388" s="24" t="str">
        <f>Source!G346</f>
        <v>Монтаж площадок с настилом и ограждением из листовой, рифленой, просечной и круглой стали</v>
      </c>
      <c r="D388" s="25" t="str">
        <f>Source!H346</f>
        <v>1 т конструкций</v>
      </c>
      <c r="E388" s="12">
        <f>Source!I346</f>
        <v>0.27</v>
      </c>
      <c r="F388" s="27"/>
      <c r="G388" s="26"/>
      <c r="H388" s="12"/>
      <c r="I388" s="28"/>
      <c r="J388" s="12"/>
      <c r="K388" s="28"/>
      <c r="Q388">
        <f>ROUND((Source!DN346/100)*ROUND((Source!AF346*Source!AV346)*Source!I346, 2), 2)</f>
        <v>125.07</v>
      </c>
      <c r="R388">
        <f>Source!X346</f>
        <v>2041.12</v>
      </c>
      <c r="S388">
        <f>ROUND((Source!DO346/100)*ROUND((Source!AF346*Source!AV346)*Source!I346, 2), 2)</f>
        <v>103</v>
      </c>
      <c r="T388">
        <f>Source!Y346</f>
        <v>1230.68</v>
      </c>
      <c r="U388">
        <f>ROUND((175/100)*ROUND((Source!AE346*Source!AV346)*Source!I346, 2), 2)</f>
        <v>78.86</v>
      </c>
      <c r="V388">
        <f>ROUND((168/100)*ROUND(Source!CS346*Source!I346, 2), 2)</f>
        <v>1544.29</v>
      </c>
    </row>
    <row r="389" spans="1:27" ht="14.25" x14ac:dyDescent="0.2">
      <c r="A389" s="23"/>
      <c r="B389" s="24"/>
      <c r="C389" s="24" t="s">
        <v>890</v>
      </c>
      <c r="D389" s="25"/>
      <c r="E389" s="12"/>
      <c r="F389" s="27">
        <f>Source!AO346</f>
        <v>473.88</v>
      </c>
      <c r="G389" s="26" t="str">
        <f>Source!DG346</f>
        <v>)*1,15</v>
      </c>
      <c r="H389" s="12">
        <f>Source!AV346</f>
        <v>1</v>
      </c>
      <c r="I389" s="28">
        <f>ROUND((Source!AF346*Source!AV346)*Source!I346, 2)</f>
        <v>147.13999999999999</v>
      </c>
      <c r="J389" s="12">
        <f>IF(Source!BA346&lt;&gt; 0, Source!BA346, 1)</f>
        <v>20.399999999999999</v>
      </c>
      <c r="K389" s="28">
        <f>Source!S346</f>
        <v>3001.65</v>
      </c>
      <c r="W389">
        <f>I389</f>
        <v>147.13999999999999</v>
      </c>
    </row>
    <row r="390" spans="1:27" ht="14.25" x14ac:dyDescent="0.2">
      <c r="A390" s="23"/>
      <c r="B390" s="24"/>
      <c r="C390" s="24" t="s">
        <v>891</v>
      </c>
      <c r="D390" s="25"/>
      <c r="E390" s="12"/>
      <c r="F390" s="27">
        <f>Source!AM346</f>
        <v>479.77</v>
      </c>
      <c r="G390" s="26" t="str">
        <f>Source!DE346</f>
        <v>)*1,25</v>
      </c>
      <c r="H390" s="12">
        <f>Source!AV346</f>
        <v>1</v>
      </c>
      <c r="I390" s="28">
        <f>ROUND((Source!AD346*Source!AV346)*Source!I346, 2)</f>
        <v>161.91999999999999</v>
      </c>
      <c r="J390" s="12">
        <f>IF(Source!BB346&lt;&gt; 0, Source!BB346, 1)</f>
        <v>8.9700000000000006</v>
      </c>
      <c r="K390" s="28">
        <f>Source!Q346</f>
        <v>1452.44</v>
      </c>
    </row>
    <row r="391" spans="1:27" ht="14.25" x14ac:dyDescent="0.2">
      <c r="A391" s="23"/>
      <c r="B391" s="24"/>
      <c r="C391" s="24" t="s">
        <v>892</v>
      </c>
      <c r="D391" s="25"/>
      <c r="E391" s="12"/>
      <c r="F391" s="27">
        <f>Source!AN346</f>
        <v>133.51</v>
      </c>
      <c r="G391" s="26" t="str">
        <f>Source!DF346</f>
        <v>)*1,25</v>
      </c>
      <c r="H391" s="12">
        <f>Source!AV346</f>
        <v>1</v>
      </c>
      <c r="I391" s="30">
        <f>ROUND((Source!AE346*Source!AV346)*Source!I346, 2)</f>
        <v>45.06</v>
      </c>
      <c r="J391" s="12">
        <f>IF(Source!BS346&lt;&gt; 0, Source!BS346, 1)</f>
        <v>20.399999999999999</v>
      </c>
      <c r="K391" s="30">
        <f>Source!R346</f>
        <v>919.22</v>
      </c>
      <c r="W391">
        <f>I391</f>
        <v>45.06</v>
      </c>
    </row>
    <row r="392" spans="1:27" ht="14.25" x14ac:dyDescent="0.2">
      <c r="A392" s="23"/>
      <c r="B392" s="24"/>
      <c r="C392" s="24" t="s">
        <v>899</v>
      </c>
      <c r="D392" s="25"/>
      <c r="E392" s="12"/>
      <c r="F392" s="27">
        <f>Source!AL346</f>
        <v>80.900000000000006</v>
      </c>
      <c r="G392" s="26" t="str">
        <f>Source!DD346</f>
        <v/>
      </c>
      <c r="H392" s="12">
        <f>Source!AW346</f>
        <v>1</v>
      </c>
      <c r="I392" s="28">
        <f>ROUND((Source!AC346*Source!AW346)*Source!I346, 2)</f>
        <v>21.84</v>
      </c>
      <c r="J392" s="12">
        <f>IF(Source!BC346&lt;&gt; 0, Source!BC346, 1)</f>
        <v>7.63</v>
      </c>
      <c r="K392" s="28">
        <f>Source!P346</f>
        <v>166.66</v>
      </c>
    </row>
    <row r="393" spans="1:27" ht="42.75" x14ac:dyDescent="0.2">
      <c r="A393" s="23" t="str">
        <f>Source!E348</f>
        <v>31,1</v>
      </c>
      <c r="B393" s="24" t="str">
        <f>Source!F348</f>
        <v>1.1-1-60</v>
      </c>
      <c r="C393" s="24" t="str">
        <f>Source!G348</f>
        <v>Болты строительные с гайками с шестигранной головкой, диаметр резьбы 6 мм</v>
      </c>
      <c r="D393" s="25" t="str">
        <f>Source!H348</f>
        <v>т</v>
      </c>
      <c r="E393" s="12">
        <f>Source!I348</f>
        <v>2.2741999999999998E-2</v>
      </c>
      <c r="F393" s="27">
        <f>Source!AK348</f>
        <v>22533.279999999999</v>
      </c>
      <c r="G393" s="31" t="s">
        <v>3</v>
      </c>
      <c r="H393" s="12">
        <f>Source!AW348</f>
        <v>1</v>
      </c>
      <c r="I393" s="28">
        <f>ROUND((Source!AC348*Source!AW348)*Source!I348, 2)+ROUND((Source!AD348*Source!AV348)*Source!I348, 2)+ROUND((Source!AF348*Source!AV348)*Source!I348, 2)</f>
        <v>512.45000000000005</v>
      </c>
      <c r="J393" s="12">
        <f>IF(Source!BC348&lt;&gt; 0, Source!BC348, 1)</f>
        <v>4.16</v>
      </c>
      <c r="K393" s="28">
        <f>Source!O348</f>
        <v>2131.8000000000002</v>
      </c>
      <c r="Q393">
        <f>ROUND((Source!DN348/100)*ROUND((Source!AF348*Source!AV348)*Source!I348, 2), 2)</f>
        <v>0</v>
      </c>
      <c r="R393">
        <f>Source!X348</f>
        <v>0</v>
      </c>
      <c r="S393">
        <f>ROUND((Source!DO348/100)*ROUND((Source!AF348*Source!AV348)*Source!I348, 2), 2)</f>
        <v>0</v>
      </c>
      <c r="T393">
        <f>Source!Y348</f>
        <v>0</v>
      </c>
      <c r="U393">
        <f>ROUND((175/100)*ROUND((Source!AE348*Source!AV348)*Source!I348, 2), 2)</f>
        <v>0</v>
      </c>
      <c r="V393">
        <f>ROUND((168/100)*ROUND(Source!CS348*Source!I348, 2), 2)</f>
        <v>0</v>
      </c>
      <c r="X393">
        <f>IF(Source!BI348&lt;=1,I393, 0)</f>
        <v>512.45000000000005</v>
      </c>
      <c r="Y393">
        <f>IF(Source!BI348=2,I393, 0)</f>
        <v>0</v>
      </c>
      <c r="Z393">
        <f>IF(Source!BI348=3,I393, 0)</f>
        <v>0</v>
      </c>
      <c r="AA393">
        <f>IF(Source!BI348=4,I393, 0)</f>
        <v>0</v>
      </c>
    </row>
    <row r="394" spans="1:27" ht="57" x14ac:dyDescent="0.2">
      <c r="A394" s="23" t="str">
        <f>Source!E350</f>
        <v>31,2</v>
      </c>
      <c r="B394" s="24" t="str">
        <f>Source!F350</f>
        <v>1.1-1-2284</v>
      </c>
      <c r="C394" s="24" t="str">
        <f>Source!G350</f>
        <v>Профили стальные электросварные квадратного сечения трубчатые, размер стороны 60 мм, толщина стенки 3 мм</v>
      </c>
      <c r="D394" s="25" t="str">
        <f>Source!H350</f>
        <v>т</v>
      </c>
      <c r="E394" s="12">
        <f>Source!I350</f>
        <v>0.09</v>
      </c>
      <c r="F394" s="27">
        <f>Source!AK350</f>
        <v>11355</v>
      </c>
      <c r="G394" s="31" t="s">
        <v>3</v>
      </c>
      <c r="H394" s="12">
        <f>Source!AW350</f>
        <v>1</v>
      </c>
      <c r="I394" s="28">
        <f>ROUND((Source!AC350*Source!AW350)*Source!I350, 2)+ROUND((Source!AD350*Source!AV350)*Source!I350, 2)+ROUND((Source!AF350*Source!AV350)*Source!I350, 2)</f>
        <v>1021.95</v>
      </c>
      <c r="J394" s="12">
        <f>IF(Source!BC350&lt;&gt; 0, Source!BC350, 1)</f>
        <v>3.12</v>
      </c>
      <c r="K394" s="28">
        <f>Source!O350</f>
        <v>3188.48</v>
      </c>
      <c r="Q394">
        <f>ROUND((Source!DN350/100)*ROUND((Source!AF350*Source!AV350)*Source!I350, 2), 2)</f>
        <v>0</v>
      </c>
      <c r="R394">
        <f>Source!X350</f>
        <v>0</v>
      </c>
      <c r="S394">
        <f>ROUND((Source!DO350/100)*ROUND((Source!AF350*Source!AV350)*Source!I350, 2), 2)</f>
        <v>0</v>
      </c>
      <c r="T394">
        <f>Source!Y350</f>
        <v>0</v>
      </c>
      <c r="U394">
        <f>ROUND((175/100)*ROUND((Source!AE350*Source!AV350)*Source!I350, 2), 2)</f>
        <v>0</v>
      </c>
      <c r="V394">
        <f>ROUND((168/100)*ROUND(Source!CS350*Source!I350, 2), 2)</f>
        <v>0</v>
      </c>
      <c r="X394">
        <f>IF(Source!BI350&lt;=1,I394, 0)</f>
        <v>1021.95</v>
      </c>
      <c r="Y394">
        <f>IF(Source!BI350=2,I394, 0)</f>
        <v>0</v>
      </c>
      <c r="Z394">
        <f>IF(Source!BI350=3,I394, 0)</f>
        <v>0</v>
      </c>
      <c r="AA394">
        <f>IF(Source!BI350=4,I394, 0)</f>
        <v>0</v>
      </c>
    </row>
    <row r="395" spans="1:27" ht="42.75" x14ac:dyDescent="0.2">
      <c r="A395" s="23" t="str">
        <f>Source!E352</f>
        <v>31,3</v>
      </c>
      <c r="B395" s="24" t="str">
        <f>Source!F352</f>
        <v>1.1-1-1112</v>
      </c>
      <c r="C395" s="24" t="str">
        <f>Source!G352</f>
        <v>Сталь угловая равнополочная общего назначения, марка Ст0, ширина полки более 70 мм</v>
      </c>
      <c r="D395" s="25" t="str">
        <f>Source!H352</f>
        <v>т</v>
      </c>
      <c r="E395" s="12">
        <f>Source!I352</f>
        <v>0.08</v>
      </c>
      <c r="F395" s="27">
        <f>Source!AK352</f>
        <v>8914.6</v>
      </c>
      <c r="G395" s="31" t="s">
        <v>3</v>
      </c>
      <c r="H395" s="12">
        <f>Source!AW352</f>
        <v>1</v>
      </c>
      <c r="I395" s="28">
        <f>ROUND((Source!AC352*Source!AW352)*Source!I352, 2)+ROUND((Source!AD352*Source!AV352)*Source!I352, 2)+ROUND((Source!AF352*Source!AV352)*Source!I352, 2)</f>
        <v>713.17</v>
      </c>
      <c r="J395" s="12">
        <f>IF(Source!BC352&lt;&gt; 0, Source!BC352, 1)</f>
        <v>2.74</v>
      </c>
      <c r="K395" s="28">
        <f>Source!O352</f>
        <v>1954.08</v>
      </c>
      <c r="Q395">
        <f>ROUND((Source!DN352/100)*ROUND((Source!AF352*Source!AV352)*Source!I352, 2), 2)</f>
        <v>0</v>
      </c>
      <c r="R395">
        <f>Source!X352</f>
        <v>0</v>
      </c>
      <c r="S395">
        <f>ROUND((Source!DO352/100)*ROUND((Source!AF352*Source!AV352)*Source!I352, 2), 2)</f>
        <v>0</v>
      </c>
      <c r="T395">
        <f>Source!Y352</f>
        <v>0</v>
      </c>
      <c r="U395">
        <f>ROUND((175/100)*ROUND((Source!AE352*Source!AV352)*Source!I352, 2), 2)</f>
        <v>0</v>
      </c>
      <c r="V395">
        <f>ROUND((168/100)*ROUND(Source!CS352*Source!I352, 2), 2)</f>
        <v>0</v>
      </c>
      <c r="X395">
        <f>IF(Source!BI352&lt;=1,I395, 0)</f>
        <v>713.17</v>
      </c>
      <c r="Y395">
        <f>IF(Source!BI352=2,I395, 0)</f>
        <v>0</v>
      </c>
      <c r="Z395">
        <f>IF(Source!BI352=3,I395, 0)</f>
        <v>0</v>
      </c>
      <c r="AA395">
        <f>IF(Source!BI352=4,I395, 0)</f>
        <v>0</v>
      </c>
    </row>
    <row r="396" spans="1:27" ht="42.75" x14ac:dyDescent="0.2">
      <c r="A396" s="23" t="str">
        <f>Source!E354</f>
        <v>31,4</v>
      </c>
      <c r="B396" s="24" t="str">
        <f>Source!F354</f>
        <v>1.1-1-1104</v>
      </c>
      <c r="C396" s="24" t="str">
        <f>Source!G354</f>
        <v>Сталь толстолистовая, толщина более 4 мм, общего назначения, марка Ст1сп-Ст6сп</v>
      </c>
      <c r="D396" s="25" t="str">
        <f>Source!H354</f>
        <v>т</v>
      </c>
      <c r="E396" s="12">
        <f>Source!I354</f>
        <v>0.02</v>
      </c>
      <c r="F396" s="27">
        <f>Source!AK354</f>
        <v>7075.07</v>
      </c>
      <c r="G396" s="31" t="s">
        <v>3</v>
      </c>
      <c r="H396" s="12">
        <f>Source!AW354</f>
        <v>1</v>
      </c>
      <c r="I396" s="28">
        <f>ROUND((Source!AC354*Source!AW354)*Source!I354, 2)+ROUND((Source!AD354*Source!AV354)*Source!I354, 2)+ROUND((Source!AF354*Source!AV354)*Source!I354, 2)</f>
        <v>141.5</v>
      </c>
      <c r="J396" s="12">
        <f>IF(Source!BC354&lt;&gt; 0, Source!BC354, 1)</f>
        <v>5.61</v>
      </c>
      <c r="K396" s="28">
        <f>Source!O354</f>
        <v>793.82</v>
      </c>
      <c r="Q396">
        <f>ROUND((Source!DN354/100)*ROUND((Source!AF354*Source!AV354)*Source!I354, 2), 2)</f>
        <v>0</v>
      </c>
      <c r="R396">
        <f>Source!X354</f>
        <v>0</v>
      </c>
      <c r="S396">
        <f>ROUND((Source!DO354/100)*ROUND((Source!AF354*Source!AV354)*Source!I354, 2), 2)</f>
        <v>0</v>
      </c>
      <c r="T396">
        <f>Source!Y354</f>
        <v>0</v>
      </c>
      <c r="U396">
        <f>ROUND((175/100)*ROUND((Source!AE354*Source!AV354)*Source!I354, 2), 2)</f>
        <v>0</v>
      </c>
      <c r="V396">
        <f>ROUND((168/100)*ROUND(Source!CS354*Source!I354, 2), 2)</f>
        <v>0</v>
      </c>
      <c r="X396">
        <f>IF(Source!BI354&lt;=1,I396, 0)</f>
        <v>141.5</v>
      </c>
      <c r="Y396">
        <f>IF(Source!BI354=2,I396, 0)</f>
        <v>0</v>
      </c>
      <c r="Z396">
        <f>IF(Source!BI354=3,I396, 0)</f>
        <v>0</v>
      </c>
      <c r="AA396">
        <f>IF(Source!BI354=4,I396, 0)</f>
        <v>0</v>
      </c>
    </row>
    <row r="397" spans="1:27" ht="85.5" x14ac:dyDescent="0.2">
      <c r="A397" s="23" t="str">
        <f>Source!E356</f>
        <v>31,5</v>
      </c>
      <c r="B397" s="24" t="str">
        <f>Source!F356</f>
        <v>1.6-1-216</v>
      </c>
      <c r="C397" s="24" t="str">
        <f>Source!G356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D397" s="25" t="str">
        <f>Source!H356</f>
        <v>т</v>
      </c>
      <c r="E397" s="12">
        <f>Source!I356</f>
        <v>0.08</v>
      </c>
      <c r="F397" s="27">
        <f>Source!AK356</f>
        <v>17021.419999999998</v>
      </c>
      <c r="G397" s="31" t="s">
        <v>3</v>
      </c>
      <c r="H397" s="12">
        <f>Source!AW356</f>
        <v>1</v>
      </c>
      <c r="I397" s="28">
        <f>ROUND((Source!AC356*Source!AW356)*Source!I356, 2)+ROUND((Source!AD356*Source!AV356)*Source!I356, 2)+ROUND((Source!AF356*Source!AV356)*Source!I356, 2)</f>
        <v>1361.71</v>
      </c>
      <c r="J397" s="12">
        <f>IF(Source!BC356&lt;&gt; 0, Source!BC356, 1)</f>
        <v>5.14</v>
      </c>
      <c r="K397" s="28">
        <f>Source!O356</f>
        <v>6999.21</v>
      </c>
      <c r="Q397">
        <f>ROUND((Source!DN356/100)*ROUND((Source!AF356*Source!AV356)*Source!I356, 2), 2)</f>
        <v>0</v>
      </c>
      <c r="R397">
        <f>Source!X356</f>
        <v>0</v>
      </c>
      <c r="S397">
        <f>ROUND((Source!DO356/100)*ROUND((Source!AF356*Source!AV356)*Source!I356, 2), 2)</f>
        <v>0</v>
      </c>
      <c r="T397">
        <f>Source!Y356</f>
        <v>0</v>
      </c>
      <c r="U397">
        <f>ROUND((175/100)*ROUND((Source!AE356*Source!AV356)*Source!I356, 2), 2)</f>
        <v>0</v>
      </c>
      <c r="V397">
        <f>ROUND((168/100)*ROUND(Source!CS356*Source!I356, 2), 2)</f>
        <v>0</v>
      </c>
      <c r="X397">
        <f>IF(Source!BI356&lt;=1,I397, 0)</f>
        <v>1361.71</v>
      </c>
      <c r="Y397">
        <f>IF(Source!BI356=2,I397, 0)</f>
        <v>0</v>
      </c>
      <c r="Z397">
        <f>IF(Source!BI356=3,I397, 0)</f>
        <v>0</v>
      </c>
      <c r="AA397">
        <f>IF(Source!BI356=4,I397, 0)</f>
        <v>0</v>
      </c>
    </row>
    <row r="398" spans="1:27" ht="14.25" x14ac:dyDescent="0.2">
      <c r="A398" s="23"/>
      <c r="B398" s="24"/>
      <c r="C398" s="24" t="s">
        <v>893</v>
      </c>
      <c r="D398" s="25" t="s">
        <v>894</v>
      </c>
      <c r="E398" s="12">
        <f>Source!DN346</f>
        <v>85</v>
      </c>
      <c r="F398" s="27"/>
      <c r="G398" s="26"/>
      <c r="H398" s="12"/>
      <c r="I398" s="28">
        <f>SUM(Q388:Q397)</f>
        <v>125.07</v>
      </c>
      <c r="J398" s="12">
        <f>Source!BZ346</f>
        <v>68</v>
      </c>
      <c r="K398" s="28">
        <f>SUM(R388:R397)</f>
        <v>2041.12</v>
      </c>
    </row>
    <row r="399" spans="1:27" ht="14.25" x14ac:dyDescent="0.2">
      <c r="A399" s="23"/>
      <c r="B399" s="24"/>
      <c r="C399" s="24" t="s">
        <v>895</v>
      </c>
      <c r="D399" s="25" t="s">
        <v>894</v>
      </c>
      <c r="E399" s="12">
        <f>Source!DO346</f>
        <v>70</v>
      </c>
      <c r="F399" s="27"/>
      <c r="G399" s="26"/>
      <c r="H399" s="12"/>
      <c r="I399" s="28">
        <f>SUM(S388:S398)</f>
        <v>103</v>
      </c>
      <c r="J399" s="12">
        <f>Source!CA346</f>
        <v>41</v>
      </c>
      <c r="K399" s="28">
        <f>SUM(T388:T398)</f>
        <v>1230.68</v>
      </c>
    </row>
    <row r="400" spans="1:27" ht="14.25" x14ac:dyDescent="0.2">
      <c r="A400" s="23"/>
      <c r="B400" s="24"/>
      <c r="C400" s="24" t="s">
        <v>896</v>
      </c>
      <c r="D400" s="25" t="s">
        <v>894</v>
      </c>
      <c r="E400" s="12">
        <f>175</f>
        <v>175</v>
      </c>
      <c r="F400" s="27"/>
      <c r="G400" s="26"/>
      <c r="H400" s="12"/>
      <c r="I400" s="28">
        <f>SUM(U388:U399)</f>
        <v>78.86</v>
      </c>
      <c r="J400" s="12">
        <f>168</f>
        <v>168</v>
      </c>
      <c r="K400" s="28">
        <f>SUM(V388:V399)</f>
        <v>1544.29</v>
      </c>
    </row>
    <row r="401" spans="1:27" ht="14.25" x14ac:dyDescent="0.2">
      <c r="A401" s="23"/>
      <c r="B401" s="24"/>
      <c r="C401" s="24" t="s">
        <v>897</v>
      </c>
      <c r="D401" s="25" t="s">
        <v>898</v>
      </c>
      <c r="E401" s="12">
        <f>Source!AQ346</f>
        <v>35.9</v>
      </c>
      <c r="F401" s="27"/>
      <c r="G401" s="26" t="str">
        <f>Source!DI346</f>
        <v>)*1,15</v>
      </c>
      <c r="H401" s="12">
        <f>Source!AV346</f>
        <v>1</v>
      </c>
      <c r="I401" s="28">
        <f>Source!U346</f>
        <v>11.14695</v>
      </c>
      <c r="J401" s="12"/>
      <c r="K401" s="28"/>
    </row>
    <row r="402" spans="1:27" ht="15" x14ac:dyDescent="0.25">
      <c r="A402" s="33"/>
      <c r="B402" s="33"/>
      <c r="C402" s="33"/>
      <c r="D402" s="33"/>
      <c r="E402" s="33"/>
      <c r="F402" s="33"/>
      <c r="G402" s="33"/>
      <c r="H402" s="59">
        <f>I389+I390+I392+I398+I399+I400+SUM(I393:I397)</f>
        <v>4388.6100000000006</v>
      </c>
      <c r="I402" s="59"/>
      <c r="J402" s="59">
        <f>K389+K390+K392+K398+K399+K400+SUM(K393:K397)</f>
        <v>24504.23</v>
      </c>
      <c r="K402" s="59"/>
      <c r="O402" s="32">
        <f>I389+I390+I392+I398+I399+I400+SUM(I393:I397)</f>
        <v>4388.6100000000006</v>
      </c>
      <c r="P402" s="32">
        <f>K389+K390+K392+K398+K399+K400+SUM(K393:K397)</f>
        <v>24504.23</v>
      </c>
      <c r="X402">
        <f>IF(Source!BI346&lt;=1,I389+I390+I392+I398+I399+I400-0, 0)</f>
        <v>637.82999999999993</v>
      </c>
      <c r="Y402">
        <f>IF(Source!BI346=2,I389+I390+I392+I398+I399+I400-0, 0)</f>
        <v>0</v>
      </c>
      <c r="Z402">
        <f>IF(Source!BI346=3,I389+I390+I392+I398+I399+I400-0, 0)</f>
        <v>0</v>
      </c>
      <c r="AA402">
        <f>IF(Source!BI346=4,I389+I390+I392+I398+I399+I400,0)</f>
        <v>0</v>
      </c>
    </row>
    <row r="404" spans="1:27" ht="15" x14ac:dyDescent="0.25">
      <c r="A404" s="57" t="str">
        <f>CONCATENATE("Итого по подразделу: ",IF(Source!G358&lt;&gt;"Новый подраздел", Source!G358, ""))</f>
        <v>Итого по подразделу: Конструктивные решения</v>
      </c>
      <c r="B404" s="57"/>
      <c r="C404" s="57"/>
      <c r="D404" s="57"/>
      <c r="E404" s="57"/>
      <c r="F404" s="57"/>
      <c r="G404" s="57"/>
      <c r="H404" s="55">
        <f>SUM(O349:O403)</f>
        <v>4605.2900000000009</v>
      </c>
      <c r="I404" s="56"/>
      <c r="J404" s="55">
        <f>SUM(P349:P403)</f>
        <v>25871.13</v>
      </c>
      <c r="K404" s="56"/>
    </row>
    <row r="405" spans="1:27" ht="15" hidden="1" x14ac:dyDescent="0.25">
      <c r="A405" s="57" t="s">
        <v>900</v>
      </c>
      <c r="B405" s="57"/>
      <c r="C405" s="57"/>
      <c r="D405" s="57"/>
      <c r="E405" s="57"/>
      <c r="F405" s="57"/>
      <c r="G405" s="57"/>
      <c r="H405" s="55">
        <f>SUM(AC349:AC404)</f>
        <v>0</v>
      </c>
      <c r="I405" s="56"/>
      <c r="J405" s="55">
        <f>SUM(AD349:AD404)</f>
        <v>0</v>
      </c>
      <c r="K405" s="56"/>
    </row>
    <row r="407" spans="1:27" ht="16.5" x14ac:dyDescent="0.25">
      <c r="A407" s="60" t="str">
        <f>CONCATENATE("Подраздел: ",IF(Source!G387&lt;&gt;"Новый подраздел", Source!G387, ""))</f>
        <v>Подраздел: Сети связи</v>
      </c>
      <c r="B407" s="60"/>
      <c r="C407" s="60"/>
      <c r="D407" s="60"/>
      <c r="E407" s="60"/>
      <c r="F407" s="60"/>
      <c r="G407" s="60"/>
      <c r="H407" s="60"/>
      <c r="I407" s="60"/>
      <c r="J407" s="60"/>
      <c r="K407" s="60"/>
    </row>
    <row r="408" spans="1:27" ht="28.5" x14ac:dyDescent="0.2">
      <c r="A408" s="23" t="str">
        <f>Source!E392</f>
        <v>32</v>
      </c>
      <c r="B408" s="24" t="str">
        <f>Source!F392</f>
        <v>4.10-69-5</v>
      </c>
      <c r="C408" s="24" t="str">
        <f>Source!G392</f>
        <v>Аппаратура настенного типа, звонок ( МР-413W8)</v>
      </c>
      <c r="D408" s="25" t="str">
        <f>Source!H392</f>
        <v>1  ШТ.</v>
      </c>
      <c r="E408" s="12">
        <f>Source!I392</f>
        <v>2</v>
      </c>
      <c r="F408" s="27"/>
      <c r="G408" s="26"/>
      <c r="H408" s="12"/>
      <c r="I408" s="28"/>
      <c r="J408" s="12"/>
      <c r="K408" s="28"/>
      <c r="Q408">
        <f>ROUND((Source!DN392/100)*ROUND((Source!AF392*Source!AV392)*Source!I392, 2), 2)</f>
        <v>31.2</v>
      </c>
      <c r="R408">
        <f>Source!X392</f>
        <v>429.93</v>
      </c>
      <c r="S408">
        <f>ROUND((Source!DO392/100)*ROUND((Source!AF392*Source!AV392)*Source!I392, 2), 2)</f>
        <v>18.34</v>
      </c>
      <c r="T408">
        <f>Source!Y392</f>
        <v>228.92</v>
      </c>
      <c r="U408">
        <f>ROUND((175/100)*ROUND((Source!AE392*Source!AV392)*Source!I392, 2), 2)</f>
        <v>0</v>
      </c>
      <c r="V408">
        <f>ROUND((168/100)*ROUND(Source!CS392*Source!I392, 2), 2)</f>
        <v>0</v>
      </c>
    </row>
    <row r="409" spans="1:27" ht="14.25" x14ac:dyDescent="0.2">
      <c r="A409" s="23"/>
      <c r="B409" s="24"/>
      <c r="C409" s="24" t="s">
        <v>890</v>
      </c>
      <c r="D409" s="25"/>
      <c r="E409" s="12"/>
      <c r="F409" s="27">
        <f>Source!AO392</f>
        <v>11.9</v>
      </c>
      <c r="G409" s="26" t="str">
        <f>Source!DG392</f>
        <v>)*1,15</v>
      </c>
      <c r="H409" s="12">
        <f>Source!AV392</f>
        <v>1</v>
      </c>
      <c r="I409" s="28">
        <f>ROUND((Source!AF392*Source!AV392)*Source!I392, 2)</f>
        <v>27.37</v>
      </c>
      <c r="J409" s="12">
        <f>IF(Source!BA392&lt;&gt; 0, Source!BA392, 1)</f>
        <v>20.399999999999999</v>
      </c>
      <c r="K409" s="28">
        <f>Source!S392</f>
        <v>558.35</v>
      </c>
      <c r="W409">
        <f>I409</f>
        <v>27.37</v>
      </c>
    </row>
    <row r="410" spans="1:27" ht="14.25" x14ac:dyDescent="0.2">
      <c r="A410" s="23"/>
      <c r="B410" s="24"/>
      <c r="C410" s="24" t="s">
        <v>899</v>
      </c>
      <c r="D410" s="25"/>
      <c r="E410" s="12"/>
      <c r="F410" s="27">
        <f>Source!AL392</f>
        <v>0.63</v>
      </c>
      <c r="G410" s="26" t="str">
        <f>Source!DD392</f>
        <v/>
      </c>
      <c r="H410" s="12">
        <f>Source!AW392</f>
        <v>1</v>
      </c>
      <c r="I410" s="28">
        <f>ROUND((Source!AC392*Source!AW392)*Source!I392, 2)</f>
        <v>1.26</v>
      </c>
      <c r="J410" s="12">
        <f>IF(Source!BC392&lt;&gt; 0, Source!BC392, 1)</f>
        <v>5.22</v>
      </c>
      <c r="K410" s="28">
        <f>Source!P392</f>
        <v>6.58</v>
      </c>
    </row>
    <row r="411" spans="1:27" ht="14.25" x14ac:dyDescent="0.2">
      <c r="A411" s="23"/>
      <c r="B411" s="24"/>
      <c r="C411" s="24" t="s">
        <v>893</v>
      </c>
      <c r="D411" s="25" t="s">
        <v>894</v>
      </c>
      <c r="E411" s="12">
        <f>Source!DN392</f>
        <v>114</v>
      </c>
      <c r="F411" s="27"/>
      <c r="G411" s="26"/>
      <c r="H411" s="12"/>
      <c r="I411" s="28">
        <f>SUM(Q408:Q410)</f>
        <v>31.2</v>
      </c>
      <c r="J411" s="12">
        <f>Source!BZ392</f>
        <v>77</v>
      </c>
      <c r="K411" s="28">
        <f>SUM(R408:R410)</f>
        <v>429.93</v>
      </c>
    </row>
    <row r="412" spans="1:27" ht="14.25" x14ac:dyDescent="0.2">
      <c r="A412" s="23"/>
      <c r="B412" s="24"/>
      <c r="C412" s="24" t="s">
        <v>895</v>
      </c>
      <c r="D412" s="25" t="s">
        <v>894</v>
      </c>
      <c r="E412" s="12">
        <f>Source!DO392</f>
        <v>67</v>
      </c>
      <c r="F412" s="27"/>
      <c r="G412" s="26"/>
      <c r="H412" s="12"/>
      <c r="I412" s="28">
        <f>SUM(S408:S411)</f>
        <v>18.34</v>
      </c>
      <c r="J412" s="12">
        <f>Source!CA392</f>
        <v>41</v>
      </c>
      <c r="K412" s="28">
        <f>SUM(T408:T411)</f>
        <v>228.92</v>
      </c>
    </row>
    <row r="413" spans="1:27" ht="14.25" x14ac:dyDescent="0.2">
      <c r="A413" s="23"/>
      <c r="B413" s="24"/>
      <c r="C413" s="24" t="s">
        <v>897</v>
      </c>
      <c r="D413" s="25" t="s">
        <v>898</v>
      </c>
      <c r="E413" s="12">
        <f>Source!AQ392</f>
        <v>1</v>
      </c>
      <c r="F413" s="27"/>
      <c r="G413" s="26" t="str">
        <f>Source!DI392</f>
        <v>)*1,15</v>
      </c>
      <c r="H413" s="12">
        <f>Source!AV392</f>
        <v>1</v>
      </c>
      <c r="I413" s="28">
        <f>Source!U392</f>
        <v>2.2999999999999998</v>
      </c>
      <c r="J413" s="12"/>
      <c r="K413" s="28"/>
    </row>
    <row r="414" spans="1:27" ht="15" x14ac:dyDescent="0.25">
      <c r="A414" s="33"/>
      <c r="B414" s="33"/>
      <c r="C414" s="33"/>
      <c r="D414" s="33"/>
      <c r="E414" s="33"/>
      <c r="F414" s="33"/>
      <c r="G414" s="33"/>
      <c r="H414" s="59">
        <f>I409+I410+I411+I412</f>
        <v>78.17</v>
      </c>
      <c r="I414" s="59"/>
      <c r="J414" s="59">
        <f>K409+K410+K411+K412</f>
        <v>1223.7800000000002</v>
      </c>
      <c r="K414" s="59"/>
      <c r="O414" s="32">
        <f>I409+I410+I411+I412</f>
        <v>78.17</v>
      </c>
      <c r="P414" s="32">
        <f>K409+K410+K411+K412</f>
        <v>1223.7800000000002</v>
      </c>
      <c r="X414">
        <f>IF(Source!BI392&lt;=1,I409+I410+I411+I412-0, 0)</f>
        <v>0</v>
      </c>
      <c r="Y414">
        <f>IF(Source!BI392=2,I409+I410+I411+I412-0, 0)</f>
        <v>78.17</v>
      </c>
      <c r="Z414">
        <f>IF(Source!BI392=3,I409+I410+I411+I412-0, 0)</f>
        <v>0</v>
      </c>
      <c r="AA414">
        <f>IF(Source!BI392=4,I409+I410+I411+I412,0)</f>
        <v>0</v>
      </c>
    </row>
    <row r="415" spans="1:27" ht="28.5" x14ac:dyDescent="0.2">
      <c r="A415" s="23" t="str">
        <f>Source!E394</f>
        <v>33</v>
      </c>
      <c r="B415" s="24" t="str">
        <f>Source!F394</f>
        <v>4.10-76-7</v>
      </c>
      <c r="C415" s="24" t="str">
        <f>Source!G394</f>
        <v>Громкоговоритель или звуковая колонка в помещении( МР-821W1)</v>
      </c>
      <c r="D415" s="25" t="str">
        <f>Source!H394</f>
        <v>1  ШТ.</v>
      </c>
      <c r="E415" s="12">
        <f>Source!I394</f>
        <v>1</v>
      </c>
      <c r="F415" s="27"/>
      <c r="G415" s="26"/>
      <c r="H415" s="12"/>
      <c r="I415" s="28"/>
      <c r="J415" s="12"/>
      <c r="K415" s="28"/>
      <c r="Q415">
        <f>ROUND((Source!DN394/100)*ROUND((Source!AF394*Source!AV394)*Source!I394, 2), 2)</f>
        <v>31.2</v>
      </c>
      <c r="R415">
        <f>Source!X394</f>
        <v>429.93</v>
      </c>
      <c r="S415">
        <f>ROUND((Source!DO394/100)*ROUND((Source!AF394*Source!AV394)*Source!I394, 2), 2)</f>
        <v>18.34</v>
      </c>
      <c r="T415">
        <f>Source!Y394</f>
        <v>228.92</v>
      </c>
      <c r="U415">
        <f>ROUND((175/100)*ROUND((Source!AE394*Source!AV394)*Source!I394, 2), 2)</f>
        <v>0</v>
      </c>
      <c r="V415">
        <f>ROUND((168/100)*ROUND(Source!CS394*Source!I394, 2), 2)</f>
        <v>0</v>
      </c>
    </row>
    <row r="416" spans="1:27" ht="14.25" x14ac:dyDescent="0.2">
      <c r="A416" s="23"/>
      <c r="B416" s="24"/>
      <c r="C416" s="24" t="s">
        <v>890</v>
      </c>
      <c r="D416" s="25"/>
      <c r="E416" s="12"/>
      <c r="F416" s="27">
        <f>Source!AO394</f>
        <v>23.8</v>
      </c>
      <c r="G416" s="26" t="str">
        <f>Source!DG394</f>
        <v>)*1,15</v>
      </c>
      <c r="H416" s="12">
        <f>Source!AV394</f>
        <v>1</v>
      </c>
      <c r="I416" s="28">
        <f>ROUND((Source!AF394*Source!AV394)*Source!I394, 2)</f>
        <v>27.37</v>
      </c>
      <c r="J416" s="12">
        <f>IF(Source!BA394&lt;&gt; 0, Source!BA394, 1)</f>
        <v>20.399999999999999</v>
      </c>
      <c r="K416" s="28">
        <f>Source!S394</f>
        <v>558.35</v>
      </c>
      <c r="W416">
        <f>I416</f>
        <v>27.37</v>
      </c>
    </row>
    <row r="417" spans="1:27" ht="14.25" x14ac:dyDescent="0.2">
      <c r="A417" s="23"/>
      <c r="B417" s="24"/>
      <c r="C417" s="24" t="s">
        <v>899</v>
      </c>
      <c r="D417" s="25"/>
      <c r="E417" s="12"/>
      <c r="F417" s="27">
        <f>Source!AL394</f>
        <v>0.91</v>
      </c>
      <c r="G417" s="26" t="str">
        <f>Source!DD394</f>
        <v/>
      </c>
      <c r="H417" s="12">
        <f>Source!AW394</f>
        <v>1</v>
      </c>
      <c r="I417" s="28">
        <f>ROUND((Source!AC394*Source!AW394)*Source!I394, 2)</f>
        <v>0.91</v>
      </c>
      <c r="J417" s="12">
        <f>IF(Source!BC394&lt;&gt; 0, Source!BC394, 1)</f>
        <v>5.23</v>
      </c>
      <c r="K417" s="28">
        <f>Source!P394</f>
        <v>4.76</v>
      </c>
    </row>
    <row r="418" spans="1:27" ht="14.25" x14ac:dyDescent="0.2">
      <c r="A418" s="23"/>
      <c r="B418" s="24"/>
      <c r="C418" s="24" t="s">
        <v>893</v>
      </c>
      <c r="D418" s="25" t="s">
        <v>894</v>
      </c>
      <c r="E418" s="12">
        <f>Source!DN394</f>
        <v>114</v>
      </c>
      <c r="F418" s="27"/>
      <c r="G418" s="26"/>
      <c r="H418" s="12"/>
      <c r="I418" s="28">
        <f>SUM(Q415:Q417)</f>
        <v>31.2</v>
      </c>
      <c r="J418" s="12">
        <f>Source!BZ394</f>
        <v>77</v>
      </c>
      <c r="K418" s="28">
        <f>SUM(R415:R417)</f>
        <v>429.93</v>
      </c>
    </row>
    <row r="419" spans="1:27" ht="14.25" x14ac:dyDescent="0.2">
      <c r="A419" s="23"/>
      <c r="B419" s="24"/>
      <c r="C419" s="24" t="s">
        <v>895</v>
      </c>
      <c r="D419" s="25" t="s">
        <v>894</v>
      </c>
      <c r="E419" s="12">
        <f>Source!DO394</f>
        <v>67</v>
      </c>
      <c r="F419" s="27"/>
      <c r="G419" s="26"/>
      <c r="H419" s="12"/>
      <c r="I419" s="28">
        <f>SUM(S415:S418)</f>
        <v>18.34</v>
      </c>
      <c r="J419" s="12">
        <f>Source!CA394</f>
        <v>41</v>
      </c>
      <c r="K419" s="28">
        <f>SUM(T415:T418)</f>
        <v>228.92</v>
      </c>
    </row>
    <row r="420" spans="1:27" ht="14.25" x14ac:dyDescent="0.2">
      <c r="A420" s="23"/>
      <c r="B420" s="24"/>
      <c r="C420" s="24" t="s">
        <v>897</v>
      </c>
      <c r="D420" s="25" t="s">
        <v>898</v>
      </c>
      <c r="E420" s="12">
        <f>Source!AQ394</f>
        <v>2</v>
      </c>
      <c r="F420" s="27"/>
      <c r="G420" s="26" t="str">
        <f>Source!DI394</f>
        <v>)*1,15</v>
      </c>
      <c r="H420" s="12">
        <f>Source!AV394</f>
        <v>1</v>
      </c>
      <c r="I420" s="28">
        <f>Source!U394</f>
        <v>2.2999999999999998</v>
      </c>
      <c r="J420" s="12"/>
      <c r="K420" s="28"/>
    </row>
    <row r="421" spans="1:27" ht="15" x14ac:dyDescent="0.25">
      <c r="A421" s="33"/>
      <c r="B421" s="33"/>
      <c r="C421" s="33"/>
      <c r="D421" s="33"/>
      <c r="E421" s="33"/>
      <c r="F421" s="33"/>
      <c r="G421" s="33"/>
      <c r="H421" s="59">
        <f>I416+I417+I418+I419</f>
        <v>77.820000000000007</v>
      </c>
      <c r="I421" s="59"/>
      <c r="J421" s="59">
        <f>K416+K417+K418+K419</f>
        <v>1221.96</v>
      </c>
      <c r="K421" s="59"/>
      <c r="O421" s="32">
        <f>I416+I417+I418+I419</f>
        <v>77.820000000000007</v>
      </c>
      <c r="P421" s="32">
        <f>K416+K417+K418+K419</f>
        <v>1221.96</v>
      </c>
      <c r="X421">
        <f>IF(Source!BI394&lt;=1,I416+I417+I418+I419-0, 0)</f>
        <v>0</v>
      </c>
      <c r="Y421">
        <f>IF(Source!BI394=2,I416+I417+I418+I419-0, 0)</f>
        <v>77.820000000000007</v>
      </c>
      <c r="Z421">
        <f>IF(Source!BI394=3,I416+I417+I418+I419-0, 0)</f>
        <v>0</v>
      </c>
      <c r="AA421">
        <f>IF(Source!BI394=4,I416+I417+I418+I419,0)</f>
        <v>0</v>
      </c>
    </row>
    <row r="422" spans="1:27" ht="42.75" x14ac:dyDescent="0.2">
      <c r="A422" s="23" t="str">
        <f>Source!E396</f>
        <v>34</v>
      </c>
      <c r="B422" s="24" t="str">
        <f>Source!F396</f>
        <v>4.8-245-10</v>
      </c>
      <c r="C422" s="24" t="str">
        <f>Source!G396</f>
        <v>Светильники для ламп накаливания, световые настенные указатели (Gc-0611W2)</v>
      </c>
      <c r="D422" s="25" t="str">
        <f>Source!H396</f>
        <v>100 шт.</v>
      </c>
      <c r="E422" s="12">
        <f>Source!I396</f>
        <v>0.01</v>
      </c>
      <c r="F422" s="27"/>
      <c r="G422" s="26"/>
      <c r="H422" s="12"/>
      <c r="I422" s="28"/>
      <c r="J422" s="12"/>
      <c r="K422" s="28"/>
      <c r="Q422">
        <f>ROUND((Source!DN396/100)*ROUND((Source!AF396*Source!AV396)*Source!I396, 2), 2)</f>
        <v>14.43</v>
      </c>
      <c r="R422">
        <f>Source!X396</f>
        <v>198.84</v>
      </c>
      <c r="S422">
        <f>ROUND((Source!DO396/100)*ROUND((Source!AF396*Source!AV396)*Source!I396, 2), 2)</f>
        <v>8.48</v>
      </c>
      <c r="T422">
        <f>Source!Y396</f>
        <v>105.87</v>
      </c>
      <c r="U422">
        <f>ROUND((175/100)*ROUND((Source!AE396*Source!AV396)*Source!I396, 2), 2)</f>
        <v>0.49</v>
      </c>
      <c r="V422">
        <f>ROUND((168/100)*ROUND(Source!CS396*Source!I396, 2), 2)</f>
        <v>9.6300000000000008</v>
      </c>
    </row>
    <row r="423" spans="1:27" x14ac:dyDescent="0.2">
      <c r="C423" s="29" t="str">
        <f>"Объем: "&amp;Source!I396&amp;"=1/"&amp;"100"</f>
        <v>Объем: 0,01=1/100</v>
      </c>
    </row>
    <row r="424" spans="1:27" ht="14.25" x14ac:dyDescent="0.2">
      <c r="A424" s="23"/>
      <c r="B424" s="24"/>
      <c r="C424" s="24" t="s">
        <v>890</v>
      </c>
      <c r="D424" s="25"/>
      <c r="E424" s="12"/>
      <c r="F424" s="27">
        <f>Source!AO396</f>
        <v>1100.71</v>
      </c>
      <c r="G424" s="26" t="str">
        <f>Source!DG396</f>
        <v>)*1,15</v>
      </c>
      <c r="H424" s="12">
        <f>Source!AV396</f>
        <v>1</v>
      </c>
      <c r="I424" s="28">
        <f>ROUND((Source!AF396*Source!AV396)*Source!I396, 2)</f>
        <v>12.66</v>
      </c>
      <c r="J424" s="12">
        <f>IF(Source!BA396&lt;&gt; 0, Source!BA396, 1)</f>
        <v>20.399999999999999</v>
      </c>
      <c r="K424" s="28">
        <f>Source!S396</f>
        <v>258.23</v>
      </c>
      <c r="W424">
        <f>I424</f>
        <v>12.66</v>
      </c>
    </row>
    <row r="425" spans="1:27" ht="14.25" x14ac:dyDescent="0.2">
      <c r="A425" s="23"/>
      <c r="B425" s="24"/>
      <c r="C425" s="24" t="s">
        <v>891</v>
      </c>
      <c r="D425" s="25"/>
      <c r="E425" s="12"/>
      <c r="F425" s="27">
        <f>Source!AM396</f>
        <v>139.31</v>
      </c>
      <c r="G425" s="26" t="str">
        <f>Source!DE396</f>
        <v>)*1,25</v>
      </c>
      <c r="H425" s="12">
        <f>Source!AV396</f>
        <v>1</v>
      </c>
      <c r="I425" s="28">
        <f>ROUND((Source!AD396*Source!AV396)*Source!I396, 2)</f>
        <v>1.74</v>
      </c>
      <c r="J425" s="12">
        <f>IF(Source!BB396&lt;&gt; 0, Source!BB396, 1)</f>
        <v>7.83</v>
      </c>
      <c r="K425" s="28">
        <f>Source!Q396</f>
        <v>13.63</v>
      </c>
    </row>
    <row r="426" spans="1:27" ht="14.25" x14ac:dyDescent="0.2">
      <c r="A426" s="23"/>
      <c r="B426" s="24"/>
      <c r="C426" s="24" t="s">
        <v>892</v>
      </c>
      <c r="D426" s="25"/>
      <c r="E426" s="12"/>
      <c r="F426" s="27">
        <f>Source!AN396</f>
        <v>22.46</v>
      </c>
      <c r="G426" s="26" t="str">
        <f>Source!DF396</f>
        <v>)*1,25</v>
      </c>
      <c r="H426" s="12">
        <f>Source!AV396</f>
        <v>1</v>
      </c>
      <c r="I426" s="30">
        <f>ROUND((Source!AE396*Source!AV396)*Source!I396, 2)</f>
        <v>0.28000000000000003</v>
      </c>
      <c r="J426" s="12">
        <f>IF(Source!BS396&lt;&gt; 0, Source!BS396, 1)</f>
        <v>20.399999999999999</v>
      </c>
      <c r="K426" s="30">
        <f>Source!R396</f>
        <v>5.73</v>
      </c>
      <c r="W426">
        <f>I426</f>
        <v>0.28000000000000003</v>
      </c>
    </row>
    <row r="427" spans="1:27" ht="14.25" x14ac:dyDescent="0.2">
      <c r="A427" s="23"/>
      <c r="B427" s="24"/>
      <c r="C427" s="24" t="s">
        <v>899</v>
      </c>
      <c r="D427" s="25"/>
      <c r="E427" s="12"/>
      <c r="F427" s="27">
        <f>Source!AL396</f>
        <v>116.9</v>
      </c>
      <c r="G427" s="26" t="str">
        <f>Source!DD396</f>
        <v/>
      </c>
      <c r="H427" s="12">
        <f>Source!AW396</f>
        <v>1</v>
      </c>
      <c r="I427" s="28">
        <f>ROUND((Source!AC396*Source!AW396)*Source!I396, 2)</f>
        <v>1.17</v>
      </c>
      <c r="J427" s="12">
        <f>IF(Source!BC396&lt;&gt; 0, Source!BC396, 1)</f>
        <v>5.23</v>
      </c>
      <c r="K427" s="28">
        <f>Source!P396</f>
        <v>6.11</v>
      </c>
    </row>
    <row r="428" spans="1:27" ht="14.25" x14ac:dyDescent="0.2">
      <c r="A428" s="23"/>
      <c r="B428" s="24"/>
      <c r="C428" s="24" t="s">
        <v>893</v>
      </c>
      <c r="D428" s="25" t="s">
        <v>894</v>
      </c>
      <c r="E428" s="12">
        <f>Source!DN396</f>
        <v>114</v>
      </c>
      <c r="F428" s="27"/>
      <c r="G428" s="26"/>
      <c r="H428" s="12"/>
      <c r="I428" s="28">
        <f>SUM(Q422:Q427)</f>
        <v>14.43</v>
      </c>
      <c r="J428" s="12">
        <f>Source!BZ396</f>
        <v>77</v>
      </c>
      <c r="K428" s="28">
        <f>SUM(R422:R427)</f>
        <v>198.84</v>
      </c>
    </row>
    <row r="429" spans="1:27" ht="14.25" x14ac:dyDescent="0.2">
      <c r="A429" s="23"/>
      <c r="B429" s="24"/>
      <c r="C429" s="24" t="s">
        <v>895</v>
      </c>
      <c r="D429" s="25" t="s">
        <v>894</v>
      </c>
      <c r="E429" s="12">
        <f>Source!DO396</f>
        <v>67</v>
      </c>
      <c r="F429" s="27"/>
      <c r="G429" s="26"/>
      <c r="H429" s="12"/>
      <c r="I429" s="28">
        <f>SUM(S422:S428)</f>
        <v>8.48</v>
      </c>
      <c r="J429" s="12">
        <f>Source!CA396</f>
        <v>41</v>
      </c>
      <c r="K429" s="28">
        <f>SUM(T422:T428)</f>
        <v>105.87</v>
      </c>
    </row>
    <row r="430" spans="1:27" ht="14.25" x14ac:dyDescent="0.2">
      <c r="A430" s="23"/>
      <c r="B430" s="24"/>
      <c r="C430" s="24" t="s">
        <v>896</v>
      </c>
      <c r="D430" s="25" t="s">
        <v>894</v>
      </c>
      <c r="E430" s="12">
        <f>175</f>
        <v>175</v>
      </c>
      <c r="F430" s="27"/>
      <c r="G430" s="26"/>
      <c r="H430" s="12"/>
      <c r="I430" s="28">
        <f>SUM(U422:U429)</f>
        <v>0.49</v>
      </c>
      <c r="J430" s="12">
        <f>168</f>
        <v>168</v>
      </c>
      <c r="K430" s="28">
        <f>SUM(V422:V429)</f>
        <v>9.6300000000000008</v>
      </c>
    </row>
    <row r="431" spans="1:27" ht="14.25" x14ac:dyDescent="0.2">
      <c r="A431" s="23"/>
      <c r="B431" s="24"/>
      <c r="C431" s="24" t="s">
        <v>897</v>
      </c>
      <c r="D431" s="25" t="s">
        <v>898</v>
      </c>
      <c r="E431" s="12">
        <f>Source!AQ396</f>
        <v>84.67</v>
      </c>
      <c r="F431" s="27"/>
      <c r="G431" s="26" t="str">
        <f>Source!DI396</f>
        <v>)*1,15</v>
      </c>
      <c r="H431" s="12">
        <f>Source!AV396</f>
        <v>1</v>
      </c>
      <c r="I431" s="28">
        <f>Source!U396</f>
        <v>0.97370499999999993</v>
      </c>
      <c r="J431" s="12"/>
      <c r="K431" s="28"/>
    </row>
    <row r="432" spans="1:27" ht="15" x14ac:dyDescent="0.25">
      <c r="A432" s="33"/>
      <c r="B432" s="33"/>
      <c r="C432" s="33"/>
      <c r="D432" s="33"/>
      <c r="E432" s="33"/>
      <c r="F432" s="33"/>
      <c r="G432" s="33"/>
      <c r="H432" s="59">
        <f>I424+I425+I427+I428+I429+I430</f>
        <v>38.970000000000006</v>
      </c>
      <c r="I432" s="59"/>
      <c r="J432" s="59">
        <f>K424+K425+K427+K428+K429+K430</f>
        <v>592.31000000000006</v>
      </c>
      <c r="K432" s="59"/>
      <c r="O432" s="32">
        <f>I424+I425+I427+I428+I429+I430</f>
        <v>38.970000000000006</v>
      </c>
      <c r="P432" s="32">
        <f>K424+K425+K427+K428+K429+K430</f>
        <v>592.31000000000006</v>
      </c>
      <c r="X432">
        <f>IF(Source!BI396&lt;=1,I424+I425+I427+I428+I429+I430-0, 0)</f>
        <v>0</v>
      </c>
      <c r="Y432">
        <f>IF(Source!BI396=2,I424+I425+I427+I428+I429+I430-0, 0)</f>
        <v>38.970000000000006</v>
      </c>
      <c r="Z432">
        <f>IF(Source!BI396=3,I424+I425+I427+I428+I429+I430-0, 0)</f>
        <v>0</v>
      </c>
      <c r="AA432">
        <f>IF(Source!BI396=4,I424+I425+I427+I428+I429+I430,0)</f>
        <v>0</v>
      </c>
    </row>
    <row r="433" spans="1:27" ht="42.75" x14ac:dyDescent="0.2">
      <c r="A433" s="23" t="str">
        <f>Source!E398</f>
        <v>35</v>
      </c>
      <c r="B433" s="24" t="str">
        <f>Source!F398</f>
        <v>4.11-3-1</v>
      </c>
      <c r="C433" s="24" t="str">
        <f>Source!G398</f>
        <v>Приборы, устанавливаемые на металлоконструкциях или щитах, масса приборов до 5 кг (Привод 3)</v>
      </c>
      <c r="D433" s="25" t="str">
        <f>Source!H398</f>
        <v>1  ШТ.</v>
      </c>
      <c r="E433" s="12">
        <f>Source!I398</f>
        <v>1</v>
      </c>
      <c r="F433" s="27"/>
      <c r="G433" s="26"/>
      <c r="H433" s="12"/>
      <c r="I433" s="28"/>
      <c r="J433" s="12"/>
      <c r="K433" s="28"/>
      <c r="Q433">
        <f>ROUND((Source!DN398/100)*ROUND((Source!AF398*Source!AV398)*Source!I398, 2), 2)</f>
        <v>8.86</v>
      </c>
      <c r="R433">
        <f>Source!X398</f>
        <v>122.11</v>
      </c>
      <c r="S433">
        <f>ROUND((Source!DO398/100)*ROUND((Source!AF398*Source!AV398)*Source!I398, 2), 2)</f>
        <v>5.21</v>
      </c>
      <c r="T433">
        <f>Source!Y398</f>
        <v>65.02</v>
      </c>
      <c r="U433">
        <f>ROUND((175/100)*ROUND((Source!AE398*Source!AV398)*Source!I398, 2), 2)</f>
        <v>0</v>
      </c>
      <c r="V433">
        <f>ROUND((168/100)*ROUND(Source!CS398*Source!I398, 2), 2)</f>
        <v>0</v>
      </c>
    </row>
    <row r="434" spans="1:27" ht="14.25" x14ac:dyDescent="0.2">
      <c r="A434" s="23"/>
      <c r="B434" s="24"/>
      <c r="C434" s="24" t="s">
        <v>890</v>
      </c>
      <c r="D434" s="25"/>
      <c r="E434" s="12"/>
      <c r="F434" s="27">
        <f>Source!AO398</f>
        <v>6.76</v>
      </c>
      <c r="G434" s="26" t="str">
        <f>Source!DG398</f>
        <v>)*1,15</v>
      </c>
      <c r="H434" s="12">
        <f>Source!AV398</f>
        <v>1</v>
      </c>
      <c r="I434" s="28">
        <f>ROUND((Source!AF398*Source!AV398)*Source!I398, 2)</f>
        <v>7.77</v>
      </c>
      <c r="J434" s="12">
        <f>IF(Source!BA398&lt;&gt; 0, Source!BA398, 1)</f>
        <v>20.399999999999999</v>
      </c>
      <c r="K434" s="28">
        <f>Source!S398</f>
        <v>158.59</v>
      </c>
      <c r="W434">
        <f>I434</f>
        <v>7.77</v>
      </c>
    </row>
    <row r="435" spans="1:27" ht="14.25" x14ac:dyDescent="0.2">
      <c r="A435" s="23"/>
      <c r="B435" s="24"/>
      <c r="C435" s="24" t="s">
        <v>899</v>
      </c>
      <c r="D435" s="25"/>
      <c r="E435" s="12"/>
      <c r="F435" s="27">
        <f>Source!AL398</f>
        <v>0.35</v>
      </c>
      <c r="G435" s="26" t="str">
        <f>Source!DD398</f>
        <v/>
      </c>
      <c r="H435" s="12">
        <f>Source!AW398</f>
        <v>1</v>
      </c>
      <c r="I435" s="28">
        <f>ROUND((Source!AC398*Source!AW398)*Source!I398, 2)</f>
        <v>0.35</v>
      </c>
      <c r="J435" s="12">
        <f>IF(Source!BC398&lt;&gt; 0, Source!BC398, 1)</f>
        <v>5.23</v>
      </c>
      <c r="K435" s="28">
        <f>Source!P398</f>
        <v>1.83</v>
      </c>
    </row>
    <row r="436" spans="1:27" ht="14.25" x14ac:dyDescent="0.2">
      <c r="A436" s="23"/>
      <c r="B436" s="24"/>
      <c r="C436" s="24" t="s">
        <v>893</v>
      </c>
      <c r="D436" s="25" t="s">
        <v>894</v>
      </c>
      <c r="E436" s="12">
        <f>Source!DN398</f>
        <v>114</v>
      </c>
      <c r="F436" s="27"/>
      <c r="G436" s="26"/>
      <c r="H436" s="12"/>
      <c r="I436" s="28">
        <f>SUM(Q433:Q435)</f>
        <v>8.86</v>
      </c>
      <c r="J436" s="12">
        <f>Source!BZ398</f>
        <v>77</v>
      </c>
      <c r="K436" s="28">
        <f>SUM(R433:R435)</f>
        <v>122.11</v>
      </c>
    </row>
    <row r="437" spans="1:27" ht="14.25" x14ac:dyDescent="0.2">
      <c r="A437" s="23"/>
      <c r="B437" s="24"/>
      <c r="C437" s="24" t="s">
        <v>895</v>
      </c>
      <c r="D437" s="25" t="s">
        <v>894</v>
      </c>
      <c r="E437" s="12">
        <f>Source!DO398</f>
        <v>67</v>
      </c>
      <c r="F437" s="27"/>
      <c r="G437" s="26"/>
      <c r="H437" s="12"/>
      <c r="I437" s="28">
        <f>SUM(S433:S436)</f>
        <v>5.21</v>
      </c>
      <c r="J437" s="12">
        <f>Source!CA398</f>
        <v>41</v>
      </c>
      <c r="K437" s="28">
        <f>SUM(T433:T436)</f>
        <v>65.02</v>
      </c>
    </row>
    <row r="438" spans="1:27" ht="14.25" x14ac:dyDescent="0.2">
      <c r="A438" s="23"/>
      <c r="B438" s="24"/>
      <c r="C438" s="24" t="s">
        <v>897</v>
      </c>
      <c r="D438" s="25" t="s">
        <v>898</v>
      </c>
      <c r="E438" s="12">
        <f>Source!AQ398</f>
        <v>0.52</v>
      </c>
      <c r="F438" s="27"/>
      <c r="G438" s="26" t="str">
        <f>Source!DI398</f>
        <v>)*1,15</v>
      </c>
      <c r="H438" s="12">
        <f>Source!AV398</f>
        <v>1</v>
      </c>
      <c r="I438" s="28">
        <f>Source!U398</f>
        <v>0.59799999999999998</v>
      </c>
      <c r="J438" s="12"/>
      <c r="K438" s="28"/>
    </row>
    <row r="439" spans="1:27" ht="15" x14ac:dyDescent="0.25">
      <c r="A439" s="33"/>
      <c r="B439" s="33"/>
      <c r="C439" s="33"/>
      <c r="D439" s="33"/>
      <c r="E439" s="33"/>
      <c r="F439" s="33"/>
      <c r="G439" s="33"/>
      <c r="H439" s="59">
        <f>I434+I435+I436+I437</f>
        <v>22.189999999999998</v>
      </c>
      <c r="I439" s="59"/>
      <c r="J439" s="59">
        <f>K434+K435+K436+K437</f>
        <v>347.55</v>
      </c>
      <c r="K439" s="59"/>
      <c r="O439" s="32">
        <f>I434+I435+I436+I437</f>
        <v>22.189999999999998</v>
      </c>
      <c r="P439" s="32">
        <f>K434+K435+K436+K437</f>
        <v>347.55</v>
      </c>
      <c r="X439">
        <f>IF(Source!BI398&lt;=1,I434+I435+I436+I437-0, 0)</f>
        <v>0</v>
      </c>
      <c r="Y439">
        <f>IF(Source!BI398=2,I434+I435+I436+I437-0, 0)</f>
        <v>22.189999999999998</v>
      </c>
      <c r="Z439">
        <f>IF(Source!BI398=3,I434+I435+I436+I437-0, 0)</f>
        <v>0</v>
      </c>
      <c r="AA439">
        <f>IF(Source!BI398=4,I434+I435+I436+I437,0)</f>
        <v>0</v>
      </c>
    </row>
    <row r="440" spans="1:27" ht="28.5" x14ac:dyDescent="0.2">
      <c r="A440" s="23" t="str">
        <f>Source!E400</f>
        <v>36</v>
      </c>
      <c r="B440" s="24" t="str">
        <f>Source!F400</f>
        <v>4.10-32-1</v>
      </c>
      <c r="C440" s="24" t="str">
        <f>Source!G400</f>
        <v>Стойка, полустойка, каркас стойки или шкаф, масса до 100 кг</v>
      </c>
      <c r="D440" s="25" t="str">
        <f>Source!H400</f>
        <v>1  ШТ.</v>
      </c>
      <c r="E440" s="12">
        <f>Source!I400</f>
        <v>1</v>
      </c>
      <c r="F440" s="27"/>
      <c r="G440" s="26"/>
      <c r="H440" s="12"/>
      <c r="I440" s="28"/>
      <c r="J440" s="12"/>
      <c r="K440" s="28"/>
      <c r="Q440">
        <f>ROUND((Source!DN400/100)*ROUND((Source!AF400*Source!AV400)*Source!I400, 2), 2)</f>
        <v>120.19</v>
      </c>
      <c r="R440">
        <f>Source!X400</f>
        <v>1656.12</v>
      </c>
      <c r="S440">
        <f>ROUND((Source!DO400/100)*ROUND((Source!AF400*Source!AV400)*Source!I400, 2), 2)</f>
        <v>70.64</v>
      </c>
      <c r="T440">
        <f>Source!Y400</f>
        <v>881.83</v>
      </c>
      <c r="U440">
        <f>ROUND((175/100)*ROUND((Source!AE400*Source!AV400)*Source!I400, 2), 2)</f>
        <v>14.16</v>
      </c>
      <c r="V440">
        <f>ROUND((168/100)*ROUND(Source!CS400*Source!I400, 2), 2)</f>
        <v>277.18</v>
      </c>
    </row>
    <row r="441" spans="1:27" ht="14.25" x14ac:dyDescent="0.2">
      <c r="A441" s="23"/>
      <c r="B441" s="24"/>
      <c r="C441" s="24" t="s">
        <v>890</v>
      </c>
      <c r="D441" s="25"/>
      <c r="E441" s="12"/>
      <c r="F441" s="27">
        <f>Source!AO400</f>
        <v>91.68</v>
      </c>
      <c r="G441" s="26" t="str">
        <f>Source!DG400</f>
        <v>)*1,15</v>
      </c>
      <c r="H441" s="12">
        <f>Source!AV400</f>
        <v>1</v>
      </c>
      <c r="I441" s="28">
        <f>ROUND((Source!AF400*Source!AV400)*Source!I400, 2)</f>
        <v>105.43</v>
      </c>
      <c r="J441" s="12">
        <f>IF(Source!BA400&lt;&gt; 0, Source!BA400, 1)</f>
        <v>20.399999999999999</v>
      </c>
      <c r="K441" s="28">
        <f>Source!S400</f>
        <v>2150.81</v>
      </c>
      <c r="W441">
        <f>I441</f>
        <v>105.43</v>
      </c>
    </row>
    <row r="442" spans="1:27" ht="14.25" x14ac:dyDescent="0.2">
      <c r="A442" s="23"/>
      <c r="B442" s="24"/>
      <c r="C442" s="24" t="s">
        <v>891</v>
      </c>
      <c r="D442" s="25"/>
      <c r="E442" s="12"/>
      <c r="F442" s="27">
        <f>Source!AM400</f>
        <v>25.79</v>
      </c>
      <c r="G442" s="26" t="str">
        <f>Source!DE400</f>
        <v>)*1,25</v>
      </c>
      <c r="H442" s="12">
        <f>Source!AV400</f>
        <v>1</v>
      </c>
      <c r="I442" s="28">
        <f>ROUND((Source!AD400*Source!AV400)*Source!I400, 2)</f>
        <v>32.24</v>
      </c>
      <c r="J442" s="12">
        <f>IF(Source!BB400&lt;&gt; 0, Source!BB400, 1)</f>
        <v>9.17</v>
      </c>
      <c r="K442" s="28">
        <f>Source!Q400</f>
        <v>295.62</v>
      </c>
    </row>
    <row r="443" spans="1:27" ht="14.25" x14ac:dyDescent="0.2">
      <c r="A443" s="23"/>
      <c r="B443" s="24"/>
      <c r="C443" s="24" t="s">
        <v>892</v>
      </c>
      <c r="D443" s="25"/>
      <c r="E443" s="12"/>
      <c r="F443" s="27">
        <f>Source!AN400</f>
        <v>6.47</v>
      </c>
      <c r="G443" s="26" t="str">
        <f>Source!DF400</f>
        <v>)*1,25</v>
      </c>
      <c r="H443" s="12">
        <f>Source!AV400</f>
        <v>1</v>
      </c>
      <c r="I443" s="30">
        <f>ROUND((Source!AE400*Source!AV400)*Source!I400, 2)</f>
        <v>8.09</v>
      </c>
      <c r="J443" s="12">
        <f>IF(Source!BS400&lt;&gt; 0, Source!BS400, 1)</f>
        <v>20.399999999999999</v>
      </c>
      <c r="K443" s="30">
        <f>Source!R400</f>
        <v>164.99</v>
      </c>
      <c r="W443">
        <f>I443</f>
        <v>8.09</v>
      </c>
    </row>
    <row r="444" spans="1:27" ht="14.25" x14ac:dyDescent="0.2">
      <c r="A444" s="23"/>
      <c r="B444" s="24"/>
      <c r="C444" s="24" t="s">
        <v>899</v>
      </c>
      <c r="D444" s="25"/>
      <c r="E444" s="12"/>
      <c r="F444" s="27">
        <f>Source!AL400</f>
        <v>5.74</v>
      </c>
      <c r="G444" s="26" t="str">
        <f>Source!DD400</f>
        <v/>
      </c>
      <c r="H444" s="12">
        <f>Source!AW400</f>
        <v>1</v>
      </c>
      <c r="I444" s="28">
        <f>ROUND((Source!AC400*Source!AW400)*Source!I400, 2)</f>
        <v>5.74</v>
      </c>
      <c r="J444" s="12">
        <f>IF(Source!BC400&lt;&gt; 0, Source!BC400, 1)</f>
        <v>5.23</v>
      </c>
      <c r="K444" s="28">
        <f>Source!P400</f>
        <v>30.02</v>
      </c>
    </row>
    <row r="445" spans="1:27" ht="42.75" x14ac:dyDescent="0.2">
      <c r="A445" s="23" t="str">
        <f>Source!E402</f>
        <v>36,1</v>
      </c>
      <c r="B445" s="24" t="str">
        <f>Source!F402</f>
        <v>цена поставщика</v>
      </c>
      <c r="C445" s="24" t="s">
        <v>907</v>
      </c>
      <c r="D445" s="25" t="str">
        <f>Source!H402</f>
        <v>шт.</v>
      </c>
      <c r="E445" s="12">
        <f>Source!I402</f>
        <v>1</v>
      </c>
      <c r="F445" s="27">
        <f>Source!AK402</f>
        <v>1268.68</v>
      </c>
      <c r="G445" s="31" t="s">
        <v>3</v>
      </c>
      <c r="H445" s="12">
        <f>Source!AW402</f>
        <v>1</v>
      </c>
      <c r="I445" s="28">
        <f>ROUND((Source!AC402*Source!AW402)*Source!I402, 2)+ROUND((Source!AD402*Source!AV402)*Source!I402, 2)+ROUND((Source!AF402*Source!AV402)*Source!I402, 2)</f>
        <v>1268.68</v>
      </c>
      <c r="J445" s="12">
        <f>IF(Source!BC402&lt;&gt; 0, Source!BC402, 1)</f>
        <v>5.23</v>
      </c>
      <c r="K445" s="28">
        <f>Source!O402</f>
        <v>6635.2</v>
      </c>
      <c r="Q445">
        <f>ROUND((Source!DN402/100)*ROUND((Source!AF402*Source!AV402)*Source!I402, 2), 2)</f>
        <v>0</v>
      </c>
      <c r="R445">
        <f>Source!X402</f>
        <v>0</v>
      </c>
      <c r="S445">
        <f>ROUND((Source!DO402/100)*ROUND((Source!AF402*Source!AV402)*Source!I402, 2), 2)</f>
        <v>0</v>
      </c>
      <c r="T445">
        <f>Source!Y402</f>
        <v>0</v>
      </c>
      <c r="U445">
        <f>ROUND((175/100)*ROUND((Source!AE402*Source!AV402)*Source!I402, 2), 2)</f>
        <v>0</v>
      </c>
      <c r="V445">
        <f>ROUND((168/100)*ROUND(Source!CS402*Source!I402, 2), 2)</f>
        <v>0</v>
      </c>
      <c r="X445">
        <f>IF(Source!BI402&lt;=1,I445, 0)</f>
        <v>0</v>
      </c>
      <c r="Y445">
        <f>IF(Source!BI402=2,I445, 0)</f>
        <v>1268.68</v>
      </c>
      <c r="Z445">
        <f>IF(Source!BI402=3,I445, 0)</f>
        <v>0</v>
      </c>
      <c r="AA445">
        <f>IF(Source!BI402=4,I445, 0)</f>
        <v>0</v>
      </c>
    </row>
    <row r="446" spans="1:27" ht="14.25" x14ac:dyDescent="0.2">
      <c r="A446" s="23"/>
      <c r="B446" s="24"/>
      <c r="C446" s="24" t="s">
        <v>893</v>
      </c>
      <c r="D446" s="25" t="s">
        <v>894</v>
      </c>
      <c r="E446" s="12">
        <f>Source!DN400</f>
        <v>114</v>
      </c>
      <c r="F446" s="27"/>
      <c r="G446" s="26"/>
      <c r="H446" s="12"/>
      <c r="I446" s="28">
        <f>SUM(Q440:Q445)</f>
        <v>120.19</v>
      </c>
      <c r="J446" s="12">
        <f>Source!BZ400</f>
        <v>77</v>
      </c>
      <c r="K446" s="28">
        <f>SUM(R440:R445)</f>
        <v>1656.12</v>
      </c>
    </row>
    <row r="447" spans="1:27" ht="14.25" x14ac:dyDescent="0.2">
      <c r="A447" s="23"/>
      <c r="B447" s="24"/>
      <c r="C447" s="24" t="s">
        <v>895</v>
      </c>
      <c r="D447" s="25" t="s">
        <v>894</v>
      </c>
      <c r="E447" s="12">
        <f>Source!DO400</f>
        <v>67</v>
      </c>
      <c r="F447" s="27"/>
      <c r="G447" s="26"/>
      <c r="H447" s="12"/>
      <c r="I447" s="28">
        <f>SUM(S440:S446)</f>
        <v>70.64</v>
      </c>
      <c r="J447" s="12">
        <f>Source!CA400</f>
        <v>41</v>
      </c>
      <c r="K447" s="28">
        <f>SUM(T440:T446)</f>
        <v>881.83</v>
      </c>
    </row>
    <row r="448" spans="1:27" ht="14.25" x14ac:dyDescent="0.2">
      <c r="A448" s="23"/>
      <c r="B448" s="24"/>
      <c r="C448" s="24" t="s">
        <v>896</v>
      </c>
      <c r="D448" s="25" t="s">
        <v>894</v>
      </c>
      <c r="E448" s="12">
        <f>175</f>
        <v>175</v>
      </c>
      <c r="F448" s="27"/>
      <c r="G448" s="26"/>
      <c r="H448" s="12"/>
      <c r="I448" s="28">
        <f>SUM(U440:U447)</f>
        <v>14.16</v>
      </c>
      <c r="J448" s="12">
        <f>168</f>
        <v>168</v>
      </c>
      <c r="K448" s="28">
        <f>SUM(V440:V447)</f>
        <v>277.18</v>
      </c>
    </row>
    <row r="449" spans="1:27" ht="14.25" x14ac:dyDescent="0.2">
      <c r="A449" s="23"/>
      <c r="B449" s="24"/>
      <c r="C449" s="24" t="s">
        <v>897</v>
      </c>
      <c r="D449" s="25" t="s">
        <v>898</v>
      </c>
      <c r="E449" s="12">
        <f>Source!AQ400</f>
        <v>8.1999999999999993</v>
      </c>
      <c r="F449" s="27"/>
      <c r="G449" s="26" t="str">
        <f>Source!DI400</f>
        <v>)*1,15</v>
      </c>
      <c r="H449" s="12">
        <f>Source!AV400</f>
        <v>1</v>
      </c>
      <c r="I449" s="28">
        <f>Source!U400</f>
        <v>9.4299999999999979</v>
      </c>
      <c r="J449" s="12"/>
      <c r="K449" s="28"/>
    </row>
    <row r="450" spans="1:27" ht="15" x14ac:dyDescent="0.25">
      <c r="A450" s="33"/>
      <c r="B450" s="33"/>
      <c r="C450" s="33"/>
      <c r="D450" s="33"/>
      <c r="E450" s="33"/>
      <c r="F450" s="33"/>
      <c r="G450" s="33"/>
      <c r="H450" s="59">
        <f>I441+I442+I444+I446+I447+I448+SUM(I445:I445)</f>
        <v>1617.0800000000002</v>
      </c>
      <c r="I450" s="59"/>
      <c r="J450" s="59">
        <f>K441+K442+K444+K446+K447+K448+SUM(K445:K445)</f>
        <v>11926.779999999999</v>
      </c>
      <c r="K450" s="59"/>
      <c r="O450" s="32">
        <f>I441+I442+I444+I446+I447+I448+SUM(I445:I445)</f>
        <v>1617.0800000000002</v>
      </c>
      <c r="P450" s="32">
        <f>K441+K442+K444+K446+K447+K448+SUM(K445:K445)</f>
        <v>11926.779999999999</v>
      </c>
      <c r="X450">
        <f>IF(Source!BI400&lt;=1,I441+I442+I444+I446+I447+I448-0, 0)</f>
        <v>0</v>
      </c>
      <c r="Y450">
        <f>IF(Source!BI400=2,I441+I442+I444+I446+I447+I448-0, 0)</f>
        <v>348.40000000000003</v>
      </c>
      <c r="Z450">
        <f>IF(Source!BI400=3,I441+I442+I444+I446+I447+I448-0, 0)</f>
        <v>0</v>
      </c>
      <c r="AA450">
        <f>IF(Source!BI400=4,I441+I442+I444+I446+I447+I448,0)</f>
        <v>0</v>
      </c>
    </row>
    <row r="451" spans="1:27" ht="71.25" x14ac:dyDescent="0.2">
      <c r="A451" s="23" t="str">
        <f>Source!E404</f>
        <v>37</v>
      </c>
      <c r="B451" s="24" t="str">
        <f>Source!F404</f>
        <v>4.8-288-1</v>
      </c>
      <c r="C451" s="24" t="str">
        <f>Source!G404</f>
        <v>Трубы гофрированные поливинилхлоридные наружным диаметром 16 мм открыто по стенам и потолкам с установкой соединительных коробок</v>
      </c>
      <c r="D451" s="25" t="str">
        <f>Source!H404</f>
        <v>100 м</v>
      </c>
      <c r="E451" s="12">
        <f>Source!I404</f>
        <v>0.05</v>
      </c>
      <c r="F451" s="27"/>
      <c r="G451" s="26"/>
      <c r="H451" s="12"/>
      <c r="I451" s="28"/>
      <c r="J451" s="12"/>
      <c r="K451" s="28"/>
      <c r="Q451">
        <f>ROUND((Source!DN404/100)*ROUND((Source!AF404*Source!AV404)*Source!I404, 2), 2)</f>
        <v>12.13</v>
      </c>
      <c r="R451">
        <f>Source!X404</f>
        <v>167.17</v>
      </c>
      <c r="S451">
        <f>ROUND((Source!DO404/100)*ROUND((Source!AF404*Source!AV404)*Source!I404, 2), 2)</f>
        <v>7.13</v>
      </c>
      <c r="T451">
        <f>Source!Y404</f>
        <v>89.02</v>
      </c>
      <c r="U451">
        <f>ROUND((175/100)*ROUND((Source!AE404*Source!AV404)*Source!I404, 2), 2)</f>
        <v>0.6</v>
      </c>
      <c r="V451">
        <f>ROUND((168/100)*ROUND(Source!CS404*Source!I404, 2), 2)</f>
        <v>11.69</v>
      </c>
    </row>
    <row r="452" spans="1:27" x14ac:dyDescent="0.2">
      <c r="C452" s="29" t="str">
        <f>"Объем: "&amp;Source!I404&amp;"=5/"&amp;"100"</f>
        <v>Объем: 0,05=5/100</v>
      </c>
    </row>
    <row r="453" spans="1:27" ht="14.25" x14ac:dyDescent="0.2">
      <c r="A453" s="23"/>
      <c r="B453" s="24"/>
      <c r="C453" s="24" t="s">
        <v>890</v>
      </c>
      <c r="D453" s="25"/>
      <c r="E453" s="12"/>
      <c r="F453" s="27">
        <f>Source!AO404</f>
        <v>185.09</v>
      </c>
      <c r="G453" s="26" t="str">
        <f>Source!DG404</f>
        <v>)*1,15</v>
      </c>
      <c r="H453" s="12">
        <f>Source!AV404</f>
        <v>1</v>
      </c>
      <c r="I453" s="28">
        <f>ROUND((Source!AF404*Source!AV404)*Source!I404, 2)</f>
        <v>10.64</v>
      </c>
      <c r="J453" s="12">
        <f>IF(Source!BA404&lt;&gt; 0, Source!BA404, 1)</f>
        <v>20.399999999999999</v>
      </c>
      <c r="K453" s="28">
        <f>Source!S404</f>
        <v>217.11</v>
      </c>
      <c r="W453">
        <f>I453</f>
        <v>10.64</v>
      </c>
    </row>
    <row r="454" spans="1:27" ht="14.25" x14ac:dyDescent="0.2">
      <c r="A454" s="23"/>
      <c r="B454" s="24"/>
      <c r="C454" s="24" t="s">
        <v>891</v>
      </c>
      <c r="D454" s="25"/>
      <c r="E454" s="12"/>
      <c r="F454" s="27">
        <f>Source!AM404</f>
        <v>32.74</v>
      </c>
      <c r="G454" s="26" t="str">
        <f>Source!DE404</f>
        <v>)*1,25</v>
      </c>
      <c r="H454" s="12">
        <f>Source!AV404</f>
        <v>1</v>
      </c>
      <c r="I454" s="28">
        <f>ROUND((Source!AD404*Source!AV404)*Source!I404, 2)</f>
        <v>2.0499999999999998</v>
      </c>
      <c r="J454" s="12">
        <f>IF(Source!BB404&lt;&gt; 0, Source!BB404, 1)</f>
        <v>7.91</v>
      </c>
      <c r="K454" s="28">
        <f>Source!Q404</f>
        <v>16.190000000000001</v>
      </c>
    </row>
    <row r="455" spans="1:27" ht="14.25" x14ac:dyDescent="0.2">
      <c r="A455" s="23"/>
      <c r="B455" s="24"/>
      <c r="C455" s="24" t="s">
        <v>892</v>
      </c>
      <c r="D455" s="25"/>
      <c r="E455" s="12"/>
      <c r="F455" s="27">
        <f>Source!AN404</f>
        <v>5.46</v>
      </c>
      <c r="G455" s="26" t="str">
        <f>Source!DF404</f>
        <v>)*1,25</v>
      </c>
      <c r="H455" s="12">
        <f>Source!AV404</f>
        <v>1</v>
      </c>
      <c r="I455" s="30">
        <f>ROUND((Source!AE404*Source!AV404)*Source!I404, 2)</f>
        <v>0.34</v>
      </c>
      <c r="J455" s="12">
        <f>IF(Source!BS404&lt;&gt; 0, Source!BS404, 1)</f>
        <v>20.399999999999999</v>
      </c>
      <c r="K455" s="30">
        <f>Source!R404</f>
        <v>6.96</v>
      </c>
      <c r="W455">
        <f>I455</f>
        <v>0.34</v>
      </c>
    </row>
    <row r="456" spans="1:27" ht="14.25" x14ac:dyDescent="0.2">
      <c r="A456" s="23"/>
      <c r="B456" s="24"/>
      <c r="C456" s="24" t="s">
        <v>899</v>
      </c>
      <c r="D456" s="25"/>
      <c r="E456" s="12"/>
      <c r="F456" s="27">
        <f>Source!AL404</f>
        <v>343.03</v>
      </c>
      <c r="G456" s="26" t="str">
        <f>Source!DD404</f>
        <v/>
      </c>
      <c r="H456" s="12">
        <f>Source!AW404</f>
        <v>1</v>
      </c>
      <c r="I456" s="28">
        <f>ROUND((Source!AC404*Source!AW404)*Source!I404, 2)</f>
        <v>17.149999999999999</v>
      </c>
      <c r="J456" s="12">
        <f>IF(Source!BC404&lt;&gt; 0, Source!BC404, 1)</f>
        <v>5.23</v>
      </c>
      <c r="K456" s="28">
        <f>Source!P404</f>
        <v>89.7</v>
      </c>
    </row>
    <row r="457" spans="1:27" ht="57" x14ac:dyDescent="0.2">
      <c r="A457" s="23" t="str">
        <f>Source!E406</f>
        <v>37,1</v>
      </c>
      <c r="B457" s="24" t="str">
        <f>Source!F406</f>
        <v>1.12-5-371</v>
      </c>
      <c r="C457" s="24" t="str">
        <f>Source!G406</f>
        <v>Трубы электротехнические гофрированные, поливинилхлоридные, негорючие, с зондом, наружный диаметр 16 мм</v>
      </c>
      <c r="D457" s="25" t="str">
        <f>Source!H406</f>
        <v>м</v>
      </c>
      <c r="E457" s="12">
        <f>Source!I406</f>
        <v>5.0999999999999996</v>
      </c>
      <c r="F457" s="27">
        <f>Source!AK406</f>
        <v>2.67</v>
      </c>
      <c r="G457" s="31" t="s">
        <v>3</v>
      </c>
      <c r="H457" s="12">
        <f>Source!AW406</f>
        <v>1</v>
      </c>
      <c r="I457" s="28">
        <f>ROUND((Source!AC406*Source!AW406)*Source!I406, 2)+ROUND((Source!AD406*Source!AV406)*Source!I406, 2)+ROUND((Source!AF406*Source!AV406)*Source!I406, 2)</f>
        <v>13.62</v>
      </c>
      <c r="J457" s="12">
        <f>IF(Source!BC406&lt;&gt; 0, Source!BC406, 1)</f>
        <v>6.27</v>
      </c>
      <c r="K457" s="28">
        <f>Source!O406</f>
        <v>85.38</v>
      </c>
      <c r="Q457">
        <f>ROUND((Source!DN406/100)*ROUND((Source!AF406*Source!AV406)*Source!I406, 2), 2)</f>
        <v>0</v>
      </c>
      <c r="R457">
        <f>Source!X406</f>
        <v>0</v>
      </c>
      <c r="S457">
        <f>ROUND((Source!DO406/100)*ROUND((Source!AF406*Source!AV406)*Source!I406, 2), 2)</f>
        <v>0</v>
      </c>
      <c r="T457">
        <f>Source!Y406</f>
        <v>0</v>
      </c>
      <c r="U457">
        <f>ROUND((175/100)*ROUND((Source!AE406*Source!AV406)*Source!I406, 2), 2)</f>
        <v>0</v>
      </c>
      <c r="V457">
        <f>ROUND((168/100)*ROUND(Source!CS406*Source!I406, 2), 2)</f>
        <v>0</v>
      </c>
      <c r="X457">
        <f>IF(Source!BI406&lt;=1,I457, 0)</f>
        <v>0</v>
      </c>
      <c r="Y457">
        <f>IF(Source!BI406=2,I457, 0)</f>
        <v>13.62</v>
      </c>
      <c r="Z457">
        <f>IF(Source!BI406=3,I457, 0)</f>
        <v>0</v>
      </c>
      <c r="AA457">
        <f>IF(Source!BI406=4,I457, 0)</f>
        <v>0</v>
      </c>
    </row>
    <row r="458" spans="1:27" ht="42.75" x14ac:dyDescent="0.2">
      <c r="A458" s="23" t="str">
        <f>Source!E408</f>
        <v>37,2</v>
      </c>
      <c r="B458" s="24" t="str">
        <f>Source!F408</f>
        <v>1.21-5-1135</v>
      </c>
      <c r="C458" s="24" t="str">
        <f>Source!G408</f>
        <v>Держатели пластиковые с защелкой для крепления труб, рукавов и гибких вводов диаметром 16 мм</v>
      </c>
      <c r="D458" s="25" t="str">
        <f>Source!H408</f>
        <v>100 шт.</v>
      </c>
      <c r="E458" s="12">
        <f>Source!I408</f>
        <v>0.05</v>
      </c>
      <c r="F458" s="27">
        <f>Source!AK408</f>
        <v>135.68</v>
      </c>
      <c r="G458" s="31" t="s">
        <v>3</v>
      </c>
      <c r="H458" s="12">
        <f>Source!AW408</f>
        <v>1</v>
      </c>
      <c r="I458" s="28">
        <f>ROUND((Source!AC408*Source!AW408)*Source!I408, 2)+ROUND((Source!AD408*Source!AV408)*Source!I408, 2)+ROUND((Source!AF408*Source!AV408)*Source!I408, 2)</f>
        <v>6.78</v>
      </c>
      <c r="J458" s="12">
        <f>IF(Source!BC408&lt;&gt; 0, Source!BC408, 1)</f>
        <v>1.27</v>
      </c>
      <c r="K458" s="28">
        <f>Source!O408</f>
        <v>8.6199999999999992</v>
      </c>
      <c r="Q458">
        <f>ROUND((Source!DN408/100)*ROUND((Source!AF408*Source!AV408)*Source!I408, 2), 2)</f>
        <v>0</v>
      </c>
      <c r="R458">
        <f>Source!X408</f>
        <v>0</v>
      </c>
      <c r="S458">
        <f>ROUND((Source!DO408/100)*ROUND((Source!AF408*Source!AV408)*Source!I408, 2), 2)</f>
        <v>0</v>
      </c>
      <c r="T458">
        <f>Source!Y408</f>
        <v>0</v>
      </c>
      <c r="U458">
        <f>ROUND((175/100)*ROUND((Source!AE408*Source!AV408)*Source!I408, 2), 2)</f>
        <v>0</v>
      </c>
      <c r="V458">
        <f>ROUND((168/100)*ROUND(Source!CS408*Source!I408, 2), 2)</f>
        <v>0</v>
      </c>
      <c r="X458">
        <f>IF(Source!BI408&lt;=1,I458, 0)</f>
        <v>0</v>
      </c>
      <c r="Y458">
        <f>IF(Source!BI408=2,I458, 0)</f>
        <v>6.78</v>
      </c>
      <c r="Z458">
        <f>IF(Source!BI408=3,I458, 0)</f>
        <v>0</v>
      </c>
      <c r="AA458">
        <f>IF(Source!BI408=4,I458, 0)</f>
        <v>0</v>
      </c>
    </row>
    <row r="459" spans="1:27" ht="14.25" x14ac:dyDescent="0.2">
      <c r="A459" s="23"/>
      <c r="B459" s="24"/>
      <c r="C459" s="24" t="s">
        <v>893</v>
      </c>
      <c r="D459" s="25" t="s">
        <v>894</v>
      </c>
      <c r="E459" s="12">
        <f>Source!DN404</f>
        <v>114</v>
      </c>
      <c r="F459" s="27"/>
      <c r="G459" s="26"/>
      <c r="H459" s="12"/>
      <c r="I459" s="28">
        <f>SUM(Q451:Q458)</f>
        <v>12.13</v>
      </c>
      <c r="J459" s="12">
        <f>Source!BZ404</f>
        <v>77</v>
      </c>
      <c r="K459" s="28">
        <f>SUM(R451:R458)</f>
        <v>167.17</v>
      </c>
    </row>
    <row r="460" spans="1:27" ht="14.25" x14ac:dyDescent="0.2">
      <c r="A460" s="23"/>
      <c r="B460" s="24"/>
      <c r="C460" s="24" t="s">
        <v>895</v>
      </c>
      <c r="D460" s="25" t="s">
        <v>894</v>
      </c>
      <c r="E460" s="12">
        <f>Source!DO404</f>
        <v>67</v>
      </c>
      <c r="F460" s="27"/>
      <c r="G460" s="26"/>
      <c r="H460" s="12"/>
      <c r="I460" s="28">
        <f>SUM(S451:S459)</f>
        <v>7.13</v>
      </c>
      <c r="J460" s="12">
        <f>Source!CA404</f>
        <v>41</v>
      </c>
      <c r="K460" s="28">
        <f>SUM(T451:T459)</f>
        <v>89.02</v>
      </c>
    </row>
    <row r="461" spans="1:27" ht="14.25" x14ac:dyDescent="0.2">
      <c r="A461" s="23"/>
      <c r="B461" s="24"/>
      <c r="C461" s="24" t="s">
        <v>896</v>
      </c>
      <c r="D461" s="25" t="s">
        <v>894</v>
      </c>
      <c r="E461" s="12">
        <f>175</f>
        <v>175</v>
      </c>
      <c r="F461" s="27"/>
      <c r="G461" s="26"/>
      <c r="H461" s="12"/>
      <c r="I461" s="28">
        <f>SUM(U451:U460)</f>
        <v>0.6</v>
      </c>
      <c r="J461" s="12">
        <f>168</f>
        <v>168</v>
      </c>
      <c r="K461" s="28">
        <f>SUM(V451:V460)</f>
        <v>11.69</v>
      </c>
    </row>
    <row r="462" spans="1:27" ht="14.25" x14ac:dyDescent="0.2">
      <c r="A462" s="23"/>
      <c r="B462" s="24"/>
      <c r="C462" s="24" t="s">
        <v>897</v>
      </c>
      <c r="D462" s="25" t="s">
        <v>898</v>
      </c>
      <c r="E462" s="12">
        <f>Source!AQ404</f>
        <v>14.37</v>
      </c>
      <c r="F462" s="27"/>
      <c r="G462" s="26" t="str">
        <f>Source!DI404</f>
        <v>)*1,15</v>
      </c>
      <c r="H462" s="12">
        <f>Source!AV404</f>
        <v>1</v>
      </c>
      <c r="I462" s="28">
        <f>Source!U404</f>
        <v>0.82627499999999987</v>
      </c>
      <c r="J462" s="12"/>
      <c r="K462" s="28"/>
    </row>
    <row r="463" spans="1:27" ht="15" x14ac:dyDescent="0.25">
      <c r="A463" s="33"/>
      <c r="B463" s="33"/>
      <c r="C463" s="33"/>
      <c r="D463" s="33"/>
      <c r="E463" s="33"/>
      <c r="F463" s="33"/>
      <c r="G463" s="33"/>
      <c r="H463" s="59">
        <f>I453+I454+I456+I459+I460+I461+SUM(I457:I458)</f>
        <v>70.099999999999994</v>
      </c>
      <c r="I463" s="59"/>
      <c r="J463" s="59">
        <f>K453+K454+K456+K459+K460+K461+SUM(K457:K458)</f>
        <v>684.88</v>
      </c>
      <c r="K463" s="59"/>
      <c r="O463" s="32">
        <f>I453+I454+I456+I459+I460+I461+SUM(I457:I458)</f>
        <v>70.099999999999994</v>
      </c>
      <c r="P463" s="32">
        <f>K453+K454+K456+K459+K460+K461+SUM(K457:K458)</f>
        <v>684.88</v>
      </c>
      <c r="X463">
        <f>IF(Source!BI404&lt;=1,I453+I454+I456+I459+I460+I461-0, 0)</f>
        <v>0</v>
      </c>
      <c r="Y463">
        <f>IF(Source!BI404=2,I453+I454+I456+I459+I460+I461-0, 0)</f>
        <v>49.7</v>
      </c>
      <c r="Z463">
        <f>IF(Source!BI404=3,I453+I454+I456+I459+I460+I461-0, 0)</f>
        <v>0</v>
      </c>
      <c r="AA463">
        <f>IF(Source!BI404=4,I453+I454+I456+I459+I460+I461,0)</f>
        <v>0</v>
      </c>
    </row>
    <row r="464" spans="1:27" ht="71.25" x14ac:dyDescent="0.2">
      <c r="A464" s="23" t="str">
        <f>Source!E410</f>
        <v>38</v>
      </c>
      <c r="B464" s="24" t="str">
        <f>Source!F410</f>
        <v>4.8-175-1</v>
      </c>
      <c r="C464" s="24" t="str">
        <f>Source!G410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2,5 мм2</v>
      </c>
      <c r="D464" s="25" t="str">
        <f>Source!H410</f>
        <v>100 м</v>
      </c>
      <c r="E464" s="12">
        <f>Source!I410</f>
        <v>0.05</v>
      </c>
      <c r="F464" s="27"/>
      <c r="G464" s="26"/>
      <c r="H464" s="12"/>
      <c r="I464" s="28"/>
      <c r="J464" s="12"/>
      <c r="K464" s="28"/>
      <c r="Q464">
        <f>ROUND((Source!DN410/100)*ROUND((Source!AF410*Source!AV410)*Source!I410, 2), 2)</f>
        <v>4.16</v>
      </c>
      <c r="R464">
        <f>Source!X410</f>
        <v>57.36</v>
      </c>
      <c r="S464">
        <f>ROUND((Source!DO410/100)*ROUND((Source!AF410*Source!AV410)*Source!I410, 2), 2)</f>
        <v>2.4500000000000002</v>
      </c>
      <c r="T464">
        <f>Source!Y410</f>
        <v>30.54</v>
      </c>
      <c r="U464">
        <f>ROUND((175/100)*ROUND((Source!AE410*Source!AV410)*Source!I410, 2), 2)</f>
        <v>0.02</v>
      </c>
      <c r="V464">
        <f>ROUND((168/100)*ROUND(Source!CS410*Source!I410, 2), 2)</f>
        <v>0.44</v>
      </c>
    </row>
    <row r="465" spans="1:27" x14ac:dyDescent="0.2">
      <c r="C465" s="29" t="str">
        <f>"Объем: "&amp;Source!I410&amp;"=5/"&amp;"100"</f>
        <v>Объем: 0,05=5/100</v>
      </c>
    </row>
    <row r="466" spans="1:27" ht="14.25" x14ac:dyDescent="0.2">
      <c r="A466" s="23"/>
      <c r="B466" s="24"/>
      <c r="C466" s="24" t="s">
        <v>890</v>
      </c>
      <c r="D466" s="25"/>
      <c r="E466" s="12"/>
      <c r="F466" s="27">
        <f>Source!AO410</f>
        <v>63.5</v>
      </c>
      <c r="G466" s="26" t="str">
        <f>Source!DG410</f>
        <v>)*1,15</v>
      </c>
      <c r="H466" s="12">
        <f>Source!AV410</f>
        <v>1</v>
      </c>
      <c r="I466" s="28">
        <f>ROUND((Source!AF410*Source!AV410)*Source!I410, 2)</f>
        <v>3.65</v>
      </c>
      <c r="J466" s="12">
        <f>IF(Source!BA410&lt;&gt; 0, Source!BA410, 1)</f>
        <v>20.399999999999999</v>
      </c>
      <c r="K466" s="28">
        <f>Source!S410</f>
        <v>74.489999999999995</v>
      </c>
      <c r="W466">
        <f>I466</f>
        <v>3.65</v>
      </c>
    </row>
    <row r="467" spans="1:27" ht="14.25" x14ac:dyDescent="0.2">
      <c r="A467" s="23"/>
      <c r="B467" s="24"/>
      <c r="C467" s="24" t="s">
        <v>891</v>
      </c>
      <c r="D467" s="25"/>
      <c r="E467" s="12"/>
      <c r="F467" s="27">
        <f>Source!AM410</f>
        <v>0.85</v>
      </c>
      <c r="G467" s="26" t="str">
        <f>Source!DE410</f>
        <v>)*1,25</v>
      </c>
      <c r="H467" s="12">
        <f>Source!AV410</f>
        <v>1</v>
      </c>
      <c r="I467" s="28">
        <f>ROUND((Source!AD410*Source!AV410)*Source!I410, 2)</f>
        <v>0.05</v>
      </c>
      <c r="J467" s="12">
        <f>IF(Source!BB410&lt;&gt; 0, Source!BB410, 1)</f>
        <v>8.93</v>
      </c>
      <c r="K467" s="28">
        <f>Source!Q410</f>
        <v>0.47</v>
      </c>
    </row>
    <row r="468" spans="1:27" ht="14.25" x14ac:dyDescent="0.2">
      <c r="A468" s="23"/>
      <c r="B468" s="24"/>
      <c r="C468" s="24" t="s">
        <v>892</v>
      </c>
      <c r="D468" s="25"/>
      <c r="E468" s="12"/>
      <c r="F468" s="27">
        <f>Source!AN410</f>
        <v>0.2</v>
      </c>
      <c r="G468" s="26" t="str">
        <f>Source!DF410</f>
        <v>)*1,25</v>
      </c>
      <c r="H468" s="12">
        <f>Source!AV410</f>
        <v>1</v>
      </c>
      <c r="I468" s="30">
        <f>ROUND((Source!AE410*Source!AV410)*Source!I410, 2)</f>
        <v>0.01</v>
      </c>
      <c r="J468" s="12">
        <f>IF(Source!BS410&lt;&gt; 0, Source!BS410, 1)</f>
        <v>20.399999999999999</v>
      </c>
      <c r="K468" s="30">
        <f>Source!R410</f>
        <v>0.26</v>
      </c>
      <c r="W468">
        <f>I468</f>
        <v>0.01</v>
      </c>
    </row>
    <row r="469" spans="1:27" ht="14.25" x14ac:dyDescent="0.2">
      <c r="A469" s="23"/>
      <c r="B469" s="24"/>
      <c r="C469" s="24" t="s">
        <v>899</v>
      </c>
      <c r="D469" s="25"/>
      <c r="E469" s="12"/>
      <c r="F469" s="27">
        <f>Source!AL410</f>
        <v>6.37</v>
      </c>
      <c r="G469" s="26" t="str">
        <f>Source!DD410</f>
        <v/>
      </c>
      <c r="H469" s="12">
        <f>Source!AW410</f>
        <v>1</v>
      </c>
      <c r="I469" s="28">
        <f>ROUND((Source!AC410*Source!AW410)*Source!I410, 2)</f>
        <v>0.32</v>
      </c>
      <c r="J469" s="12">
        <f>IF(Source!BC410&lt;&gt; 0, Source!BC410, 1)</f>
        <v>5.23</v>
      </c>
      <c r="K469" s="28">
        <f>Source!P410</f>
        <v>1.67</v>
      </c>
    </row>
    <row r="470" spans="1:27" ht="42.75" x14ac:dyDescent="0.2">
      <c r="A470" s="23" t="str">
        <f>Source!E412</f>
        <v>38,1</v>
      </c>
      <c r="B470" s="24" t="str">
        <f>Source!F412</f>
        <v>цена поставщика</v>
      </c>
      <c r="C470" s="24" t="s">
        <v>908</v>
      </c>
      <c r="D470" s="25" t="str">
        <f>Source!H412</f>
        <v>км</v>
      </c>
      <c r="E470" s="12">
        <f>Source!I412</f>
        <v>5.1000000000000004E-3</v>
      </c>
      <c r="F470" s="27">
        <f>Source!AK412</f>
        <v>15582.460000000001</v>
      </c>
      <c r="G470" s="31" t="s">
        <v>3</v>
      </c>
      <c r="H470" s="12">
        <f>Source!AW412</f>
        <v>1</v>
      </c>
      <c r="I470" s="28">
        <f>ROUND((Source!AC412*Source!AW412)*Source!I412, 2)+ROUND((Source!AD412*Source!AV412)*Source!I412, 2)+ROUND((Source!AF412*Source!AV412)*Source!I412, 2)</f>
        <v>79.47</v>
      </c>
      <c r="J470" s="12">
        <f>IF(Source!BC412&lt;&gt; 0, Source!BC412, 1)</f>
        <v>5.23</v>
      </c>
      <c r="K470" s="28">
        <f>Source!O412</f>
        <v>415.63</v>
      </c>
      <c r="Q470">
        <f>ROUND((Source!DN412/100)*ROUND((Source!AF412*Source!AV412)*Source!I412, 2), 2)</f>
        <v>0</v>
      </c>
      <c r="R470">
        <f>Source!X412</f>
        <v>0</v>
      </c>
      <c r="S470">
        <f>ROUND((Source!DO412/100)*ROUND((Source!AF412*Source!AV412)*Source!I412, 2), 2)</f>
        <v>0</v>
      </c>
      <c r="T470">
        <f>Source!Y412</f>
        <v>0</v>
      </c>
      <c r="U470">
        <f>ROUND((175/100)*ROUND((Source!AE412*Source!AV412)*Source!I412, 2), 2)</f>
        <v>0</v>
      </c>
      <c r="V470">
        <f>ROUND((168/100)*ROUND(Source!CS412*Source!I412, 2), 2)</f>
        <v>0</v>
      </c>
      <c r="X470">
        <f>IF(Source!BI412&lt;=1,I470, 0)</f>
        <v>0</v>
      </c>
      <c r="Y470">
        <f>IF(Source!BI412=2,I470, 0)</f>
        <v>79.47</v>
      </c>
      <c r="Z470">
        <f>IF(Source!BI412=3,I470, 0)</f>
        <v>0</v>
      </c>
      <c r="AA470">
        <f>IF(Source!BI412=4,I470, 0)</f>
        <v>0</v>
      </c>
    </row>
    <row r="471" spans="1:27" ht="14.25" x14ac:dyDescent="0.2">
      <c r="A471" s="23"/>
      <c r="B471" s="24"/>
      <c r="C471" s="24" t="s">
        <v>893</v>
      </c>
      <c r="D471" s="25" t="s">
        <v>894</v>
      </c>
      <c r="E471" s="12">
        <f>Source!DN410</f>
        <v>114</v>
      </c>
      <c r="F471" s="27"/>
      <c r="G471" s="26"/>
      <c r="H471" s="12"/>
      <c r="I471" s="28">
        <f>SUM(Q464:Q470)</f>
        <v>4.16</v>
      </c>
      <c r="J471" s="12">
        <f>Source!BZ410</f>
        <v>77</v>
      </c>
      <c r="K471" s="28">
        <f>SUM(R464:R470)</f>
        <v>57.36</v>
      </c>
    </row>
    <row r="472" spans="1:27" ht="14.25" x14ac:dyDescent="0.2">
      <c r="A472" s="23"/>
      <c r="B472" s="24"/>
      <c r="C472" s="24" t="s">
        <v>895</v>
      </c>
      <c r="D472" s="25" t="s">
        <v>894</v>
      </c>
      <c r="E472" s="12">
        <f>Source!DO410</f>
        <v>67</v>
      </c>
      <c r="F472" s="27"/>
      <c r="G472" s="26"/>
      <c r="H472" s="12"/>
      <c r="I472" s="28">
        <f>SUM(S464:S471)</f>
        <v>2.4500000000000002</v>
      </c>
      <c r="J472" s="12">
        <f>Source!CA410</f>
        <v>41</v>
      </c>
      <c r="K472" s="28">
        <f>SUM(T464:T471)</f>
        <v>30.54</v>
      </c>
    </row>
    <row r="473" spans="1:27" ht="14.25" x14ac:dyDescent="0.2">
      <c r="A473" s="23"/>
      <c r="B473" s="24"/>
      <c r="C473" s="24" t="s">
        <v>896</v>
      </c>
      <c r="D473" s="25" t="s">
        <v>894</v>
      </c>
      <c r="E473" s="12">
        <f>175</f>
        <v>175</v>
      </c>
      <c r="F473" s="27"/>
      <c r="G473" s="26"/>
      <c r="H473" s="12"/>
      <c r="I473" s="28">
        <f>SUM(U464:U472)</f>
        <v>0.02</v>
      </c>
      <c r="J473" s="12">
        <f>168</f>
        <v>168</v>
      </c>
      <c r="K473" s="28">
        <f>SUM(V464:V472)</f>
        <v>0.44</v>
      </c>
    </row>
    <row r="474" spans="1:27" ht="14.25" x14ac:dyDescent="0.2">
      <c r="A474" s="23"/>
      <c r="B474" s="24"/>
      <c r="C474" s="24" t="s">
        <v>897</v>
      </c>
      <c r="D474" s="25" t="s">
        <v>898</v>
      </c>
      <c r="E474" s="12">
        <f>Source!AQ410</f>
        <v>5.15</v>
      </c>
      <c r="F474" s="27"/>
      <c r="G474" s="26" t="str">
        <f>Source!DI410</f>
        <v>)*1,15</v>
      </c>
      <c r="H474" s="12">
        <f>Source!AV410</f>
        <v>1</v>
      </c>
      <c r="I474" s="28">
        <f>Source!U410</f>
        <v>0.29612500000000003</v>
      </c>
      <c r="J474" s="12"/>
      <c r="K474" s="28"/>
    </row>
    <row r="475" spans="1:27" ht="15" x14ac:dyDescent="0.25">
      <c r="A475" s="33"/>
      <c r="B475" s="33"/>
      <c r="C475" s="33"/>
      <c r="D475" s="33"/>
      <c r="E475" s="33"/>
      <c r="F475" s="33"/>
      <c r="G475" s="33"/>
      <c r="H475" s="59">
        <f>I466+I467+I469+I471+I472+I473+SUM(I470:I470)</f>
        <v>90.12</v>
      </c>
      <c r="I475" s="59"/>
      <c r="J475" s="59">
        <f>K466+K467+K469+K471+K472+K473+SUM(K470:K470)</f>
        <v>580.6</v>
      </c>
      <c r="K475" s="59"/>
      <c r="O475" s="32">
        <f>I466+I467+I469+I471+I472+I473+SUM(I470:I470)</f>
        <v>90.12</v>
      </c>
      <c r="P475" s="32">
        <f>K466+K467+K469+K471+K472+K473+SUM(K470:K470)</f>
        <v>580.6</v>
      </c>
      <c r="X475">
        <f>IF(Source!BI410&lt;=1,I466+I467+I469+I471+I472+I473-0, 0)</f>
        <v>0</v>
      </c>
      <c r="Y475">
        <f>IF(Source!BI410=2,I466+I467+I469+I471+I472+I473-0, 0)</f>
        <v>10.649999999999999</v>
      </c>
      <c r="Z475">
        <f>IF(Source!BI410=3,I466+I467+I469+I471+I472+I473-0, 0)</f>
        <v>0</v>
      </c>
      <c r="AA475">
        <f>IF(Source!BI410=4,I466+I467+I469+I471+I472+I473,0)</f>
        <v>0</v>
      </c>
    </row>
    <row r="476" spans="1:27" ht="85.5" x14ac:dyDescent="0.2">
      <c r="A476" s="23" t="str">
        <f>Source!E414</f>
        <v>39</v>
      </c>
      <c r="B476" s="24" t="str">
        <f>Source!F414</f>
        <v>4.8-175-9</v>
      </c>
      <c r="C476" s="24" t="str">
        <f>Source!G414</f>
        <v>Затягивание проводов и кабелей в проложенные трубы и металлические рукава, провод каждый последующий одножильный или многожильный в общей оплетке, суммарное сечение до 6 мм2</v>
      </c>
      <c r="D476" s="25" t="str">
        <f>Source!H414</f>
        <v>100 м</v>
      </c>
      <c r="E476" s="12">
        <f>Source!I414</f>
        <v>0.51</v>
      </c>
      <c r="F476" s="27"/>
      <c r="G476" s="26"/>
      <c r="H476" s="12"/>
      <c r="I476" s="28"/>
      <c r="J476" s="12"/>
      <c r="K476" s="28"/>
      <c r="Q476">
        <f>ROUND((Source!DN414/100)*ROUND((Source!AF414*Source!AV414)*Source!I414, 2), 2)</f>
        <v>17.309999999999999</v>
      </c>
      <c r="R476">
        <f>Source!X414</f>
        <v>238.52</v>
      </c>
      <c r="S476">
        <f>ROUND((Source!DO414/100)*ROUND((Source!AF414*Source!AV414)*Source!I414, 2), 2)</f>
        <v>10.17</v>
      </c>
      <c r="T476">
        <f>Source!Y414</f>
        <v>127</v>
      </c>
      <c r="U476">
        <f>ROUND((175/100)*ROUND((Source!AE414*Source!AV414)*Source!I414, 2), 2)</f>
        <v>0.23</v>
      </c>
      <c r="V476">
        <f>ROUND((168/100)*ROUND(Source!CS414*Source!I414, 2), 2)</f>
        <v>4.37</v>
      </c>
    </row>
    <row r="477" spans="1:27" x14ac:dyDescent="0.2">
      <c r="C477" s="29" t="str">
        <f>"Объем: "&amp;Source!I414&amp;"=51/"&amp;"100"</f>
        <v>Объем: 0,51=51/100</v>
      </c>
    </row>
    <row r="478" spans="1:27" ht="14.25" x14ac:dyDescent="0.2">
      <c r="A478" s="23"/>
      <c r="B478" s="24"/>
      <c r="C478" s="24" t="s">
        <v>890</v>
      </c>
      <c r="D478" s="25"/>
      <c r="E478" s="12"/>
      <c r="F478" s="27">
        <f>Source!AO414</f>
        <v>25.89</v>
      </c>
      <c r="G478" s="26" t="str">
        <f>Source!DG414</f>
        <v>)*1,15</v>
      </c>
      <c r="H478" s="12">
        <f>Source!AV414</f>
        <v>1</v>
      </c>
      <c r="I478" s="28">
        <f>ROUND((Source!AF414*Source!AV414)*Source!I414, 2)</f>
        <v>15.18</v>
      </c>
      <c r="J478" s="12">
        <f>IF(Source!BA414&lt;&gt; 0, Source!BA414, 1)</f>
        <v>20.399999999999999</v>
      </c>
      <c r="K478" s="28">
        <f>Source!S414</f>
        <v>309.76</v>
      </c>
      <c r="W478">
        <f>I478</f>
        <v>15.18</v>
      </c>
    </row>
    <row r="479" spans="1:27" ht="14.25" x14ac:dyDescent="0.2">
      <c r="A479" s="23"/>
      <c r="B479" s="24"/>
      <c r="C479" s="24" t="s">
        <v>891</v>
      </c>
      <c r="D479" s="25"/>
      <c r="E479" s="12"/>
      <c r="F479" s="27">
        <f>Source!AM414</f>
        <v>0.85</v>
      </c>
      <c r="G479" s="26" t="str">
        <f>Source!DE414</f>
        <v>)*1,25</v>
      </c>
      <c r="H479" s="12">
        <f>Source!AV414</f>
        <v>1</v>
      </c>
      <c r="I479" s="28">
        <f>ROUND((Source!AD414*Source!AV414)*Source!I414, 2)</f>
        <v>0.54</v>
      </c>
      <c r="J479" s="12">
        <f>IF(Source!BB414&lt;&gt; 0, Source!BB414, 1)</f>
        <v>8.93</v>
      </c>
      <c r="K479" s="28">
        <f>Source!Q414</f>
        <v>4.84</v>
      </c>
    </row>
    <row r="480" spans="1:27" ht="14.25" x14ac:dyDescent="0.2">
      <c r="A480" s="23"/>
      <c r="B480" s="24"/>
      <c r="C480" s="24" t="s">
        <v>892</v>
      </c>
      <c r="D480" s="25"/>
      <c r="E480" s="12"/>
      <c r="F480" s="27">
        <f>Source!AN414</f>
        <v>0.2</v>
      </c>
      <c r="G480" s="26" t="str">
        <f>Source!DF414</f>
        <v>)*1,25</v>
      </c>
      <c r="H480" s="12">
        <f>Source!AV414</f>
        <v>1</v>
      </c>
      <c r="I480" s="30">
        <f>ROUND((Source!AE414*Source!AV414)*Source!I414, 2)</f>
        <v>0.13</v>
      </c>
      <c r="J480" s="12">
        <f>IF(Source!BS414&lt;&gt; 0, Source!BS414, 1)</f>
        <v>20.399999999999999</v>
      </c>
      <c r="K480" s="30">
        <f>Source!R414</f>
        <v>2.6</v>
      </c>
      <c r="W480">
        <f>I480</f>
        <v>0.13</v>
      </c>
    </row>
    <row r="481" spans="1:27" ht="14.25" x14ac:dyDescent="0.2">
      <c r="A481" s="23"/>
      <c r="B481" s="24"/>
      <c r="C481" s="24" t="s">
        <v>899</v>
      </c>
      <c r="D481" s="25"/>
      <c r="E481" s="12"/>
      <c r="F481" s="27">
        <f>Source!AL414</f>
        <v>9.59</v>
      </c>
      <c r="G481" s="26" t="str">
        <f>Source!DD414</f>
        <v/>
      </c>
      <c r="H481" s="12">
        <f>Source!AW414</f>
        <v>1</v>
      </c>
      <c r="I481" s="28">
        <f>ROUND((Source!AC414*Source!AW414)*Source!I414, 2)</f>
        <v>4.8899999999999997</v>
      </c>
      <c r="J481" s="12">
        <f>IF(Source!BC414&lt;&gt; 0, Source!BC414, 1)</f>
        <v>5.23</v>
      </c>
      <c r="K481" s="28">
        <f>Source!P414</f>
        <v>25.58</v>
      </c>
    </row>
    <row r="482" spans="1:27" ht="42.75" x14ac:dyDescent="0.2">
      <c r="A482" s="23" t="str">
        <f>Source!E416</f>
        <v>39,1</v>
      </c>
      <c r="B482" s="24" t="str">
        <f>Source!F416</f>
        <v>1.23-8-415</v>
      </c>
      <c r="C482" s="24" t="str">
        <f>Source!G416</f>
        <v>Кабели силовые с медными жилами, напряжение 1000 В, марка ВВГнг(А)-LS, число жил и сечение 3х1,5 мм2</v>
      </c>
      <c r="D482" s="25" t="str">
        <f>Source!H416</f>
        <v>км</v>
      </c>
      <c r="E482" s="12">
        <f>Source!I416</f>
        <v>7.0000000000000001E-3</v>
      </c>
      <c r="F482" s="27">
        <f>Source!AK416</f>
        <v>7649.72</v>
      </c>
      <c r="G482" s="31" t="s">
        <v>3</v>
      </c>
      <c r="H482" s="12">
        <f>Source!AW416</f>
        <v>1</v>
      </c>
      <c r="I482" s="28">
        <f>ROUND((Source!AC416*Source!AW416)*Source!I416, 2)+ROUND((Source!AD416*Source!AV416)*Source!I416, 2)+ROUND((Source!AF416*Source!AV416)*Source!I416, 2)</f>
        <v>53.55</v>
      </c>
      <c r="J482" s="12">
        <f>IF(Source!BC416&lt;&gt; 0, Source!BC416, 1)</f>
        <v>3.49</v>
      </c>
      <c r="K482" s="28">
        <f>Source!O416</f>
        <v>186.88</v>
      </c>
      <c r="Q482">
        <f>ROUND((Source!DN416/100)*ROUND((Source!AF416*Source!AV416)*Source!I416, 2), 2)</f>
        <v>0</v>
      </c>
      <c r="R482">
        <f>Source!X416</f>
        <v>0</v>
      </c>
      <c r="S482">
        <f>ROUND((Source!DO416/100)*ROUND((Source!AF416*Source!AV416)*Source!I416, 2), 2)</f>
        <v>0</v>
      </c>
      <c r="T482">
        <f>Source!Y416</f>
        <v>0</v>
      </c>
      <c r="U482">
        <f>ROUND((175/100)*ROUND((Source!AE416*Source!AV416)*Source!I416, 2), 2)</f>
        <v>0</v>
      </c>
      <c r="V482">
        <f>ROUND((168/100)*ROUND(Source!CS416*Source!I416, 2), 2)</f>
        <v>0</v>
      </c>
      <c r="X482">
        <f>IF(Source!BI416&lt;=1,I482, 0)</f>
        <v>0</v>
      </c>
      <c r="Y482">
        <f>IF(Source!BI416=2,I482, 0)</f>
        <v>53.55</v>
      </c>
      <c r="Z482">
        <f>IF(Source!BI416=3,I482, 0)</f>
        <v>0</v>
      </c>
      <c r="AA482">
        <f>IF(Source!BI416=4,I482, 0)</f>
        <v>0</v>
      </c>
    </row>
    <row r="483" spans="1:27" ht="42.75" x14ac:dyDescent="0.2">
      <c r="A483" s="23" t="str">
        <f>Source!E418</f>
        <v>39,2</v>
      </c>
      <c r="B483" s="24" t="str">
        <f>Source!F418</f>
        <v>цена поставщика</v>
      </c>
      <c r="C483" s="24" t="s">
        <v>908</v>
      </c>
      <c r="D483" s="25" t="str">
        <f>Source!H418</f>
        <v>км</v>
      </c>
      <c r="E483" s="12">
        <f>Source!I418</f>
        <v>4.5999999999999999E-2</v>
      </c>
      <c r="F483" s="27">
        <f>Source!AK418</f>
        <v>15582.460000000001</v>
      </c>
      <c r="G483" s="31" t="s">
        <v>3</v>
      </c>
      <c r="H483" s="12">
        <f>Source!AW418</f>
        <v>1</v>
      </c>
      <c r="I483" s="28">
        <f>ROUND((Source!AC418*Source!AW418)*Source!I418, 2)+ROUND((Source!AD418*Source!AV418)*Source!I418, 2)+ROUND((Source!AF418*Source!AV418)*Source!I418, 2)</f>
        <v>716.79</v>
      </c>
      <c r="J483" s="12">
        <f>IF(Source!BC418&lt;&gt; 0, Source!BC418, 1)</f>
        <v>5.23</v>
      </c>
      <c r="K483" s="28">
        <f>Source!O418</f>
        <v>3748.83</v>
      </c>
      <c r="Q483">
        <f>ROUND((Source!DN418/100)*ROUND((Source!AF418*Source!AV418)*Source!I418, 2), 2)</f>
        <v>0</v>
      </c>
      <c r="R483">
        <f>Source!X418</f>
        <v>0</v>
      </c>
      <c r="S483">
        <f>ROUND((Source!DO418/100)*ROUND((Source!AF418*Source!AV418)*Source!I418, 2), 2)</f>
        <v>0</v>
      </c>
      <c r="T483">
        <f>Source!Y418</f>
        <v>0</v>
      </c>
      <c r="U483">
        <f>ROUND((175/100)*ROUND((Source!AE418*Source!AV418)*Source!I418, 2), 2)</f>
        <v>0</v>
      </c>
      <c r="V483">
        <f>ROUND((168/100)*ROUND(Source!CS418*Source!I418, 2), 2)</f>
        <v>0</v>
      </c>
      <c r="X483">
        <f>IF(Source!BI418&lt;=1,I483, 0)</f>
        <v>0</v>
      </c>
      <c r="Y483">
        <f>IF(Source!BI418=2,I483, 0)</f>
        <v>716.79</v>
      </c>
      <c r="Z483">
        <f>IF(Source!BI418=3,I483, 0)</f>
        <v>0</v>
      </c>
      <c r="AA483">
        <f>IF(Source!BI418=4,I483, 0)</f>
        <v>0</v>
      </c>
    </row>
    <row r="484" spans="1:27" ht="14.25" x14ac:dyDescent="0.2">
      <c r="A484" s="23"/>
      <c r="B484" s="24"/>
      <c r="C484" s="24" t="s">
        <v>893</v>
      </c>
      <c r="D484" s="25" t="s">
        <v>894</v>
      </c>
      <c r="E484" s="12">
        <f>Source!DN414</f>
        <v>114</v>
      </c>
      <c r="F484" s="27"/>
      <c r="G484" s="26"/>
      <c r="H484" s="12"/>
      <c r="I484" s="28">
        <f>SUM(Q476:Q483)</f>
        <v>17.309999999999999</v>
      </c>
      <c r="J484" s="12">
        <f>Source!BZ414</f>
        <v>77</v>
      </c>
      <c r="K484" s="28">
        <f>SUM(R476:R483)</f>
        <v>238.52</v>
      </c>
    </row>
    <row r="485" spans="1:27" ht="14.25" x14ac:dyDescent="0.2">
      <c r="A485" s="23"/>
      <c r="B485" s="24"/>
      <c r="C485" s="24" t="s">
        <v>895</v>
      </c>
      <c r="D485" s="25" t="s">
        <v>894</v>
      </c>
      <c r="E485" s="12">
        <f>Source!DO414</f>
        <v>67</v>
      </c>
      <c r="F485" s="27"/>
      <c r="G485" s="26"/>
      <c r="H485" s="12"/>
      <c r="I485" s="28">
        <f>SUM(S476:S484)</f>
        <v>10.17</v>
      </c>
      <c r="J485" s="12">
        <f>Source!CA414</f>
        <v>41</v>
      </c>
      <c r="K485" s="28">
        <f>SUM(T476:T484)</f>
        <v>127</v>
      </c>
    </row>
    <row r="486" spans="1:27" ht="14.25" x14ac:dyDescent="0.2">
      <c r="A486" s="23"/>
      <c r="B486" s="24"/>
      <c r="C486" s="24" t="s">
        <v>896</v>
      </c>
      <c r="D486" s="25" t="s">
        <v>894</v>
      </c>
      <c r="E486" s="12">
        <f>175</f>
        <v>175</v>
      </c>
      <c r="F486" s="27"/>
      <c r="G486" s="26"/>
      <c r="H486" s="12"/>
      <c r="I486" s="28">
        <f>SUM(U476:U485)</f>
        <v>0.23</v>
      </c>
      <c r="J486" s="12">
        <f>168</f>
        <v>168</v>
      </c>
      <c r="K486" s="28">
        <f>SUM(V476:V485)</f>
        <v>4.37</v>
      </c>
    </row>
    <row r="487" spans="1:27" ht="14.25" x14ac:dyDescent="0.2">
      <c r="A487" s="23"/>
      <c r="B487" s="24"/>
      <c r="C487" s="24" t="s">
        <v>897</v>
      </c>
      <c r="D487" s="25" t="s">
        <v>898</v>
      </c>
      <c r="E487" s="12">
        <f>Source!AQ414</f>
        <v>2.1</v>
      </c>
      <c r="F487" s="27"/>
      <c r="G487" s="26" t="str">
        <f>Source!DI414</f>
        <v>)*1,15</v>
      </c>
      <c r="H487" s="12">
        <f>Source!AV414</f>
        <v>1</v>
      </c>
      <c r="I487" s="28">
        <f>Source!U414</f>
        <v>1.2316500000000001</v>
      </c>
      <c r="J487" s="12"/>
      <c r="K487" s="28"/>
    </row>
    <row r="488" spans="1:27" ht="15" x14ac:dyDescent="0.25">
      <c r="A488" s="33"/>
      <c r="B488" s="33"/>
      <c r="C488" s="33"/>
      <c r="D488" s="33"/>
      <c r="E488" s="33"/>
      <c r="F488" s="33"/>
      <c r="G488" s="33"/>
      <c r="H488" s="59">
        <f>I478+I479+I481+I484+I485+I486+SUM(I482:I483)</f>
        <v>818.66</v>
      </c>
      <c r="I488" s="59"/>
      <c r="J488" s="59">
        <f>K478+K479+K481+K484+K485+K486+SUM(K482:K483)</f>
        <v>4645.78</v>
      </c>
      <c r="K488" s="59"/>
      <c r="O488" s="32">
        <f>I478+I479+I481+I484+I485+I486+SUM(I482:I483)</f>
        <v>818.66</v>
      </c>
      <c r="P488" s="32">
        <f>K478+K479+K481+K484+K485+K486+SUM(K482:K483)</f>
        <v>4645.78</v>
      </c>
      <c r="X488">
        <f>IF(Source!BI414&lt;=1,I478+I479+I481+I484+I485+I486-0, 0)</f>
        <v>0</v>
      </c>
      <c r="Y488">
        <f>IF(Source!BI414=2,I478+I479+I481+I484+I485+I486-0, 0)</f>
        <v>48.32</v>
      </c>
      <c r="Z488">
        <f>IF(Source!BI414=3,I478+I479+I481+I484+I485+I486-0, 0)</f>
        <v>0</v>
      </c>
      <c r="AA488">
        <f>IF(Source!BI414=4,I478+I479+I481+I484+I485+I486,0)</f>
        <v>0</v>
      </c>
    </row>
    <row r="490" spans="1:27" ht="15" x14ac:dyDescent="0.25">
      <c r="A490" s="57" t="str">
        <f>CONCATENATE("Итого по подразделу: ",IF(Source!G420&lt;&gt;"Новый подраздел", Source!G420, ""))</f>
        <v>Итого по подразделу: Сети связи</v>
      </c>
      <c r="B490" s="57"/>
      <c r="C490" s="57"/>
      <c r="D490" s="57"/>
      <c r="E490" s="57"/>
      <c r="F490" s="57"/>
      <c r="G490" s="57"/>
      <c r="H490" s="55">
        <f>SUM(O407:O489)</f>
        <v>2813.11</v>
      </c>
      <c r="I490" s="56"/>
      <c r="J490" s="55">
        <f>SUM(P407:P489)</f>
        <v>21223.639999999996</v>
      </c>
      <c r="K490" s="56"/>
    </row>
    <row r="491" spans="1:27" ht="15" hidden="1" x14ac:dyDescent="0.25">
      <c r="A491" s="57" t="s">
        <v>900</v>
      </c>
      <c r="B491" s="57"/>
      <c r="C491" s="57"/>
      <c r="D491" s="57"/>
      <c r="E491" s="57"/>
      <c r="F491" s="57"/>
      <c r="G491" s="57"/>
      <c r="H491" s="55">
        <f>SUM(AC407:AC490)</f>
        <v>0</v>
      </c>
      <c r="I491" s="56"/>
      <c r="J491" s="55">
        <f>SUM(AD407:AD490)</f>
        <v>0</v>
      </c>
      <c r="K491" s="56"/>
    </row>
    <row r="493" spans="1:27" ht="16.5" x14ac:dyDescent="0.25">
      <c r="A493" s="60" t="str">
        <f>CONCATENATE("Подраздел: ",IF(Source!G449&lt;&gt;"Новый подраздел", Source!G449, ""))</f>
        <v>Подраздел: Электромонтажные работы</v>
      </c>
      <c r="B493" s="60"/>
      <c r="C493" s="60"/>
      <c r="D493" s="60"/>
      <c r="E493" s="60"/>
      <c r="F493" s="60"/>
      <c r="G493" s="60"/>
      <c r="H493" s="60"/>
      <c r="I493" s="60"/>
      <c r="J493" s="60"/>
      <c r="K493" s="60"/>
    </row>
    <row r="494" spans="1:27" ht="42.75" x14ac:dyDescent="0.2">
      <c r="A494" s="23" t="str">
        <f>Source!E454</f>
        <v>40</v>
      </c>
      <c r="B494" s="24" t="str">
        <f>Source!F454</f>
        <v>4.8-280-1</v>
      </c>
      <c r="C494" s="24" t="str">
        <f>Source!G454</f>
        <v>Прокладка пластикового кабель-канала по кирпичному основанию 15шт*2м</v>
      </c>
      <c r="D494" s="25" t="str">
        <f>Source!H454</f>
        <v>100 м</v>
      </c>
      <c r="E494" s="12">
        <f>Source!I454</f>
        <v>0.3</v>
      </c>
      <c r="F494" s="27"/>
      <c r="G494" s="26"/>
      <c r="H494" s="12"/>
      <c r="I494" s="28"/>
      <c r="J494" s="12"/>
      <c r="K494" s="28"/>
      <c r="Q494">
        <f>ROUND((Source!DN454/100)*ROUND((Source!AF454*Source!AV454)*Source!I454, 2), 2)</f>
        <v>159.49</v>
      </c>
      <c r="R494">
        <f>Source!X454</f>
        <v>2197.5100000000002</v>
      </c>
      <c r="S494">
        <f>ROUND((Source!DO454/100)*ROUND((Source!AF454*Source!AV454)*Source!I454, 2), 2)</f>
        <v>93.73</v>
      </c>
      <c r="T494">
        <f>Source!Y454</f>
        <v>1170.0999999999999</v>
      </c>
      <c r="U494">
        <f>ROUND((175/100)*ROUND((Source!AE454*Source!AV454)*Source!I454, 2), 2)</f>
        <v>2.4</v>
      </c>
      <c r="V494">
        <f>ROUND((168/100)*ROUND(Source!CS454*Source!I454, 2), 2)</f>
        <v>47.04</v>
      </c>
    </row>
    <row r="495" spans="1:27" x14ac:dyDescent="0.2">
      <c r="C495" s="29" t="str">
        <f>"Объем: "&amp;Source!I454&amp;"=30/"&amp;"100"</f>
        <v>Объем: 0,3=30/100</v>
      </c>
    </row>
    <row r="496" spans="1:27" ht="14.25" x14ac:dyDescent="0.2">
      <c r="A496" s="23"/>
      <c r="B496" s="24"/>
      <c r="C496" s="24" t="s">
        <v>890</v>
      </c>
      <c r="D496" s="25"/>
      <c r="E496" s="12"/>
      <c r="F496" s="27">
        <f>Source!AO454</f>
        <v>405.5</v>
      </c>
      <c r="G496" s="26" t="str">
        <f>Source!DG454</f>
        <v>)*1,15</v>
      </c>
      <c r="H496" s="12">
        <f>Source!AV454</f>
        <v>1</v>
      </c>
      <c r="I496" s="28">
        <f>ROUND((Source!AF454*Source!AV454)*Source!I454, 2)</f>
        <v>139.9</v>
      </c>
      <c r="J496" s="12">
        <f>IF(Source!BA454&lt;&gt; 0, Source!BA454, 1)</f>
        <v>20.399999999999999</v>
      </c>
      <c r="K496" s="28">
        <f>Source!S454</f>
        <v>2853.91</v>
      </c>
      <c r="W496">
        <f>I496</f>
        <v>139.9</v>
      </c>
    </row>
    <row r="497" spans="1:27" ht="14.25" x14ac:dyDescent="0.2">
      <c r="A497" s="23"/>
      <c r="B497" s="24"/>
      <c r="C497" s="24" t="s">
        <v>891</v>
      </c>
      <c r="D497" s="25"/>
      <c r="E497" s="12"/>
      <c r="F497" s="27">
        <f>Source!AM454</f>
        <v>24.51</v>
      </c>
      <c r="G497" s="26" t="str">
        <f>Source!DE454</f>
        <v>)*1,25</v>
      </c>
      <c r="H497" s="12">
        <f>Source!AV454</f>
        <v>1</v>
      </c>
      <c r="I497" s="28">
        <f>ROUND((Source!AD454*Source!AV454)*Source!I454, 2)</f>
        <v>9.19</v>
      </c>
      <c r="J497" s="12">
        <f>IF(Source!BB454&lt;&gt; 0, Source!BB454, 1)</f>
        <v>7.65</v>
      </c>
      <c r="K497" s="28">
        <f>Source!Q454</f>
        <v>70.31</v>
      </c>
    </row>
    <row r="498" spans="1:27" ht="14.25" x14ac:dyDescent="0.2">
      <c r="A498" s="23"/>
      <c r="B498" s="24"/>
      <c r="C498" s="24" t="s">
        <v>892</v>
      </c>
      <c r="D498" s="25"/>
      <c r="E498" s="12"/>
      <c r="F498" s="27">
        <f>Source!AN454</f>
        <v>3.66</v>
      </c>
      <c r="G498" s="26" t="str">
        <f>Source!DF454</f>
        <v>)*1,25</v>
      </c>
      <c r="H498" s="12">
        <f>Source!AV454</f>
        <v>1</v>
      </c>
      <c r="I498" s="30">
        <f>ROUND((Source!AE454*Source!AV454)*Source!I454, 2)</f>
        <v>1.37</v>
      </c>
      <c r="J498" s="12">
        <f>IF(Source!BS454&lt;&gt; 0, Source!BS454, 1)</f>
        <v>20.399999999999999</v>
      </c>
      <c r="K498" s="30">
        <f>Source!R454</f>
        <v>28</v>
      </c>
      <c r="W498">
        <f>I498</f>
        <v>1.37</v>
      </c>
    </row>
    <row r="499" spans="1:27" ht="14.25" x14ac:dyDescent="0.2">
      <c r="A499" s="23"/>
      <c r="B499" s="24"/>
      <c r="C499" s="24" t="s">
        <v>899</v>
      </c>
      <c r="D499" s="25"/>
      <c r="E499" s="12"/>
      <c r="F499" s="27">
        <f>Source!AL454</f>
        <v>1018.27</v>
      </c>
      <c r="G499" s="26" t="str">
        <f>Source!DD454</f>
        <v/>
      </c>
      <c r="H499" s="12">
        <f>Source!AW454</f>
        <v>1</v>
      </c>
      <c r="I499" s="28">
        <f>ROUND((Source!AC454*Source!AW454)*Source!I454, 2)</f>
        <v>305.48</v>
      </c>
      <c r="J499" s="12">
        <f>IF(Source!BC454&lt;&gt; 0, Source!BC454, 1)</f>
        <v>5.23</v>
      </c>
      <c r="K499" s="28">
        <f>Source!P454</f>
        <v>1597.67</v>
      </c>
    </row>
    <row r="500" spans="1:27" ht="28.5" x14ac:dyDescent="0.2">
      <c r="A500" s="23" t="str">
        <f>Source!E456</f>
        <v>40,1</v>
      </c>
      <c r="B500" s="24" t="str">
        <f>Source!F456</f>
        <v>1.1-1-2828</v>
      </c>
      <c r="C500" s="24" t="str">
        <f>Source!G456</f>
        <v>Кабель-каналы, размер 16х16 мм, короба с направляющими</v>
      </c>
      <c r="D500" s="25" t="str">
        <f>Source!H456</f>
        <v>м</v>
      </c>
      <c r="E500" s="12">
        <f>Source!I456</f>
        <v>30</v>
      </c>
      <c r="F500" s="27">
        <f>Source!AK456</f>
        <v>1.82</v>
      </c>
      <c r="G500" s="31" t="s">
        <v>3</v>
      </c>
      <c r="H500" s="12">
        <f>Source!AW456</f>
        <v>1</v>
      </c>
      <c r="I500" s="28">
        <f>ROUND((Source!AC456*Source!AW456)*Source!I456, 2)+ROUND((Source!AD456*Source!AV456)*Source!I456, 2)+ROUND((Source!AF456*Source!AV456)*Source!I456, 2)</f>
        <v>54.6</v>
      </c>
      <c r="J500" s="12">
        <f>IF(Source!BC456&lt;&gt; 0, Source!BC456, 1)</f>
        <v>4.8</v>
      </c>
      <c r="K500" s="28">
        <f>Source!O456</f>
        <v>262.08</v>
      </c>
      <c r="Q500">
        <f>ROUND((Source!DN456/100)*ROUND((Source!AF456*Source!AV456)*Source!I456, 2), 2)</f>
        <v>0</v>
      </c>
      <c r="R500">
        <f>Source!X456</f>
        <v>0</v>
      </c>
      <c r="S500">
        <f>ROUND((Source!DO456/100)*ROUND((Source!AF456*Source!AV456)*Source!I456, 2), 2)</f>
        <v>0</v>
      </c>
      <c r="T500">
        <f>Source!Y456</f>
        <v>0</v>
      </c>
      <c r="U500">
        <f>ROUND((175/100)*ROUND((Source!AE456*Source!AV456)*Source!I456, 2), 2)</f>
        <v>0</v>
      </c>
      <c r="V500">
        <f>ROUND((168/100)*ROUND(Source!CS456*Source!I456, 2), 2)</f>
        <v>0</v>
      </c>
      <c r="X500">
        <f>IF(Source!BI456&lt;=1,I500, 0)</f>
        <v>0</v>
      </c>
      <c r="Y500">
        <f>IF(Source!BI456=2,I500, 0)</f>
        <v>54.6</v>
      </c>
      <c r="Z500">
        <f>IF(Source!BI456=3,I500, 0)</f>
        <v>0</v>
      </c>
      <c r="AA500">
        <f>IF(Source!BI456=4,I500, 0)</f>
        <v>0</v>
      </c>
    </row>
    <row r="501" spans="1:27" ht="28.5" x14ac:dyDescent="0.2">
      <c r="A501" s="23" t="str">
        <f>Source!E458</f>
        <v>40,2</v>
      </c>
      <c r="B501" s="24" t="str">
        <f>Source!F458</f>
        <v>1.21-5-696</v>
      </c>
      <c r="C501" s="24" t="str">
        <f>Source!G458</f>
        <v>Коробки для протяжки проводов, тип У-409</v>
      </c>
      <c r="D501" s="25" t="str">
        <f>Source!H458</f>
        <v>шт.</v>
      </c>
      <c r="E501" s="12">
        <f>Source!I458</f>
        <v>2</v>
      </c>
      <c r="F501" s="27">
        <f>Source!AK458</f>
        <v>28.2</v>
      </c>
      <c r="G501" s="31" t="s">
        <v>3</v>
      </c>
      <c r="H501" s="12">
        <f>Source!AW458</f>
        <v>1</v>
      </c>
      <c r="I501" s="28">
        <f>ROUND((Source!AC458*Source!AW458)*Source!I458, 2)+ROUND((Source!AD458*Source!AV458)*Source!I458, 2)+ROUND((Source!AF458*Source!AV458)*Source!I458, 2)</f>
        <v>56.4</v>
      </c>
      <c r="J501" s="12">
        <f>IF(Source!BC458&lt;&gt; 0, Source!BC458, 1)</f>
        <v>3.34</v>
      </c>
      <c r="K501" s="28">
        <f>Source!O458</f>
        <v>188.38</v>
      </c>
      <c r="Q501">
        <f>ROUND((Source!DN458/100)*ROUND((Source!AF458*Source!AV458)*Source!I458, 2), 2)</f>
        <v>0</v>
      </c>
      <c r="R501">
        <f>Source!X458</f>
        <v>0</v>
      </c>
      <c r="S501">
        <f>ROUND((Source!DO458/100)*ROUND((Source!AF458*Source!AV458)*Source!I458, 2), 2)</f>
        <v>0</v>
      </c>
      <c r="T501">
        <f>Source!Y458</f>
        <v>0</v>
      </c>
      <c r="U501">
        <f>ROUND((175/100)*ROUND((Source!AE458*Source!AV458)*Source!I458, 2), 2)</f>
        <v>0</v>
      </c>
      <c r="V501">
        <f>ROUND((168/100)*ROUND(Source!CS458*Source!I458, 2), 2)</f>
        <v>0</v>
      </c>
      <c r="X501">
        <f>IF(Source!BI458&lt;=1,I501, 0)</f>
        <v>0</v>
      </c>
      <c r="Y501">
        <f>IF(Source!BI458=2,I501, 0)</f>
        <v>56.4</v>
      </c>
      <c r="Z501">
        <f>IF(Source!BI458=3,I501, 0)</f>
        <v>0</v>
      </c>
      <c r="AA501">
        <f>IF(Source!BI458=4,I501, 0)</f>
        <v>0</v>
      </c>
    </row>
    <row r="502" spans="1:27" ht="14.25" x14ac:dyDescent="0.2">
      <c r="A502" s="23"/>
      <c r="B502" s="24"/>
      <c r="C502" s="24" t="s">
        <v>893</v>
      </c>
      <c r="D502" s="25" t="s">
        <v>894</v>
      </c>
      <c r="E502" s="12">
        <f>Source!DN454</f>
        <v>114</v>
      </c>
      <c r="F502" s="27"/>
      <c r="G502" s="26"/>
      <c r="H502" s="12"/>
      <c r="I502" s="28">
        <f>SUM(Q494:Q501)</f>
        <v>159.49</v>
      </c>
      <c r="J502" s="12">
        <f>Source!BZ454</f>
        <v>77</v>
      </c>
      <c r="K502" s="28">
        <f>SUM(R494:R501)</f>
        <v>2197.5100000000002</v>
      </c>
    </row>
    <row r="503" spans="1:27" ht="14.25" x14ac:dyDescent="0.2">
      <c r="A503" s="23"/>
      <c r="B503" s="24"/>
      <c r="C503" s="24" t="s">
        <v>895</v>
      </c>
      <c r="D503" s="25" t="s">
        <v>894</v>
      </c>
      <c r="E503" s="12">
        <f>Source!DO454</f>
        <v>67</v>
      </c>
      <c r="F503" s="27"/>
      <c r="G503" s="26"/>
      <c r="H503" s="12"/>
      <c r="I503" s="28">
        <f>SUM(S494:S502)</f>
        <v>93.73</v>
      </c>
      <c r="J503" s="12">
        <f>Source!CA454</f>
        <v>41</v>
      </c>
      <c r="K503" s="28">
        <f>SUM(T494:T502)</f>
        <v>1170.0999999999999</v>
      </c>
    </row>
    <row r="504" spans="1:27" ht="14.25" x14ac:dyDescent="0.2">
      <c r="A504" s="23"/>
      <c r="B504" s="24"/>
      <c r="C504" s="24" t="s">
        <v>896</v>
      </c>
      <c r="D504" s="25" t="s">
        <v>894</v>
      </c>
      <c r="E504" s="12">
        <f>175</f>
        <v>175</v>
      </c>
      <c r="F504" s="27"/>
      <c r="G504" s="26"/>
      <c r="H504" s="12"/>
      <c r="I504" s="28">
        <f>SUM(U494:U503)</f>
        <v>2.4</v>
      </c>
      <c r="J504" s="12">
        <f>168</f>
        <v>168</v>
      </c>
      <c r="K504" s="28">
        <f>SUM(V494:V503)</f>
        <v>47.04</v>
      </c>
    </row>
    <row r="505" spans="1:27" ht="14.25" x14ac:dyDescent="0.2">
      <c r="A505" s="23"/>
      <c r="B505" s="24"/>
      <c r="C505" s="24" t="s">
        <v>897</v>
      </c>
      <c r="D505" s="25" t="s">
        <v>898</v>
      </c>
      <c r="E505" s="12">
        <f>Source!AQ454</f>
        <v>33.79</v>
      </c>
      <c r="F505" s="27"/>
      <c r="G505" s="26" t="str">
        <f>Source!DI454</f>
        <v>)*1,15</v>
      </c>
      <c r="H505" s="12">
        <f>Source!AV454</f>
        <v>1</v>
      </c>
      <c r="I505" s="28">
        <f>Source!U454</f>
        <v>11.657549999999999</v>
      </c>
      <c r="J505" s="12"/>
      <c r="K505" s="28"/>
    </row>
    <row r="506" spans="1:27" ht="15" x14ac:dyDescent="0.25">
      <c r="A506" s="33"/>
      <c r="B506" s="33"/>
      <c r="C506" s="33"/>
      <c r="D506" s="33"/>
      <c r="E506" s="33"/>
      <c r="F506" s="33"/>
      <c r="G506" s="33"/>
      <c r="H506" s="59">
        <f>I496+I497+I499+I502+I503+I504+SUM(I500:I501)</f>
        <v>821.19</v>
      </c>
      <c r="I506" s="59"/>
      <c r="J506" s="59">
        <f>K496+K497+K499+K502+K503+K504+SUM(K500:K501)</f>
        <v>8387</v>
      </c>
      <c r="K506" s="59"/>
      <c r="O506" s="32">
        <f>I496+I497+I499+I502+I503+I504+SUM(I500:I501)</f>
        <v>821.19</v>
      </c>
      <c r="P506" s="32">
        <f>K496+K497+K499+K502+K503+K504+SUM(K500:K501)</f>
        <v>8387</v>
      </c>
      <c r="X506">
        <f>IF(Source!BI454&lt;=1,I496+I497+I499+I502+I503+I504-0, 0)</f>
        <v>0</v>
      </c>
      <c r="Y506">
        <f>IF(Source!BI454=2,I496+I497+I499+I502+I503+I504-0, 0)</f>
        <v>710.19</v>
      </c>
      <c r="Z506">
        <f>IF(Source!BI454=3,I496+I497+I499+I502+I503+I504-0, 0)</f>
        <v>0</v>
      </c>
      <c r="AA506">
        <f>IF(Source!BI454=4,I496+I497+I499+I502+I503+I504,0)</f>
        <v>0</v>
      </c>
    </row>
    <row r="507" spans="1:27" ht="28.5" x14ac:dyDescent="0.2">
      <c r="A507" s="23" t="str">
        <f>Source!E460</f>
        <v>41</v>
      </c>
      <c r="B507" s="24" t="str">
        <f>Source!F460</f>
        <v>4.8-162-1</v>
      </c>
      <c r="C507" s="24" t="str">
        <f>Source!G460</f>
        <v>Провода и кабели в коробах, провод, сечением до 6 мм2</v>
      </c>
      <c r="D507" s="25" t="str">
        <f>Source!H460</f>
        <v>100 м</v>
      </c>
      <c r="E507" s="12">
        <f>Source!I460</f>
        <v>0.9</v>
      </c>
      <c r="F507" s="27"/>
      <c r="G507" s="26"/>
      <c r="H507" s="12"/>
      <c r="I507" s="28"/>
      <c r="J507" s="12"/>
      <c r="K507" s="28"/>
      <c r="Q507">
        <f>ROUND((Source!DN460/100)*ROUND((Source!AF460*Source!AV460)*Source!I460, 2), 2)</f>
        <v>44.95</v>
      </c>
      <c r="R507">
        <f>Source!X460</f>
        <v>619.41999999999996</v>
      </c>
      <c r="S507">
        <f>ROUND((Source!DO460/100)*ROUND((Source!AF460*Source!AV460)*Source!I460, 2), 2)</f>
        <v>26.42</v>
      </c>
      <c r="T507">
        <f>Source!Y460</f>
        <v>329.82</v>
      </c>
      <c r="U507">
        <f>ROUND((175/100)*ROUND((Source!AE460*Source!AV460)*Source!I460, 2), 2)</f>
        <v>0.4</v>
      </c>
      <c r="V507">
        <f>ROUND((168/100)*ROUND(Source!CS460*Source!I460, 2), 2)</f>
        <v>7.71</v>
      </c>
    </row>
    <row r="508" spans="1:27" x14ac:dyDescent="0.2">
      <c r="C508" s="29" t="str">
        <f>"Объем: "&amp;Source!I460&amp;"=90/"&amp;"100"</f>
        <v>Объем: 0,9=90/100</v>
      </c>
    </row>
    <row r="509" spans="1:27" ht="14.25" x14ac:dyDescent="0.2">
      <c r="A509" s="23"/>
      <c r="B509" s="24"/>
      <c r="C509" s="24" t="s">
        <v>890</v>
      </c>
      <c r="D509" s="25"/>
      <c r="E509" s="12"/>
      <c r="F509" s="27">
        <f>Source!AO460</f>
        <v>38.1</v>
      </c>
      <c r="G509" s="26" t="str">
        <f>Source!DG460</f>
        <v>)*1,15</v>
      </c>
      <c r="H509" s="12">
        <f>Source!AV460</f>
        <v>1</v>
      </c>
      <c r="I509" s="28">
        <f>ROUND((Source!AF460*Source!AV460)*Source!I460, 2)</f>
        <v>39.43</v>
      </c>
      <c r="J509" s="12">
        <f>IF(Source!BA460&lt;&gt; 0, Source!BA460, 1)</f>
        <v>20.399999999999999</v>
      </c>
      <c r="K509" s="28">
        <f>Source!S460</f>
        <v>804.44</v>
      </c>
      <c r="W509">
        <f>I509</f>
        <v>39.43</v>
      </c>
    </row>
    <row r="510" spans="1:27" ht="14.25" x14ac:dyDescent="0.2">
      <c r="A510" s="23"/>
      <c r="B510" s="24"/>
      <c r="C510" s="24" t="s">
        <v>891</v>
      </c>
      <c r="D510" s="25"/>
      <c r="E510" s="12"/>
      <c r="F510" s="27">
        <f>Source!AM460</f>
        <v>0.85</v>
      </c>
      <c r="G510" s="26" t="str">
        <f>Source!DE460</f>
        <v>)*1,25</v>
      </c>
      <c r="H510" s="12">
        <f>Source!AV460</f>
        <v>1</v>
      </c>
      <c r="I510" s="28">
        <f>ROUND((Source!AD460*Source!AV460)*Source!I460, 2)</f>
        <v>0.96</v>
      </c>
      <c r="J510" s="12">
        <f>IF(Source!BB460&lt;&gt; 0, Source!BB460, 1)</f>
        <v>8.93</v>
      </c>
      <c r="K510" s="28">
        <f>Source!Q460</f>
        <v>8.5399999999999991</v>
      </c>
    </row>
    <row r="511" spans="1:27" ht="14.25" x14ac:dyDescent="0.2">
      <c r="A511" s="23"/>
      <c r="B511" s="24"/>
      <c r="C511" s="24" t="s">
        <v>892</v>
      </c>
      <c r="D511" s="25"/>
      <c r="E511" s="12"/>
      <c r="F511" s="27">
        <f>Source!AN460</f>
        <v>0.2</v>
      </c>
      <c r="G511" s="26" t="str">
        <f>Source!DF460</f>
        <v>)*1,25</v>
      </c>
      <c r="H511" s="12">
        <f>Source!AV460</f>
        <v>1</v>
      </c>
      <c r="I511" s="30">
        <f>ROUND((Source!AE460*Source!AV460)*Source!I460, 2)</f>
        <v>0.23</v>
      </c>
      <c r="J511" s="12">
        <f>IF(Source!BS460&lt;&gt; 0, Source!BS460, 1)</f>
        <v>20.399999999999999</v>
      </c>
      <c r="K511" s="30">
        <f>Source!R460</f>
        <v>4.59</v>
      </c>
      <c r="W511">
        <f>I511</f>
        <v>0.23</v>
      </c>
    </row>
    <row r="512" spans="1:27" ht="14.25" x14ac:dyDescent="0.2">
      <c r="A512" s="23"/>
      <c r="B512" s="24"/>
      <c r="C512" s="24" t="s">
        <v>899</v>
      </c>
      <c r="D512" s="25"/>
      <c r="E512" s="12"/>
      <c r="F512" s="27">
        <f>Source!AL460</f>
        <v>3.71</v>
      </c>
      <c r="G512" s="26" t="str">
        <f>Source!DD460</f>
        <v/>
      </c>
      <c r="H512" s="12">
        <f>Source!AW460</f>
        <v>1</v>
      </c>
      <c r="I512" s="28">
        <f>ROUND((Source!AC460*Source!AW460)*Source!I460, 2)</f>
        <v>3.34</v>
      </c>
      <c r="J512" s="12">
        <f>IF(Source!BC460&lt;&gt; 0, Source!BC460, 1)</f>
        <v>5.23</v>
      </c>
      <c r="K512" s="28">
        <f>Source!P460</f>
        <v>17.46</v>
      </c>
    </row>
    <row r="513" spans="1:27" ht="42.75" x14ac:dyDescent="0.2">
      <c r="A513" s="23" t="str">
        <f>Source!E462</f>
        <v>41,1</v>
      </c>
      <c r="B513" s="24" t="str">
        <f>Source!F462</f>
        <v>1.23-8-389</v>
      </c>
      <c r="C513" s="24" t="str">
        <f>Source!G462</f>
        <v>Кабели силовые с медными жилами, напряжение 660 В, марка ВВГнг(А)-LS, число жил и сечение 3х1,5 мм2</v>
      </c>
      <c r="D513" s="25" t="str">
        <f>Source!H462</f>
        <v>км</v>
      </c>
      <c r="E513" s="12">
        <f>Source!I462</f>
        <v>3.1E-2</v>
      </c>
      <c r="F513" s="27">
        <f>Source!AK462</f>
        <v>6747.27</v>
      </c>
      <c r="G513" s="31" t="s">
        <v>3</v>
      </c>
      <c r="H513" s="12">
        <f>Source!AW462</f>
        <v>1</v>
      </c>
      <c r="I513" s="28">
        <f>ROUND((Source!AC462*Source!AW462)*Source!I462, 2)+ROUND((Source!AD462*Source!AV462)*Source!I462, 2)+ROUND((Source!AF462*Source!AV462)*Source!I462, 2)</f>
        <v>209.17</v>
      </c>
      <c r="J513" s="12">
        <f>IF(Source!BC462&lt;&gt; 0, Source!BC462, 1)</f>
        <v>3.59</v>
      </c>
      <c r="K513" s="28">
        <f>Source!O462</f>
        <v>750.9</v>
      </c>
      <c r="Q513">
        <f>ROUND((Source!DN462/100)*ROUND((Source!AF462*Source!AV462)*Source!I462, 2), 2)</f>
        <v>0</v>
      </c>
      <c r="R513">
        <f>Source!X462</f>
        <v>0</v>
      </c>
      <c r="S513">
        <f>ROUND((Source!DO462/100)*ROUND((Source!AF462*Source!AV462)*Source!I462, 2), 2)</f>
        <v>0</v>
      </c>
      <c r="T513">
        <f>Source!Y462</f>
        <v>0</v>
      </c>
      <c r="U513">
        <f>ROUND((175/100)*ROUND((Source!AE462*Source!AV462)*Source!I462, 2), 2)</f>
        <v>0</v>
      </c>
      <c r="V513">
        <f>ROUND((168/100)*ROUND(Source!CS462*Source!I462, 2), 2)</f>
        <v>0</v>
      </c>
      <c r="X513">
        <f>IF(Source!BI462&lt;=1,I513, 0)</f>
        <v>0</v>
      </c>
      <c r="Y513">
        <f>IF(Source!BI462=2,I513, 0)</f>
        <v>209.17</v>
      </c>
      <c r="Z513">
        <f>IF(Source!BI462=3,I513, 0)</f>
        <v>0</v>
      </c>
      <c r="AA513">
        <f>IF(Source!BI462=4,I513, 0)</f>
        <v>0</v>
      </c>
    </row>
    <row r="514" spans="1:27" ht="114" x14ac:dyDescent="0.2">
      <c r="A514" s="23" t="str">
        <f>Source!E464</f>
        <v>41,2</v>
      </c>
      <c r="B514" s="24" t="str">
        <f>Source!F464</f>
        <v>1.23-8-625</v>
      </c>
      <c r="C514" s="24" t="str">
        <f>Source!G464</f>
        <v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v>
      </c>
      <c r="D514" s="25" t="str">
        <f>Source!H464</f>
        <v>км</v>
      </c>
      <c r="E514" s="12">
        <f>Source!I464</f>
        <v>6.2E-2</v>
      </c>
      <c r="F514" s="27">
        <f>Source!AK464</f>
        <v>16446.900000000001</v>
      </c>
      <c r="G514" s="31" t="s">
        <v>3</v>
      </c>
      <c r="H514" s="12">
        <f>Source!AW464</f>
        <v>1</v>
      </c>
      <c r="I514" s="28">
        <f>ROUND((Source!AC464*Source!AW464)*Source!I464, 2)+ROUND((Source!AD464*Source!AV464)*Source!I464, 2)+ROUND((Source!AF464*Source!AV464)*Source!I464, 2)</f>
        <v>1019.71</v>
      </c>
      <c r="J514" s="12">
        <f>IF(Source!BC464&lt;&gt; 0, Source!BC464, 1)</f>
        <v>3.25</v>
      </c>
      <c r="K514" s="28">
        <f>Source!O464</f>
        <v>3314.05</v>
      </c>
      <c r="Q514">
        <f>ROUND((Source!DN464/100)*ROUND((Source!AF464*Source!AV464)*Source!I464, 2), 2)</f>
        <v>0</v>
      </c>
      <c r="R514">
        <f>Source!X464</f>
        <v>0</v>
      </c>
      <c r="S514">
        <f>ROUND((Source!DO464/100)*ROUND((Source!AF464*Source!AV464)*Source!I464, 2), 2)</f>
        <v>0</v>
      </c>
      <c r="T514">
        <f>Source!Y464</f>
        <v>0</v>
      </c>
      <c r="U514">
        <f>ROUND((175/100)*ROUND((Source!AE464*Source!AV464)*Source!I464, 2), 2)</f>
        <v>0</v>
      </c>
      <c r="V514">
        <f>ROUND((168/100)*ROUND(Source!CS464*Source!I464, 2), 2)</f>
        <v>0</v>
      </c>
      <c r="X514">
        <f>IF(Source!BI464&lt;=1,I514, 0)</f>
        <v>0</v>
      </c>
      <c r="Y514">
        <f>IF(Source!BI464=2,I514, 0)</f>
        <v>1019.71</v>
      </c>
      <c r="Z514">
        <f>IF(Source!BI464=3,I514, 0)</f>
        <v>0</v>
      </c>
      <c r="AA514">
        <f>IF(Source!BI464=4,I514, 0)</f>
        <v>0</v>
      </c>
    </row>
    <row r="515" spans="1:27" ht="14.25" x14ac:dyDescent="0.2">
      <c r="A515" s="23"/>
      <c r="B515" s="24"/>
      <c r="C515" s="24" t="s">
        <v>893</v>
      </c>
      <c r="D515" s="25" t="s">
        <v>894</v>
      </c>
      <c r="E515" s="12">
        <f>Source!DN460</f>
        <v>114</v>
      </c>
      <c r="F515" s="27"/>
      <c r="G515" s="26"/>
      <c r="H515" s="12"/>
      <c r="I515" s="28">
        <f>SUM(Q507:Q514)</f>
        <v>44.95</v>
      </c>
      <c r="J515" s="12">
        <f>Source!BZ460</f>
        <v>77</v>
      </c>
      <c r="K515" s="28">
        <f>SUM(R507:R514)</f>
        <v>619.41999999999996</v>
      </c>
    </row>
    <row r="516" spans="1:27" ht="14.25" x14ac:dyDescent="0.2">
      <c r="A516" s="23"/>
      <c r="B516" s="24"/>
      <c r="C516" s="24" t="s">
        <v>895</v>
      </c>
      <c r="D516" s="25" t="s">
        <v>894</v>
      </c>
      <c r="E516" s="12">
        <f>Source!DO460</f>
        <v>67</v>
      </c>
      <c r="F516" s="27"/>
      <c r="G516" s="26"/>
      <c r="H516" s="12"/>
      <c r="I516" s="28">
        <f>SUM(S507:S515)</f>
        <v>26.42</v>
      </c>
      <c r="J516" s="12">
        <f>Source!CA460</f>
        <v>41</v>
      </c>
      <c r="K516" s="28">
        <f>SUM(T507:T515)</f>
        <v>329.82</v>
      </c>
    </row>
    <row r="517" spans="1:27" ht="14.25" x14ac:dyDescent="0.2">
      <c r="A517" s="23"/>
      <c r="B517" s="24"/>
      <c r="C517" s="24" t="s">
        <v>896</v>
      </c>
      <c r="D517" s="25" t="s">
        <v>894</v>
      </c>
      <c r="E517" s="12">
        <f>175</f>
        <v>175</v>
      </c>
      <c r="F517" s="27"/>
      <c r="G517" s="26"/>
      <c r="H517" s="12"/>
      <c r="I517" s="28">
        <f>SUM(U507:U516)</f>
        <v>0.4</v>
      </c>
      <c r="J517" s="12">
        <f>168</f>
        <v>168</v>
      </c>
      <c r="K517" s="28">
        <f>SUM(V507:V516)</f>
        <v>7.71</v>
      </c>
    </row>
    <row r="518" spans="1:27" ht="14.25" x14ac:dyDescent="0.2">
      <c r="A518" s="23"/>
      <c r="B518" s="24"/>
      <c r="C518" s="24" t="s">
        <v>897</v>
      </c>
      <c r="D518" s="25" t="s">
        <v>898</v>
      </c>
      <c r="E518" s="12">
        <f>Source!AQ460</f>
        <v>3.09</v>
      </c>
      <c r="F518" s="27"/>
      <c r="G518" s="26" t="str">
        <f>Source!DI460</f>
        <v>)*1,15</v>
      </c>
      <c r="H518" s="12">
        <f>Source!AV460</f>
        <v>1</v>
      </c>
      <c r="I518" s="28">
        <f>Source!U460</f>
        <v>3.1981499999999996</v>
      </c>
      <c r="J518" s="12"/>
      <c r="K518" s="28"/>
    </row>
    <row r="519" spans="1:27" ht="15" x14ac:dyDescent="0.25">
      <c r="A519" s="33"/>
      <c r="B519" s="33"/>
      <c r="C519" s="33"/>
      <c r="D519" s="33"/>
      <c r="E519" s="33"/>
      <c r="F519" s="33"/>
      <c r="G519" s="33"/>
      <c r="H519" s="59">
        <f>I509+I510+I512+I515+I516+I517+SUM(I513:I514)</f>
        <v>1344.38</v>
      </c>
      <c r="I519" s="59"/>
      <c r="J519" s="59">
        <f>K509+K510+K512+K515+K516+K517+SUM(K513:K514)</f>
        <v>5852.34</v>
      </c>
      <c r="K519" s="59"/>
      <c r="O519" s="32">
        <f>I509+I510+I512+I515+I516+I517+SUM(I513:I514)</f>
        <v>1344.38</v>
      </c>
      <c r="P519" s="32">
        <f>K509+K510+K512+K515+K516+K517+SUM(K513:K514)</f>
        <v>5852.34</v>
      </c>
      <c r="X519">
        <f>IF(Source!BI460&lt;=1,I509+I510+I512+I515+I516+I517-0, 0)</f>
        <v>0</v>
      </c>
      <c r="Y519">
        <f>IF(Source!BI460=2,I509+I510+I512+I515+I516+I517-0, 0)</f>
        <v>115.50000000000001</v>
      </c>
      <c r="Z519">
        <f>IF(Source!BI460=3,I509+I510+I512+I515+I516+I517-0, 0)</f>
        <v>0</v>
      </c>
      <c r="AA519">
        <f>IF(Source!BI460=4,I509+I510+I512+I515+I516+I517,0)</f>
        <v>0</v>
      </c>
    </row>
    <row r="520" spans="1:27" ht="42.75" x14ac:dyDescent="0.2">
      <c r="A520" s="23" t="str">
        <f>Source!E466</f>
        <v>42</v>
      </c>
      <c r="B520" s="24" t="str">
        <f>Source!F466</f>
        <v>4.8-243-2</v>
      </c>
      <c r="C520" s="24" t="str">
        <f>Source!G466</f>
        <v>Выключатель одноклавишный утопленного типа при скрытой проводке</v>
      </c>
      <c r="D520" s="25" t="str">
        <f>Source!H466</f>
        <v>100 шт.</v>
      </c>
      <c r="E520" s="12">
        <f>Source!I466</f>
        <v>0.02</v>
      </c>
      <c r="F520" s="27"/>
      <c r="G520" s="26"/>
      <c r="H520" s="12"/>
      <c r="I520" s="28"/>
      <c r="J520" s="12"/>
      <c r="K520" s="28"/>
      <c r="Q520">
        <f>ROUND((Source!DN466/100)*ROUND((Source!AF466*Source!AV466)*Source!I466, 2), 2)</f>
        <v>10.23</v>
      </c>
      <c r="R520">
        <f>Source!X466</f>
        <v>140.9</v>
      </c>
      <c r="S520">
        <f>ROUND((Source!DO466/100)*ROUND((Source!AF466*Source!AV466)*Source!I466, 2), 2)</f>
        <v>6.01</v>
      </c>
      <c r="T520">
        <f>Source!Y466</f>
        <v>75.03</v>
      </c>
      <c r="U520">
        <f>ROUND((175/100)*ROUND((Source!AE466*Source!AV466)*Source!I466, 2), 2)</f>
        <v>0.04</v>
      </c>
      <c r="V520">
        <f>ROUND((168/100)*ROUND(Source!CS466*Source!I466, 2), 2)</f>
        <v>0.54</v>
      </c>
    </row>
    <row r="521" spans="1:27" x14ac:dyDescent="0.2">
      <c r="C521" s="29" t="str">
        <f>"Объем: "&amp;Source!I466&amp;"=2/"&amp;"100"</f>
        <v>Объем: 0,02=2/100</v>
      </c>
    </row>
    <row r="522" spans="1:27" ht="14.25" x14ac:dyDescent="0.2">
      <c r="A522" s="23"/>
      <c r="B522" s="24"/>
      <c r="C522" s="24" t="s">
        <v>890</v>
      </c>
      <c r="D522" s="25"/>
      <c r="E522" s="12"/>
      <c r="F522" s="27">
        <f>Source!AO466</f>
        <v>390</v>
      </c>
      <c r="G522" s="26" t="str">
        <f>Source!DG466</f>
        <v>)*1,15</v>
      </c>
      <c r="H522" s="12">
        <f>Source!AV466</f>
        <v>1</v>
      </c>
      <c r="I522" s="28">
        <f>ROUND((Source!AF466*Source!AV466)*Source!I466, 2)</f>
        <v>8.9700000000000006</v>
      </c>
      <c r="J522" s="12">
        <f>IF(Source!BA466&lt;&gt; 0, Source!BA466, 1)</f>
        <v>20.399999999999999</v>
      </c>
      <c r="K522" s="28">
        <f>Source!S466</f>
        <v>182.99</v>
      </c>
      <c r="W522">
        <f>I522</f>
        <v>8.9700000000000006</v>
      </c>
    </row>
    <row r="523" spans="1:27" ht="14.25" x14ac:dyDescent="0.2">
      <c r="A523" s="23"/>
      <c r="B523" s="24"/>
      <c r="C523" s="24" t="s">
        <v>891</v>
      </c>
      <c r="D523" s="25"/>
      <c r="E523" s="12"/>
      <c r="F523" s="27">
        <f>Source!AM466</f>
        <v>2.71</v>
      </c>
      <c r="G523" s="26" t="str">
        <f>Source!DE466</f>
        <v>)*1,25</v>
      </c>
      <c r="H523" s="12">
        <f>Source!AV466</f>
        <v>1</v>
      </c>
      <c r="I523" s="28">
        <f>ROUND((Source!AD466*Source!AV466)*Source!I466, 2)</f>
        <v>7.0000000000000007E-2</v>
      </c>
      <c r="J523" s="12">
        <f>IF(Source!BB466&lt;&gt; 0, Source!BB466, 1)</f>
        <v>8.89</v>
      </c>
      <c r="K523" s="28">
        <f>Source!Q466</f>
        <v>0.6</v>
      </c>
    </row>
    <row r="524" spans="1:27" ht="14.25" x14ac:dyDescent="0.2">
      <c r="A524" s="23"/>
      <c r="B524" s="24"/>
      <c r="C524" s="24" t="s">
        <v>892</v>
      </c>
      <c r="D524" s="25"/>
      <c r="E524" s="12"/>
      <c r="F524" s="27">
        <f>Source!AN466</f>
        <v>0.63</v>
      </c>
      <c r="G524" s="26" t="str">
        <f>Source!DF466</f>
        <v>)*1,25</v>
      </c>
      <c r="H524" s="12">
        <f>Source!AV466</f>
        <v>1</v>
      </c>
      <c r="I524" s="30">
        <f>ROUND((Source!AE466*Source!AV466)*Source!I466, 2)</f>
        <v>0.02</v>
      </c>
      <c r="J524" s="12">
        <f>IF(Source!BS466&lt;&gt; 0, Source!BS466, 1)</f>
        <v>20.399999999999999</v>
      </c>
      <c r="K524" s="30">
        <f>Source!R466</f>
        <v>0.32</v>
      </c>
      <c r="W524">
        <f>I524</f>
        <v>0.02</v>
      </c>
    </row>
    <row r="525" spans="1:27" ht="14.25" x14ac:dyDescent="0.2">
      <c r="A525" s="23"/>
      <c r="B525" s="24"/>
      <c r="C525" s="24" t="s">
        <v>899</v>
      </c>
      <c r="D525" s="25"/>
      <c r="E525" s="12"/>
      <c r="F525" s="27">
        <f>Source!AL466</f>
        <v>7.56</v>
      </c>
      <c r="G525" s="26" t="str">
        <f>Source!DD466</f>
        <v/>
      </c>
      <c r="H525" s="12">
        <f>Source!AW466</f>
        <v>1</v>
      </c>
      <c r="I525" s="28">
        <f>ROUND((Source!AC466*Source!AW466)*Source!I466, 2)</f>
        <v>0.15</v>
      </c>
      <c r="J525" s="12">
        <f>IF(Source!BC466&lt;&gt; 0, Source!BC466, 1)</f>
        <v>5.23</v>
      </c>
      <c r="K525" s="28">
        <f>Source!P466</f>
        <v>0.79</v>
      </c>
    </row>
    <row r="526" spans="1:27" ht="71.25" x14ac:dyDescent="0.2">
      <c r="A526" s="23" t="str">
        <f>Source!E468</f>
        <v>42,1</v>
      </c>
      <c r="B526" s="24" t="str">
        <f>Source!F468</f>
        <v>1.21-5-1266</v>
      </c>
      <c r="C526" s="24" t="str">
        <f>Source!G468</f>
        <v>Выключатели скрытой установки, серия "Селена", напряжение 250 В, номинальный ток 10 А, типа С110-395, одноклавишный, со светоиндикацией (16А,220В,ip20)</v>
      </c>
      <c r="D526" s="25" t="str">
        <f>Source!H468</f>
        <v>шт.</v>
      </c>
      <c r="E526" s="12">
        <f>Source!I468</f>
        <v>2</v>
      </c>
      <c r="F526" s="27">
        <f>Source!AK468</f>
        <v>13.57</v>
      </c>
      <c r="G526" s="31" t="s">
        <v>3</v>
      </c>
      <c r="H526" s="12">
        <f>Source!AW468</f>
        <v>1</v>
      </c>
      <c r="I526" s="28">
        <f>ROUND((Source!AC468*Source!AW468)*Source!I468, 2)+ROUND((Source!AD468*Source!AV468)*Source!I468, 2)+ROUND((Source!AF468*Source!AV468)*Source!I468, 2)</f>
        <v>27.14</v>
      </c>
      <c r="J526" s="12">
        <f>IF(Source!BC468&lt;&gt; 0, Source!BC468, 1)</f>
        <v>4.8099999999999996</v>
      </c>
      <c r="K526" s="28">
        <f>Source!O468</f>
        <v>130.54</v>
      </c>
      <c r="Q526">
        <f>ROUND((Source!DN468/100)*ROUND((Source!AF468*Source!AV468)*Source!I468, 2), 2)</f>
        <v>0</v>
      </c>
      <c r="R526">
        <f>Source!X468</f>
        <v>0</v>
      </c>
      <c r="S526">
        <f>ROUND((Source!DO468/100)*ROUND((Source!AF468*Source!AV468)*Source!I468, 2), 2)</f>
        <v>0</v>
      </c>
      <c r="T526">
        <f>Source!Y468</f>
        <v>0</v>
      </c>
      <c r="U526">
        <f>ROUND((175/100)*ROUND((Source!AE468*Source!AV468)*Source!I468, 2), 2)</f>
        <v>0</v>
      </c>
      <c r="V526">
        <f>ROUND((168/100)*ROUND(Source!CS468*Source!I468, 2), 2)</f>
        <v>0</v>
      </c>
      <c r="X526">
        <f>IF(Source!BI468&lt;=1,I526, 0)</f>
        <v>0</v>
      </c>
      <c r="Y526">
        <f>IF(Source!BI468=2,I526, 0)</f>
        <v>27.14</v>
      </c>
      <c r="Z526">
        <f>IF(Source!BI468=3,I526, 0)</f>
        <v>0</v>
      </c>
      <c r="AA526">
        <f>IF(Source!BI468=4,I526, 0)</f>
        <v>0</v>
      </c>
    </row>
    <row r="527" spans="1:27" ht="57" x14ac:dyDescent="0.2">
      <c r="A527" s="23" t="str">
        <f>Source!E470</f>
        <v>42,2</v>
      </c>
      <c r="B527" s="24" t="str">
        <f>Source!F470</f>
        <v>1.21-5-192</v>
      </c>
      <c r="C527" s="24" t="str">
        <f>Source!G470</f>
        <v>Коробки для установки выключателей, переключателей и штепсельных розеток при скрытой электропроводке, тип КУВ-1М УХЛЗ</v>
      </c>
      <c r="D527" s="25" t="str">
        <f>Source!H470</f>
        <v>1000 шт.</v>
      </c>
      <c r="E527" s="12">
        <f>Source!I470</f>
        <v>2E-3</v>
      </c>
      <c r="F527" s="27">
        <f>Source!AK470</f>
        <v>3907.01</v>
      </c>
      <c r="G527" s="31" t="s">
        <v>3</v>
      </c>
      <c r="H527" s="12">
        <f>Source!AW470</f>
        <v>1</v>
      </c>
      <c r="I527" s="28">
        <f>ROUND((Source!AC470*Source!AW470)*Source!I470, 2)+ROUND((Source!AD470*Source!AV470)*Source!I470, 2)+ROUND((Source!AF470*Source!AV470)*Source!I470, 2)</f>
        <v>7.81</v>
      </c>
      <c r="J527" s="12">
        <f>IF(Source!BC470&lt;&gt; 0, Source!BC470, 1)</f>
        <v>1.98</v>
      </c>
      <c r="K527" s="28">
        <f>Source!O470</f>
        <v>15.47</v>
      </c>
      <c r="Q527">
        <f>ROUND((Source!DN470/100)*ROUND((Source!AF470*Source!AV470)*Source!I470, 2), 2)</f>
        <v>0</v>
      </c>
      <c r="R527">
        <f>Source!X470</f>
        <v>0</v>
      </c>
      <c r="S527">
        <f>ROUND((Source!DO470/100)*ROUND((Source!AF470*Source!AV470)*Source!I470, 2), 2)</f>
        <v>0</v>
      </c>
      <c r="T527">
        <f>Source!Y470</f>
        <v>0</v>
      </c>
      <c r="U527">
        <f>ROUND((175/100)*ROUND((Source!AE470*Source!AV470)*Source!I470, 2), 2)</f>
        <v>0</v>
      </c>
      <c r="V527">
        <f>ROUND((168/100)*ROUND(Source!CS470*Source!I470, 2), 2)</f>
        <v>0</v>
      </c>
      <c r="X527">
        <f>IF(Source!BI470&lt;=1,I527, 0)</f>
        <v>0</v>
      </c>
      <c r="Y527">
        <f>IF(Source!BI470=2,I527, 0)</f>
        <v>7.81</v>
      </c>
      <c r="Z527">
        <f>IF(Source!BI470=3,I527, 0)</f>
        <v>0</v>
      </c>
      <c r="AA527">
        <f>IF(Source!BI470=4,I527, 0)</f>
        <v>0</v>
      </c>
    </row>
    <row r="528" spans="1:27" ht="14.25" x14ac:dyDescent="0.2">
      <c r="A528" s="23"/>
      <c r="B528" s="24"/>
      <c r="C528" s="24" t="s">
        <v>893</v>
      </c>
      <c r="D528" s="25" t="s">
        <v>894</v>
      </c>
      <c r="E528" s="12">
        <f>Source!DN466</f>
        <v>114</v>
      </c>
      <c r="F528" s="27"/>
      <c r="G528" s="26"/>
      <c r="H528" s="12"/>
      <c r="I528" s="28">
        <f>SUM(Q520:Q527)</f>
        <v>10.23</v>
      </c>
      <c r="J528" s="12">
        <f>Source!BZ466</f>
        <v>77</v>
      </c>
      <c r="K528" s="28">
        <f>SUM(R520:R527)</f>
        <v>140.9</v>
      </c>
    </row>
    <row r="529" spans="1:27" ht="14.25" x14ac:dyDescent="0.2">
      <c r="A529" s="23"/>
      <c r="B529" s="24"/>
      <c r="C529" s="24" t="s">
        <v>895</v>
      </c>
      <c r="D529" s="25" t="s">
        <v>894</v>
      </c>
      <c r="E529" s="12">
        <f>Source!DO466</f>
        <v>67</v>
      </c>
      <c r="F529" s="27"/>
      <c r="G529" s="26"/>
      <c r="H529" s="12"/>
      <c r="I529" s="28">
        <f>SUM(S520:S528)</f>
        <v>6.01</v>
      </c>
      <c r="J529" s="12">
        <f>Source!CA466</f>
        <v>41</v>
      </c>
      <c r="K529" s="28">
        <f>SUM(T520:T528)</f>
        <v>75.03</v>
      </c>
    </row>
    <row r="530" spans="1:27" ht="14.25" x14ac:dyDescent="0.2">
      <c r="A530" s="23"/>
      <c r="B530" s="24"/>
      <c r="C530" s="24" t="s">
        <v>896</v>
      </c>
      <c r="D530" s="25" t="s">
        <v>894</v>
      </c>
      <c r="E530" s="12">
        <f>175</f>
        <v>175</v>
      </c>
      <c r="F530" s="27"/>
      <c r="G530" s="26"/>
      <c r="H530" s="12"/>
      <c r="I530" s="28">
        <f>SUM(U520:U529)</f>
        <v>0.04</v>
      </c>
      <c r="J530" s="12">
        <f>168</f>
        <v>168</v>
      </c>
      <c r="K530" s="28">
        <f>SUM(V520:V529)</f>
        <v>0.54</v>
      </c>
    </row>
    <row r="531" spans="1:27" ht="14.25" x14ac:dyDescent="0.2">
      <c r="A531" s="23"/>
      <c r="B531" s="24"/>
      <c r="C531" s="24" t="s">
        <v>897</v>
      </c>
      <c r="D531" s="25" t="s">
        <v>898</v>
      </c>
      <c r="E531" s="12">
        <f>Source!AQ466</f>
        <v>30</v>
      </c>
      <c r="F531" s="27"/>
      <c r="G531" s="26" t="str">
        <f>Source!DI466</f>
        <v>)*1,15</v>
      </c>
      <c r="H531" s="12">
        <f>Source!AV466</f>
        <v>1</v>
      </c>
      <c r="I531" s="28">
        <f>Source!U466</f>
        <v>0.69000000000000006</v>
      </c>
      <c r="J531" s="12"/>
      <c r="K531" s="28"/>
    </row>
    <row r="532" spans="1:27" ht="15" x14ac:dyDescent="0.25">
      <c r="A532" s="33"/>
      <c r="B532" s="33"/>
      <c r="C532" s="33"/>
      <c r="D532" s="33"/>
      <c r="E532" s="33"/>
      <c r="F532" s="33"/>
      <c r="G532" s="33"/>
      <c r="H532" s="59">
        <f>I522+I523+I525+I528+I529+I530+SUM(I526:I527)</f>
        <v>60.42</v>
      </c>
      <c r="I532" s="59"/>
      <c r="J532" s="59">
        <f>K522+K523+K525+K528+K529+K530+SUM(K526:K527)</f>
        <v>546.8599999999999</v>
      </c>
      <c r="K532" s="59"/>
      <c r="O532" s="32">
        <f>I522+I523+I525+I528+I529+I530+SUM(I526:I527)</f>
        <v>60.42</v>
      </c>
      <c r="P532" s="32">
        <f>K522+K523+K525+K528+K529+K530+SUM(K526:K527)</f>
        <v>546.8599999999999</v>
      </c>
      <c r="X532">
        <f>IF(Source!BI466&lt;=1,I522+I523+I525+I528+I529+I530-0, 0)</f>
        <v>0</v>
      </c>
      <c r="Y532">
        <f>IF(Source!BI466=2,I522+I523+I525+I528+I529+I530-0, 0)</f>
        <v>25.47</v>
      </c>
      <c r="Z532">
        <f>IF(Source!BI466=3,I522+I523+I525+I528+I529+I530-0, 0)</f>
        <v>0</v>
      </c>
      <c r="AA532">
        <f>IF(Source!BI466=4,I522+I523+I525+I528+I529+I530,0)</f>
        <v>0</v>
      </c>
    </row>
    <row r="533" spans="1:27" ht="57" x14ac:dyDescent="0.2">
      <c r="A533" s="23" t="str">
        <f>Source!E472</f>
        <v>43</v>
      </c>
      <c r="B533" s="24" t="str">
        <f>Source!F472</f>
        <v>4.8-246-2</v>
      </c>
      <c r="C533" s="24" t="str">
        <f>Source!G472</f>
        <v>Светильники с люминесцентными лампами, светильник отдельно устанавливаемый на штырях с количеством ламп в светильнике 2</v>
      </c>
      <c r="D533" s="25" t="str">
        <f>Source!H472</f>
        <v>100 шт.</v>
      </c>
      <c r="E533" s="12">
        <f>Source!I472</f>
        <v>0.02</v>
      </c>
      <c r="F533" s="27"/>
      <c r="G533" s="26"/>
      <c r="H533" s="12"/>
      <c r="I533" s="28"/>
      <c r="J533" s="12"/>
      <c r="K533" s="28"/>
      <c r="Q533">
        <f>ROUND((Source!DN472/100)*ROUND((Source!AF472*Source!AV472)*Source!I472, 2), 2)</f>
        <v>45</v>
      </c>
      <c r="R533">
        <f>Source!X472</f>
        <v>619.97</v>
      </c>
      <c r="S533">
        <f>ROUND((Source!DO472/100)*ROUND((Source!AF472*Source!AV472)*Source!I472, 2), 2)</f>
        <v>26.44</v>
      </c>
      <c r="T533">
        <f>Source!Y472</f>
        <v>330.11</v>
      </c>
      <c r="U533">
        <f>ROUND((175/100)*ROUND((Source!AE472*Source!AV472)*Source!I472, 2), 2)</f>
        <v>2.12</v>
      </c>
      <c r="V533">
        <f>ROUND((168/100)*ROUND(Source!CS472*Source!I472, 2), 2)</f>
        <v>41.43</v>
      </c>
    </row>
    <row r="534" spans="1:27" x14ac:dyDescent="0.2">
      <c r="C534" s="29" t="str">
        <f>"Объем: "&amp;Source!I472&amp;"=2/"&amp;"100"</f>
        <v>Объем: 0,02=2/100</v>
      </c>
    </row>
    <row r="535" spans="1:27" ht="14.25" x14ac:dyDescent="0.2">
      <c r="A535" s="23"/>
      <c r="B535" s="24"/>
      <c r="C535" s="24" t="s">
        <v>890</v>
      </c>
      <c r="D535" s="25"/>
      <c r="E535" s="12"/>
      <c r="F535" s="27">
        <f>Source!AO472</f>
        <v>1716</v>
      </c>
      <c r="G535" s="26" t="str">
        <f>Source!DG472</f>
        <v>)*1,15</v>
      </c>
      <c r="H535" s="12">
        <f>Source!AV472</f>
        <v>1</v>
      </c>
      <c r="I535" s="28">
        <f>ROUND((Source!AF472*Source!AV472)*Source!I472, 2)</f>
        <v>39.47</v>
      </c>
      <c r="J535" s="12">
        <f>IF(Source!BA472&lt;&gt; 0, Source!BA472, 1)</f>
        <v>20.399999999999999</v>
      </c>
      <c r="K535" s="28">
        <f>Source!S472</f>
        <v>805.15</v>
      </c>
      <c r="W535">
        <f>I535</f>
        <v>39.47</v>
      </c>
    </row>
    <row r="536" spans="1:27" ht="14.25" x14ac:dyDescent="0.2">
      <c r="A536" s="23"/>
      <c r="B536" s="24"/>
      <c r="C536" s="24" t="s">
        <v>891</v>
      </c>
      <c r="D536" s="25"/>
      <c r="E536" s="12"/>
      <c r="F536" s="27">
        <f>Source!AM472</f>
        <v>208.26</v>
      </c>
      <c r="G536" s="26" t="str">
        <f>Source!DE472</f>
        <v>)*1,25</v>
      </c>
      <c r="H536" s="12">
        <f>Source!AV472</f>
        <v>1</v>
      </c>
      <c r="I536" s="28">
        <f>ROUND((Source!AD472*Source!AV472)*Source!I472, 2)</f>
        <v>5.21</v>
      </c>
      <c r="J536" s="12">
        <f>IF(Source!BB472&lt;&gt; 0, Source!BB472, 1)</f>
        <v>8.89</v>
      </c>
      <c r="K536" s="28">
        <f>Source!Q472</f>
        <v>46.29</v>
      </c>
    </row>
    <row r="537" spans="1:27" ht="14.25" x14ac:dyDescent="0.2">
      <c r="A537" s="23"/>
      <c r="B537" s="24"/>
      <c r="C537" s="24" t="s">
        <v>892</v>
      </c>
      <c r="D537" s="25"/>
      <c r="E537" s="12"/>
      <c r="F537" s="27">
        <f>Source!AN472</f>
        <v>48.36</v>
      </c>
      <c r="G537" s="26" t="str">
        <f>Source!DF472</f>
        <v>)*1,25</v>
      </c>
      <c r="H537" s="12">
        <f>Source!AV472</f>
        <v>1</v>
      </c>
      <c r="I537" s="30">
        <f>ROUND((Source!AE472*Source!AV472)*Source!I472, 2)</f>
        <v>1.21</v>
      </c>
      <c r="J537" s="12">
        <f>IF(Source!BS472&lt;&gt; 0, Source!BS472, 1)</f>
        <v>20.399999999999999</v>
      </c>
      <c r="K537" s="30">
        <f>Source!R472</f>
        <v>24.66</v>
      </c>
      <c r="W537">
        <f>I537</f>
        <v>1.21</v>
      </c>
    </row>
    <row r="538" spans="1:27" ht="14.25" x14ac:dyDescent="0.2">
      <c r="A538" s="23"/>
      <c r="B538" s="24"/>
      <c r="C538" s="24" t="s">
        <v>899</v>
      </c>
      <c r="D538" s="25"/>
      <c r="E538" s="12"/>
      <c r="F538" s="27">
        <f>Source!AL472</f>
        <v>301</v>
      </c>
      <c r="G538" s="26" t="str">
        <f>Source!DD472</f>
        <v/>
      </c>
      <c r="H538" s="12">
        <f>Source!AW472</f>
        <v>1</v>
      </c>
      <c r="I538" s="28">
        <f>ROUND((Source!AC472*Source!AW472)*Source!I472, 2)</f>
        <v>6.02</v>
      </c>
      <c r="J538" s="12">
        <f>IF(Source!BC472&lt;&gt; 0, Source!BC472, 1)</f>
        <v>5.23</v>
      </c>
      <c r="K538" s="28">
        <f>Source!P472</f>
        <v>31.48</v>
      </c>
    </row>
    <row r="539" spans="1:27" ht="57" x14ac:dyDescent="0.2">
      <c r="A539" s="23" t="str">
        <f>Source!E474</f>
        <v>43,1</v>
      </c>
      <c r="B539" s="24" t="str">
        <f>Source!F474</f>
        <v>1.22-1-106</v>
      </c>
      <c r="C539" s="24" t="str">
        <f>Source!G474</f>
        <v>Светильники с лампами накаливания, потолочные, степень защиты IP40, с опаловым рассеивателем, артикул RKL 2х60</v>
      </c>
      <c r="D539" s="25" t="str">
        <f>Source!H474</f>
        <v>шт.</v>
      </c>
      <c r="E539" s="12">
        <f>Source!I474</f>
        <v>2</v>
      </c>
      <c r="F539" s="27">
        <f>Source!AK474</f>
        <v>481.23</v>
      </c>
      <c r="G539" s="31" t="s">
        <v>3</v>
      </c>
      <c r="H539" s="12">
        <f>Source!AW474</f>
        <v>1</v>
      </c>
      <c r="I539" s="28">
        <f>ROUND((Source!AC474*Source!AW474)*Source!I474, 2)+ROUND((Source!AD474*Source!AV474)*Source!I474, 2)+ROUND((Source!AF474*Source!AV474)*Source!I474, 2)</f>
        <v>962.46</v>
      </c>
      <c r="J539" s="12">
        <f>IF(Source!BC474&lt;&gt; 0, Source!BC474, 1)</f>
        <v>3.89</v>
      </c>
      <c r="K539" s="28">
        <f>Source!O474</f>
        <v>3743.97</v>
      </c>
      <c r="Q539">
        <f>ROUND((Source!DN474/100)*ROUND((Source!AF474*Source!AV474)*Source!I474, 2), 2)</f>
        <v>0</v>
      </c>
      <c r="R539">
        <f>Source!X474</f>
        <v>0</v>
      </c>
      <c r="S539">
        <f>ROUND((Source!DO474/100)*ROUND((Source!AF474*Source!AV474)*Source!I474, 2), 2)</f>
        <v>0</v>
      </c>
      <c r="T539">
        <f>Source!Y474</f>
        <v>0</v>
      </c>
      <c r="U539">
        <f>ROUND((175/100)*ROUND((Source!AE474*Source!AV474)*Source!I474, 2), 2)</f>
        <v>0</v>
      </c>
      <c r="V539">
        <f>ROUND((168/100)*ROUND(Source!CS474*Source!I474, 2), 2)</f>
        <v>0</v>
      </c>
      <c r="X539">
        <f>IF(Source!BI474&lt;=1,I539, 0)</f>
        <v>0</v>
      </c>
      <c r="Y539">
        <f>IF(Source!BI474=2,I539, 0)</f>
        <v>962.46</v>
      </c>
      <c r="Z539">
        <f>IF(Source!BI474=3,I539, 0)</f>
        <v>0</v>
      </c>
      <c r="AA539">
        <f>IF(Source!BI474=4,I539, 0)</f>
        <v>0</v>
      </c>
    </row>
    <row r="540" spans="1:27" ht="14.25" x14ac:dyDescent="0.2">
      <c r="A540" s="23"/>
      <c r="B540" s="24"/>
      <c r="C540" s="24" t="s">
        <v>893</v>
      </c>
      <c r="D540" s="25" t="s">
        <v>894</v>
      </c>
      <c r="E540" s="12">
        <f>Source!DN472</f>
        <v>114</v>
      </c>
      <c r="F540" s="27"/>
      <c r="G540" s="26"/>
      <c r="H540" s="12"/>
      <c r="I540" s="28">
        <f>SUM(Q533:Q539)</f>
        <v>45</v>
      </c>
      <c r="J540" s="12">
        <f>Source!BZ472</f>
        <v>77</v>
      </c>
      <c r="K540" s="28">
        <f>SUM(R533:R539)</f>
        <v>619.97</v>
      </c>
    </row>
    <row r="541" spans="1:27" ht="14.25" x14ac:dyDescent="0.2">
      <c r="A541" s="23"/>
      <c r="B541" s="24"/>
      <c r="C541" s="24" t="s">
        <v>895</v>
      </c>
      <c r="D541" s="25" t="s">
        <v>894</v>
      </c>
      <c r="E541" s="12">
        <f>Source!DO472</f>
        <v>67</v>
      </c>
      <c r="F541" s="27"/>
      <c r="G541" s="26"/>
      <c r="H541" s="12"/>
      <c r="I541" s="28">
        <f>SUM(S533:S540)</f>
        <v>26.44</v>
      </c>
      <c r="J541" s="12">
        <f>Source!CA472</f>
        <v>41</v>
      </c>
      <c r="K541" s="28">
        <f>SUM(T533:T540)</f>
        <v>330.11</v>
      </c>
    </row>
    <row r="542" spans="1:27" ht="14.25" x14ac:dyDescent="0.2">
      <c r="A542" s="23"/>
      <c r="B542" s="24"/>
      <c r="C542" s="24" t="s">
        <v>896</v>
      </c>
      <c r="D542" s="25" t="s">
        <v>894</v>
      </c>
      <c r="E542" s="12">
        <f>175</f>
        <v>175</v>
      </c>
      <c r="F542" s="27"/>
      <c r="G542" s="26"/>
      <c r="H542" s="12"/>
      <c r="I542" s="28">
        <f>SUM(U533:U541)</f>
        <v>2.12</v>
      </c>
      <c r="J542" s="12">
        <f>168</f>
        <v>168</v>
      </c>
      <c r="K542" s="28">
        <f>SUM(V533:V541)</f>
        <v>41.43</v>
      </c>
    </row>
    <row r="543" spans="1:27" ht="14.25" x14ac:dyDescent="0.2">
      <c r="A543" s="23"/>
      <c r="B543" s="24"/>
      <c r="C543" s="24" t="s">
        <v>897</v>
      </c>
      <c r="D543" s="25" t="s">
        <v>898</v>
      </c>
      <c r="E543" s="12">
        <f>Source!AQ472</f>
        <v>132</v>
      </c>
      <c r="F543" s="27"/>
      <c r="G543" s="26" t="str">
        <f>Source!DI472</f>
        <v>)*1,15</v>
      </c>
      <c r="H543" s="12">
        <f>Source!AV472</f>
        <v>1</v>
      </c>
      <c r="I543" s="28">
        <f>Source!U472</f>
        <v>3.0359999999999996</v>
      </c>
      <c r="J543" s="12"/>
      <c r="K543" s="28"/>
    </row>
    <row r="544" spans="1:27" ht="15" x14ac:dyDescent="0.25">
      <c r="A544" s="33"/>
      <c r="B544" s="33"/>
      <c r="C544" s="33"/>
      <c r="D544" s="33"/>
      <c r="E544" s="33"/>
      <c r="F544" s="33"/>
      <c r="G544" s="33"/>
      <c r="H544" s="59">
        <f>I535+I536+I538+I540+I541+I542+SUM(I539:I539)</f>
        <v>1086.72</v>
      </c>
      <c r="I544" s="59"/>
      <c r="J544" s="59">
        <f>K535+K536+K538+K540+K541+K542+SUM(K539:K539)</f>
        <v>5618.4</v>
      </c>
      <c r="K544" s="59"/>
      <c r="O544" s="32">
        <f>I535+I536+I538+I540+I541+I542+SUM(I539:I539)</f>
        <v>1086.72</v>
      </c>
      <c r="P544" s="32">
        <f>K535+K536+K538+K540+K541+K542+SUM(K539:K539)</f>
        <v>5618.4</v>
      </c>
      <c r="X544">
        <f>IF(Source!BI472&lt;=1,I535+I536+I538+I540+I541+I542-0, 0)</f>
        <v>0</v>
      </c>
      <c r="Y544">
        <f>IF(Source!BI472=2,I535+I536+I538+I540+I541+I542-0, 0)</f>
        <v>124.26</v>
      </c>
      <c r="Z544">
        <f>IF(Source!BI472=3,I535+I536+I538+I540+I541+I542-0, 0)</f>
        <v>0</v>
      </c>
      <c r="AA544">
        <f>IF(Source!BI472=4,I535+I536+I538+I540+I541+I542,0)</f>
        <v>0</v>
      </c>
    </row>
    <row r="545" spans="1:27" ht="57" x14ac:dyDescent="0.2">
      <c r="A545" s="23" t="str">
        <f>Source!E476</f>
        <v>44</v>
      </c>
      <c r="B545" s="24" t="str">
        <f>Source!F476</f>
        <v>4.8-246-3</v>
      </c>
      <c r="C545" s="24" t="str">
        <f>Source!G476</f>
        <v>Светильники с люминесцентными лампами, светильник отдельно устанавливаемый на штырях с количеством ламп в светильнике до 4</v>
      </c>
      <c r="D545" s="25" t="str">
        <f>Source!H476</f>
        <v>100 шт.</v>
      </c>
      <c r="E545" s="12">
        <f>Source!I476</f>
        <v>0.01</v>
      </c>
      <c r="F545" s="27"/>
      <c r="G545" s="26"/>
      <c r="H545" s="12"/>
      <c r="I545" s="28"/>
      <c r="J545" s="12"/>
      <c r="K545" s="28"/>
      <c r="Q545">
        <f>ROUND((Source!DN476/100)*ROUND((Source!AF476*Source!AV476)*Source!I476, 2), 2)</f>
        <v>29.1</v>
      </c>
      <c r="R545">
        <f>Source!X476</f>
        <v>401.1</v>
      </c>
      <c r="S545">
        <f>ROUND((Source!DO476/100)*ROUND((Source!AF476*Source!AV476)*Source!I476, 2), 2)</f>
        <v>17.11</v>
      </c>
      <c r="T545">
        <f>Source!Y476</f>
        <v>213.57</v>
      </c>
      <c r="U545">
        <f>ROUND((175/100)*ROUND((Source!AE476*Source!AV476)*Source!I476, 2), 2)</f>
        <v>1.59</v>
      </c>
      <c r="V545">
        <f>ROUND((168/100)*ROUND(Source!CS476*Source!I476, 2), 2)</f>
        <v>31.25</v>
      </c>
    </row>
    <row r="546" spans="1:27" x14ac:dyDescent="0.2">
      <c r="C546" s="29" t="str">
        <f>"Объем: "&amp;Source!I476&amp;"=1/"&amp;"100"</f>
        <v>Объем: 0,01=1/100</v>
      </c>
    </row>
    <row r="547" spans="1:27" ht="14.25" x14ac:dyDescent="0.2">
      <c r="A547" s="23"/>
      <c r="B547" s="24"/>
      <c r="C547" s="24" t="s">
        <v>890</v>
      </c>
      <c r="D547" s="25"/>
      <c r="E547" s="12"/>
      <c r="F547" s="27">
        <f>Source!AO476</f>
        <v>2220.4</v>
      </c>
      <c r="G547" s="26" t="str">
        <f>Source!DG476</f>
        <v>)*1,15</v>
      </c>
      <c r="H547" s="12">
        <f>Source!AV476</f>
        <v>1</v>
      </c>
      <c r="I547" s="28">
        <f>ROUND((Source!AF476*Source!AV476)*Source!I476, 2)</f>
        <v>25.53</v>
      </c>
      <c r="J547" s="12">
        <f>IF(Source!BA476&lt;&gt; 0, Source!BA476, 1)</f>
        <v>20.399999999999999</v>
      </c>
      <c r="K547" s="28">
        <f>Source!S476</f>
        <v>520.91</v>
      </c>
      <c r="W547">
        <f>I547</f>
        <v>25.53</v>
      </c>
    </row>
    <row r="548" spans="1:27" ht="14.25" x14ac:dyDescent="0.2">
      <c r="A548" s="23"/>
      <c r="B548" s="24"/>
      <c r="C548" s="24" t="s">
        <v>891</v>
      </c>
      <c r="D548" s="25"/>
      <c r="E548" s="12"/>
      <c r="F548" s="27">
        <f>Source!AM476</f>
        <v>314.08999999999997</v>
      </c>
      <c r="G548" s="26" t="str">
        <f>Source!DE476</f>
        <v>)*1,25</v>
      </c>
      <c r="H548" s="12">
        <f>Source!AV476</f>
        <v>1</v>
      </c>
      <c r="I548" s="28">
        <f>ROUND((Source!AD476*Source!AV476)*Source!I476, 2)</f>
        <v>3.93</v>
      </c>
      <c r="J548" s="12">
        <f>IF(Source!BB476&lt;&gt; 0, Source!BB476, 1)</f>
        <v>8.89</v>
      </c>
      <c r="K548" s="28">
        <f>Source!Q476</f>
        <v>34.9</v>
      </c>
    </row>
    <row r="549" spans="1:27" ht="14.25" x14ac:dyDescent="0.2">
      <c r="A549" s="23"/>
      <c r="B549" s="24"/>
      <c r="C549" s="24" t="s">
        <v>892</v>
      </c>
      <c r="D549" s="25"/>
      <c r="E549" s="12"/>
      <c r="F549" s="27">
        <f>Source!AN476</f>
        <v>72.94</v>
      </c>
      <c r="G549" s="26" t="str">
        <f>Source!DF476</f>
        <v>)*1,25</v>
      </c>
      <c r="H549" s="12">
        <f>Source!AV476</f>
        <v>1</v>
      </c>
      <c r="I549" s="30">
        <f>ROUND((Source!AE476*Source!AV476)*Source!I476, 2)</f>
        <v>0.91</v>
      </c>
      <c r="J549" s="12">
        <f>IF(Source!BS476&lt;&gt; 0, Source!BS476, 1)</f>
        <v>20.399999999999999</v>
      </c>
      <c r="K549" s="30">
        <f>Source!R476</f>
        <v>18.600000000000001</v>
      </c>
      <c r="W549">
        <f>I549</f>
        <v>0.91</v>
      </c>
    </row>
    <row r="550" spans="1:27" ht="14.25" x14ac:dyDescent="0.2">
      <c r="A550" s="23"/>
      <c r="B550" s="24"/>
      <c r="C550" s="24" t="s">
        <v>899</v>
      </c>
      <c r="D550" s="25"/>
      <c r="E550" s="12"/>
      <c r="F550" s="27">
        <f>Source!AL476</f>
        <v>301</v>
      </c>
      <c r="G550" s="26" t="str">
        <f>Source!DD476</f>
        <v/>
      </c>
      <c r="H550" s="12">
        <f>Source!AW476</f>
        <v>1</v>
      </c>
      <c r="I550" s="28">
        <f>ROUND((Source!AC476*Source!AW476)*Source!I476, 2)</f>
        <v>3.01</v>
      </c>
      <c r="J550" s="12">
        <f>IF(Source!BC476&lt;&gt; 0, Source!BC476, 1)</f>
        <v>5.23</v>
      </c>
      <c r="K550" s="28">
        <f>Source!P476</f>
        <v>15.74</v>
      </c>
    </row>
    <row r="551" spans="1:27" ht="85.5" x14ac:dyDescent="0.2">
      <c r="A551" s="23" t="str">
        <f>Source!E478</f>
        <v>44,1</v>
      </c>
      <c r="B551" s="24" t="str">
        <f>Source!F478</f>
        <v>1.22-3-203</v>
      </c>
      <c r="C551" s="24" t="str">
        <f>Source!G478</f>
        <v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v>
      </c>
      <c r="D551" s="25" t="str">
        <f>Source!H478</f>
        <v>шт.</v>
      </c>
      <c r="E551" s="12">
        <f>Source!I478</f>
        <v>1</v>
      </c>
      <c r="F551" s="27">
        <f>Source!AK478</f>
        <v>4721.68</v>
      </c>
      <c r="G551" s="31" t="s">
        <v>3</v>
      </c>
      <c r="H551" s="12">
        <f>Source!AW478</f>
        <v>1</v>
      </c>
      <c r="I551" s="28">
        <f>ROUND((Source!AC478*Source!AW478)*Source!I478, 2)+ROUND((Source!AD478*Source!AV478)*Source!I478, 2)+ROUND((Source!AF478*Source!AV478)*Source!I478, 2)</f>
        <v>4721.68</v>
      </c>
      <c r="J551" s="12">
        <f>IF(Source!BC478&lt;&gt; 0, Source!BC478, 1)</f>
        <v>2.31</v>
      </c>
      <c r="K551" s="28">
        <f>Source!O478</f>
        <v>10907.08</v>
      </c>
      <c r="Q551">
        <f>ROUND((Source!DN478/100)*ROUND((Source!AF478*Source!AV478)*Source!I478, 2), 2)</f>
        <v>0</v>
      </c>
      <c r="R551">
        <f>Source!X478</f>
        <v>0</v>
      </c>
      <c r="S551">
        <f>ROUND((Source!DO478/100)*ROUND((Source!AF478*Source!AV478)*Source!I478, 2), 2)</f>
        <v>0</v>
      </c>
      <c r="T551">
        <f>Source!Y478</f>
        <v>0</v>
      </c>
      <c r="U551">
        <f>ROUND((175/100)*ROUND((Source!AE478*Source!AV478)*Source!I478, 2), 2)</f>
        <v>0</v>
      </c>
      <c r="V551">
        <f>ROUND((168/100)*ROUND(Source!CS478*Source!I478, 2), 2)</f>
        <v>0</v>
      </c>
      <c r="X551">
        <f>IF(Source!BI478&lt;=1,I551, 0)</f>
        <v>0</v>
      </c>
      <c r="Y551">
        <f>IF(Source!BI478=2,I551, 0)</f>
        <v>4721.68</v>
      </c>
      <c r="Z551">
        <f>IF(Source!BI478=3,I551, 0)</f>
        <v>0</v>
      </c>
      <c r="AA551">
        <f>IF(Source!BI478=4,I551, 0)</f>
        <v>0</v>
      </c>
    </row>
    <row r="552" spans="1:27" ht="28.5" x14ac:dyDescent="0.2">
      <c r="A552" s="23" t="str">
        <f>Source!E480</f>
        <v>44,2</v>
      </c>
      <c r="B552" s="24" t="str">
        <f>Source!F480</f>
        <v>1.21-5-1007</v>
      </c>
      <c r="C552" s="24" t="str">
        <f>Source!G480</f>
        <v>Фотовыключатели, тип ФР-7Н УХЛ, фотореле</v>
      </c>
      <c r="D552" s="25" t="str">
        <f>Source!H480</f>
        <v>шт.</v>
      </c>
      <c r="E552" s="12">
        <f>Source!I480</f>
        <v>1</v>
      </c>
      <c r="F552" s="27">
        <f>Source!AK480</f>
        <v>193.54</v>
      </c>
      <c r="G552" s="31" t="s">
        <v>3</v>
      </c>
      <c r="H552" s="12">
        <f>Source!AW480</f>
        <v>1</v>
      </c>
      <c r="I552" s="28">
        <f>ROUND((Source!AC480*Source!AW480)*Source!I480, 2)+ROUND((Source!AD480*Source!AV480)*Source!I480, 2)+ROUND((Source!AF480*Source!AV480)*Source!I480, 2)</f>
        <v>193.54</v>
      </c>
      <c r="J552" s="12">
        <f>IF(Source!BC480&lt;&gt; 0, Source!BC480, 1)</f>
        <v>5.2</v>
      </c>
      <c r="K552" s="28">
        <f>Source!O480</f>
        <v>1006.41</v>
      </c>
      <c r="Q552">
        <f>ROUND((Source!DN480/100)*ROUND((Source!AF480*Source!AV480)*Source!I480, 2), 2)</f>
        <v>0</v>
      </c>
      <c r="R552">
        <f>Source!X480</f>
        <v>0</v>
      </c>
      <c r="S552">
        <f>ROUND((Source!DO480/100)*ROUND((Source!AF480*Source!AV480)*Source!I480, 2), 2)</f>
        <v>0</v>
      </c>
      <c r="T552">
        <f>Source!Y480</f>
        <v>0</v>
      </c>
      <c r="U552">
        <f>ROUND((175/100)*ROUND((Source!AE480*Source!AV480)*Source!I480, 2), 2)</f>
        <v>0</v>
      </c>
      <c r="V552">
        <f>ROUND((168/100)*ROUND(Source!CS480*Source!I480, 2), 2)</f>
        <v>0</v>
      </c>
      <c r="X552">
        <f>IF(Source!BI480&lt;=1,I552, 0)</f>
        <v>0</v>
      </c>
      <c r="Y552">
        <f>IF(Source!BI480=2,I552, 0)</f>
        <v>193.54</v>
      </c>
      <c r="Z552">
        <f>IF(Source!BI480=3,I552, 0)</f>
        <v>0</v>
      </c>
      <c r="AA552">
        <f>IF(Source!BI480=4,I552, 0)</f>
        <v>0</v>
      </c>
    </row>
    <row r="553" spans="1:27" ht="14.25" x14ac:dyDescent="0.2">
      <c r="A553" s="23"/>
      <c r="B553" s="24"/>
      <c r="C553" s="24" t="s">
        <v>893</v>
      </c>
      <c r="D553" s="25" t="s">
        <v>894</v>
      </c>
      <c r="E553" s="12">
        <f>Source!DN476</f>
        <v>114</v>
      </c>
      <c r="F553" s="27"/>
      <c r="G553" s="26"/>
      <c r="H553" s="12"/>
      <c r="I553" s="28">
        <f>SUM(Q545:Q552)</f>
        <v>29.1</v>
      </c>
      <c r="J553" s="12">
        <f>Source!BZ476</f>
        <v>77</v>
      </c>
      <c r="K553" s="28">
        <f>SUM(R545:R552)</f>
        <v>401.1</v>
      </c>
    </row>
    <row r="554" spans="1:27" ht="14.25" x14ac:dyDescent="0.2">
      <c r="A554" s="23"/>
      <c r="B554" s="24"/>
      <c r="C554" s="24" t="s">
        <v>895</v>
      </c>
      <c r="D554" s="25" t="s">
        <v>894</v>
      </c>
      <c r="E554" s="12">
        <f>Source!DO476</f>
        <v>67</v>
      </c>
      <c r="F554" s="27"/>
      <c r="G554" s="26"/>
      <c r="H554" s="12"/>
      <c r="I554" s="28">
        <f>SUM(S545:S553)</f>
        <v>17.11</v>
      </c>
      <c r="J554" s="12">
        <f>Source!CA476</f>
        <v>41</v>
      </c>
      <c r="K554" s="28">
        <f>SUM(T545:T553)</f>
        <v>213.57</v>
      </c>
    </row>
    <row r="555" spans="1:27" ht="14.25" x14ac:dyDescent="0.2">
      <c r="A555" s="23"/>
      <c r="B555" s="24"/>
      <c r="C555" s="24" t="s">
        <v>896</v>
      </c>
      <c r="D555" s="25" t="s">
        <v>894</v>
      </c>
      <c r="E555" s="12">
        <f>175</f>
        <v>175</v>
      </c>
      <c r="F555" s="27"/>
      <c r="G555" s="26"/>
      <c r="H555" s="12"/>
      <c r="I555" s="28">
        <f>SUM(U545:U554)</f>
        <v>1.59</v>
      </c>
      <c r="J555" s="12">
        <f>168</f>
        <v>168</v>
      </c>
      <c r="K555" s="28">
        <f>SUM(V545:V554)</f>
        <v>31.25</v>
      </c>
    </row>
    <row r="556" spans="1:27" ht="14.25" x14ac:dyDescent="0.2">
      <c r="A556" s="23"/>
      <c r="B556" s="24"/>
      <c r="C556" s="24" t="s">
        <v>897</v>
      </c>
      <c r="D556" s="25" t="s">
        <v>898</v>
      </c>
      <c r="E556" s="12">
        <f>Source!AQ476</f>
        <v>170.8</v>
      </c>
      <c r="F556" s="27"/>
      <c r="G556" s="26" t="str">
        <f>Source!DI476</f>
        <v>)*1,15</v>
      </c>
      <c r="H556" s="12">
        <f>Source!AV476</f>
        <v>1</v>
      </c>
      <c r="I556" s="28">
        <f>Source!U476</f>
        <v>1.9641999999999999</v>
      </c>
      <c r="J556" s="12"/>
      <c r="K556" s="28"/>
    </row>
    <row r="557" spans="1:27" ht="15" x14ac:dyDescent="0.25">
      <c r="A557" s="33"/>
      <c r="B557" s="33"/>
      <c r="C557" s="33"/>
      <c r="D557" s="33"/>
      <c r="E557" s="33"/>
      <c r="F557" s="33"/>
      <c r="G557" s="33"/>
      <c r="H557" s="59">
        <f>I547+I548+I550+I553+I554+I555+SUM(I551:I552)</f>
        <v>4995.4900000000007</v>
      </c>
      <c r="I557" s="59"/>
      <c r="J557" s="59">
        <f>K547+K548+K550+K553+K554+K555+SUM(K551:K552)</f>
        <v>13130.96</v>
      </c>
      <c r="K557" s="59"/>
      <c r="O557" s="32">
        <f>I547+I548+I550+I553+I554+I555+SUM(I551:I552)</f>
        <v>4995.4900000000007</v>
      </c>
      <c r="P557" s="32">
        <f>K547+K548+K550+K553+K554+K555+SUM(K551:K552)</f>
        <v>13130.96</v>
      </c>
      <c r="X557">
        <f>IF(Source!BI476&lt;=1,I547+I548+I550+I553+I554+I555-0, 0)</f>
        <v>0</v>
      </c>
      <c r="Y557">
        <f>IF(Source!BI476=2,I547+I548+I550+I553+I554+I555-0, 0)</f>
        <v>80.27000000000001</v>
      </c>
      <c r="Z557">
        <f>IF(Source!BI476=3,I547+I548+I550+I553+I554+I555-0, 0)</f>
        <v>0</v>
      </c>
      <c r="AA557">
        <f>IF(Source!BI476=4,I547+I548+I550+I553+I554+I555,0)</f>
        <v>0</v>
      </c>
    </row>
    <row r="559" spans="1:27" ht="15" x14ac:dyDescent="0.25">
      <c r="A559" s="57" t="str">
        <f>CONCATENATE("Итого по подразделу: ",IF(Source!G482&lt;&gt;"Новый подраздел", Source!G482, ""))</f>
        <v>Итого по подразделу: Электромонтажные работы</v>
      </c>
      <c r="B559" s="57"/>
      <c r="C559" s="57"/>
      <c r="D559" s="57"/>
      <c r="E559" s="57"/>
      <c r="F559" s="57"/>
      <c r="G559" s="57"/>
      <c r="H559" s="55">
        <f>SUM(O493:O558)</f>
        <v>8308.2000000000007</v>
      </c>
      <c r="I559" s="56"/>
      <c r="J559" s="55">
        <f>SUM(P493:P558)</f>
        <v>33535.56</v>
      </c>
      <c r="K559" s="56"/>
    </row>
    <row r="560" spans="1:27" ht="15" hidden="1" x14ac:dyDescent="0.25">
      <c r="A560" s="57" t="s">
        <v>900</v>
      </c>
      <c r="B560" s="57"/>
      <c r="C560" s="57"/>
      <c r="D560" s="57"/>
      <c r="E560" s="57"/>
      <c r="F560" s="57"/>
      <c r="G560" s="57"/>
      <c r="H560" s="55">
        <f>SUM(AC493:AC559)</f>
        <v>0</v>
      </c>
      <c r="I560" s="56"/>
      <c r="J560" s="55">
        <f>SUM(AD493:AD559)</f>
        <v>0</v>
      </c>
      <c r="K560" s="56"/>
    </row>
    <row r="562" spans="1:27" ht="15" x14ac:dyDescent="0.25">
      <c r="A562" s="57" t="str">
        <f>CONCATENATE("Итого по разделу: ",IF(Source!G511&lt;&gt;"Новый раздел", Source!G511, ""))</f>
        <v>Итого по разделу: Монтажные работы</v>
      </c>
      <c r="B562" s="57"/>
      <c r="C562" s="57"/>
      <c r="D562" s="57"/>
      <c r="E562" s="57"/>
      <c r="F562" s="57"/>
      <c r="G562" s="57"/>
      <c r="H562" s="55">
        <f>SUM(O178:O561)</f>
        <v>90257.780000000042</v>
      </c>
      <c r="I562" s="56"/>
      <c r="J562" s="55">
        <f>SUM(P178:P561)</f>
        <v>321118.24000000011</v>
      </c>
      <c r="K562" s="56"/>
    </row>
    <row r="563" spans="1:27" ht="15" hidden="1" x14ac:dyDescent="0.25">
      <c r="A563" s="57" t="s">
        <v>900</v>
      </c>
      <c r="B563" s="57"/>
      <c r="C563" s="57"/>
      <c r="D563" s="57"/>
      <c r="E563" s="57"/>
      <c r="F563" s="57"/>
      <c r="G563" s="57"/>
      <c r="H563" s="55">
        <f>SUM(AC178:AC562)</f>
        <v>0</v>
      </c>
      <c r="I563" s="56"/>
      <c r="J563" s="55">
        <f>SUM(AD178:AD562)</f>
        <v>0</v>
      </c>
      <c r="K563" s="56"/>
    </row>
    <row r="565" spans="1:27" ht="16.5" x14ac:dyDescent="0.25">
      <c r="A565" s="60" t="str">
        <f>CONCATENATE("Раздел: ",IF(Source!G540&lt;&gt;"Новый раздел", Source!G540, ""))</f>
        <v>Раздел: Оборудование</v>
      </c>
      <c r="B565" s="60"/>
      <c r="C565" s="60"/>
      <c r="D565" s="60"/>
      <c r="E565" s="60"/>
      <c r="F565" s="60"/>
      <c r="G565" s="60"/>
      <c r="H565" s="60"/>
      <c r="I565" s="60"/>
      <c r="J565" s="60"/>
      <c r="K565" s="60"/>
    </row>
    <row r="566" spans="1:27" ht="54" x14ac:dyDescent="0.2">
      <c r="A566" s="23" t="str">
        <f>Source!E545</f>
        <v>45</v>
      </c>
      <c r="B566" s="24" t="str">
        <f>Source!F545</f>
        <v>цена поставщиеп</v>
      </c>
      <c r="C566" s="24" t="s">
        <v>909</v>
      </c>
      <c r="D566" s="25" t="str">
        <f>Source!H545</f>
        <v>шт.</v>
      </c>
      <c r="E566" s="12">
        <f>Source!I545</f>
        <v>1</v>
      </c>
      <c r="F566" s="27">
        <f>Source!AL545</f>
        <v>46264.97</v>
      </c>
      <c r="G566" s="26" t="str">
        <f>Source!DD545</f>
        <v/>
      </c>
      <c r="H566" s="12">
        <f>Source!AW545</f>
        <v>1</v>
      </c>
      <c r="I566" s="28">
        <f>ROUND((Source!AC545*Source!AW545)*Source!I545, 2)</f>
        <v>46264.97</v>
      </c>
      <c r="J566" s="12">
        <f>IF(Source!BC545&lt;&gt; 0, Source!BC545, 1)</f>
        <v>4.17</v>
      </c>
      <c r="K566" s="28">
        <f>Source!P545</f>
        <v>192924.92</v>
      </c>
      <c r="Q566">
        <f>ROUND((Source!DN545/100)*ROUND((Source!AF545*Source!AV545)*Source!I545, 2), 2)</f>
        <v>0</v>
      </c>
      <c r="R566">
        <f>Source!X545</f>
        <v>0</v>
      </c>
      <c r="S566">
        <f>ROUND((Source!DO545/100)*ROUND((Source!AF545*Source!AV545)*Source!I545, 2), 2)</f>
        <v>0</v>
      </c>
      <c r="T566">
        <f>Source!Y545</f>
        <v>0</v>
      </c>
      <c r="U566">
        <f>ROUND((175/100)*ROUND((Source!AE545*Source!AV545)*Source!I545, 2), 2)</f>
        <v>0</v>
      </c>
      <c r="V566">
        <f>ROUND((168/100)*ROUND(Source!CS545*Source!I545, 2), 2)</f>
        <v>0</v>
      </c>
    </row>
    <row r="567" spans="1:27" ht="15" x14ac:dyDescent="0.25">
      <c r="A567" s="33"/>
      <c r="B567" s="33"/>
      <c r="C567" s="33"/>
      <c r="D567" s="33"/>
      <c r="E567" s="33"/>
      <c r="F567" s="33"/>
      <c r="G567" s="33"/>
      <c r="H567" s="59">
        <f>I566</f>
        <v>46264.97</v>
      </c>
      <c r="I567" s="59"/>
      <c r="J567" s="59">
        <f>K566</f>
        <v>192924.92</v>
      </c>
      <c r="K567" s="59"/>
      <c r="O567" s="32">
        <f>I566</f>
        <v>46264.97</v>
      </c>
      <c r="P567" s="32">
        <f>K566</f>
        <v>192924.92</v>
      </c>
      <c r="X567">
        <f>IF(Source!BI545&lt;=1,I566-0, 0)</f>
        <v>0</v>
      </c>
      <c r="Y567">
        <f>IF(Source!BI545=2,I566-0, 0)</f>
        <v>0</v>
      </c>
      <c r="Z567">
        <f>IF(Source!BI545=3,I566-0, 0)</f>
        <v>46264.97</v>
      </c>
      <c r="AA567">
        <f>IF(Source!BI545=4,I566,0)</f>
        <v>0</v>
      </c>
    </row>
    <row r="568" spans="1:27" ht="42.75" x14ac:dyDescent="0.2">
      <c r="A568" s="23" t="str">
        <f>Source!E547</f>
        <v>46</v>
      </c>
      <c r="B568" s="24" t="str">
        <f>Source!F547</f>
        <v>цена поставщика</v>
      </c>
      <c r="C568" s="24" t="s">
        <v>910</v>
      </c>
      <c r="D568" s="25" t="str">
        <f>Source!H547</f>
        <v>шт.</v>
      </c>
      <c r="E568" s="12">
        <f>Source!I547</f>
        <v>1</v>
      </c>
      <c r="F568" s="27">
        <f>Source!AL547</f>
        <v>463.71000000000004</v>
      </c>
      <c r="G568" s="26" t="str">
        <f>Source!DD547</f>
        <v/>
      </c>
      <c r="H568" s="12">
        <f>Source!AW547</f>
        <v>1</v>
      </c>
      <c r="I568" s="28">
        <f>ROUND((Source!AC547*Source!AW547)*Source!I547, 2)</f>
        <v>463.71</v>
      </c>
      <c r="J568" s="12">
        <f>IF(Source!BC547&lt;&gt; 0, Source!BC547, 1)</f>
        <v>4.17</v>
      </c>
      <c r="K568" s="28">
        <f>Source!P547</f>
        <v>1933.67</v>
      </c>
      <c r="Q568">
        <f>ROUND((Source!DN547/100)*ROUND((Source!AF547*Source!AV547)*Source!I547, 2), 2)</f>
        <v>0</v>
      </c>
      <c r="R568">
        <f>Source!X547</f>
        <v>0</v>
      </c>
      <c r="S568">
        <f>ROUND((Source!DO547/100)*ROUND((Source!AF547*Source!AV547)*Source!I547, 2), 2)</f>
        <v>0</v>
      </c>
      <c r="T568">
        <f>Source!Y547</f>
        <v>0</v>
      </c>
      <c r="U568">
        <f>ROUND((175/100)*ROUND((Source!AE547*Source!AV547)*Source!I547, 2), 2)</f>
        <v>0</v>
      </c>
      <c r="V568">
        <f>ROUND((168/100)*ROUND(Source!CS547*Source!I547, 2), 2)</f>
        <v>0</v>
      </c>
    </row>
    <row r="569" spans="1:27" ht="15" x14ac:dyDescent="0.25">
      <c r="A569" s="33"/>
      <c r="B569" s="33"/>
      <c r="C569" s="33"/>
      <c r="D569" s="33"/>
      <c r="E569" s="33"/>
      <c r="F569" s="33"/>
      <c r="G569" s="33"/>
      <c r="H569" s="59">
        <f>I568</f>
        <v>463.71</v>
      </c>
      <c r="I569" s="59"/>
      <c r="J569" s="59">
        <f>K568</f>
        <v>1933.67</v>
      </c>
      <c r="K569" s="59"/>
      <c r="O569" s="32">
        <f>I568</f>
        <v>463.71</v>
      </c>
      <c r="P569" s="32">
        <f>K568</f>
        <v>1933.67</v>
      </c>
      <c r="X569">
        <f>IF(Source!BI547&lt;=1,I568-0, 0)</f>
        <v>0</v>
      </c>
      <c r="Y569">
        <f>IF(Source!BI547=2,I568-0, 0)</f>
        <v>0</v>
      </c>
      <c r="Z569">
        <f>IF(Source!BI547=3,I568-0, 0)</f>
        <v>463.71</v>
      </c>
      <c r="AA569">
        <f>IF(Source!BI547=4,I568,0)</f>
        <v>0</v>
      </c>
    </row>
    <row r="570" spans="1:27" ht="54" x14ac:dyDescent="0.2">
      <c r="A570" s="23" t="str">
        <f>Source!E549</f>
        <v>47</v>
      </c>
      <c r="B570" s="24" t="str">
        <f>Source!F549</f>
        <v>цена поставщика</v>
      </c>
      <c r="C570" s="24" t="s">
        <v>911</v>
      </c>
      <c r="D570" s="25" t="str">
        <f>Source!H549</f>
        <v>шт.</v>
      </c>
      <c r="E570" s="12">
        <f>Source!I549</f>
        <v>2</v>
      </c>
      <c r="F570" s="27">
        <f>Source!AL549</f>
        <v>620.25</v>
      </c>
      <c r="G570" s="26" t="str">
        <f>Source!DD549</f>
        <v/>
      </c>
      <c r="H570" s="12">
        <f>Source!AW549</f>
        <v>1</v>
      </c>
      <c r="I570" s="28">
        <f>ROUND((Source!AC549*Source!AW549)*Source!I549, 2)</f>
        <v>1240.5</v>
      </c>
      <c r="J570" s="12">
        <f>IF(Source!BC549&lt;&gt; 0, Source!BC549, 1)</f>
        <v>4.17</v>
      </c>
      <c r="K570" s="28">
        <f>Source!P549</f>
        <v>5172.8900000000003</v>
      </c>
      <c r="Q570">
        <f>ROUND((Source!DN549/100)*ROUND((Source!AF549*Source!AV549)*Source!I549, 2), 2)</f>
        <v>0</v>
      </c>
      <c r="R570">
        <f>Source!X549</f>
        <v>0</v>
      </c>
      <c r="S570">
        <f>ROUND((Source!DO549/100)*ROUND((Source!AF549*Source!AV549)*Source!I549, 2), 2)</f>
        <v>0</v>
      </c>
      <c r="T570">
        <f>Source!Y549</f>
        <v>0</v>
      </c>
      <c r="U570">
        <f>ROUND((175/100)*ROUND((Source!AE549*Source!AV549)*Source!I549, 2), 2)</f>
        <v>0</v>
      </c>
      <c r="V570">
        <f>ROUND((168/100)*ROUND(Source!CS549*Source!I549, 2), 2)</f>
        <v>0</v>
      </c>
    </row>
    <row r="571" spans="1:27" ht="15" x14ac:dyDescent="0.25">
      <c r="A571" s="33"/>
      <c r="B571" s="33"/>
      <c r="C571" s="33"/>
      <c r="D571" s="33"/>
      <c r="E571" s="33"/>
      <c r="F571" s="33"/>
      <c r="G571" s="33"/>
      <c r="H571" s="59">
        <f>I570</f>
        <v>1240.5</v>
      </c>
      <c r="I571" s="59"/>
      <c r="J571" s="59">
        <f>K570</f>
        <v>5172.8900000000003</v>
      </c>
      <c r="K571" s="59"/>
      <c r="O571" s="32">
        <f>I570</f>
        <v>1240.5</v>
      </c>
      <c r="P571" s="32">
        <f>K570</f>
        <v>5172.8900000000003</v>
      </c>
      <c r="X571">
        <f>IF(Source!BI549&lt;=1,I570-0, 0)</f>
        <v>0</v>
      </c>
      <c r="Y571">
        <f>IF(Source!BI549=2,I570-0, 0)</f>
        <v>0</v>
      </c>
      <c r="Z571">
        <f>IF(Source!BI549=3,I570-0, 0)</f>
        <v>1240.5</v>
      </c>
      <c r="AA571">
        <f>IF(Source!BI549=4,I570,0)</f>
        <v>0</v>
      </c>
    </row>
    <row r="572" spans="1:27" ht="42.75" x14ac:dyDescent="0.2">
      <c r="A572" s="23" t="str">
        <f>Source!E551</f>
        <v>48</v>
      </c>
      <c r="B572" s="24" t="str">
        <f>Source!F551</f>
        <v>цена поставщика</v>
      </c>
      <c r="C572" s="24" t="s">
        <v>912</v>
      </c>
      <c r="D572" s="25" t="str">
        <f>Source!H551</f>
        <v>шт.</v>
      </c>
      <c r="E572" s="12">
        <f>Source!I551</f>
        <v>1</v>
      </c>
      <c r="F572" s="27">
        <f>Source!AL551</f>
        <v>751.93</v>
      </c>
      <c r="G572" s="26" t="str">
        <f>Source!DD551</f>
        <v/>
      </c>
      <c r="H572" s="12">
        <f>Source!AW551</f>
        <v>1</v>
      </c>
      <c r="I572" s="28">
        <f>ROUND((Source!AC551*Source!AW551)*Source!I551, 2)</f>
        <v>751.93</v>
      </c>
      <c r="J572" s="12">
        <f>IF(Source!BC551&lt;&gt; 0, Source!BC551, 1)</f>
        <v>4.17</v>
      </c>
      <c r="K572" s="28">
        <f>Source!P551</f>
        <v>3135.55</v>
      </c>
      <c r="Q572">
        <f>ROUND((Source!DN551/100)*ROUND((Source!AF551*Source!AV551)*Source!I551, 2), 2)</f>
        <v>0</v>
      </c>
      <c r="R572">
        <f>Source!X551</f>
        <v>0</v>
      </c>
      <c r="S572">
        <f>ROUND((Source!DO551/100)*ROUND((Source!AF551*Source!AV551)*Source!I551, 2), 2)</f>
        <v>0</v>
      </c>
      <c r="T572">
        <f>Source!Y551</f>
        <v>0</v>
      </c>
      <c r="U572">
        <f>ROUND((175/100)*ROUND((Source!AE551*Source!AV551)*Source!I551, 2), 2)</f>
        <v>0</v>
      </c>
      <c r="V572">
        <f>ROUND((168/100)*ROUND(Source!CS551*Source!I551, 2), 2)</f>
        <v>0</v>
      </c>
    </row>
    <row r="573" spans="1:27" ht="15" x14ac:dyDescent="0.25">
      <c r="A573" s="33"/>
      <c r="B573" s="33"/>
      <c r="C573" s="33"/>
      <c r="D573" s="33"/>
      <c r="E573" s="33"/>
      <c r="F573" s="33"/>
      <c r="G573" s="33"/>
      <c r="H573" s="59">
        <f>I572</f>
        <v>751.93</v>
      </c>
      <c r="I573" s="59"/>
      <c r="J573" s="59">
        <f>K572</f>
        <v>3135.55</v>
      </c>
      <c r="K573" s="59"/>
      <c r="O573" s="32">
        <f>I572</f>
        <v>751.93</v>
      </c>
      <c r="P573" s="32">
        <f>K572</f>
        <v>3135.55</v>
      </c>
      <c r="X573">
        <f>IF(Source!BI551&lt;=1,I572-0, 0)</f>
        <v>0</v>
      </c>
      <c r="Y573">
        <f>IF(Source!BI551=2,I572-0, 0)</f>
        <v>0</v>
      </c>
      <c r="Z573">
        <f>IF(Source!BI551=3,I572-0, 0)</f>
        <v>751.93</v>
      </c>
      <c r="AA573">
        <f>IF(Source!BI551=4,I572,0)</f>
        <v>0</v>
      </c>
    </row>
    <row r="574" spans="1:27" ht="82.5" x14ac:dyDescent="0.2">
      <c r="A574" s="23" t="str">
        <f>Source!E553</f>
        <v>49</v>
      </c>
      <c r="B574" s="24" t="str">
        <f>Source!F553</f>
        <v>цена поставщика</v>
      </c>
      <c r="C574" s="24" t="s">
        <v>913</v>
      </c>
      <c r="D574" s="25" t="str">
        <f>Source!H553</f>
        <v>шт.</v>
      </c>
      <c r="E574" s="12">
        <f>Source!I553</f>
        <v>1</v>
      </c>
      <c r="F574" s="27">
        <f>Source!AL553</f>
        <v>10679.5</v>
      </c>
      <c r="G574" s="26" t="str">
        <f>Source!DD553</f>
        <v/>
      </c>
      <c r="H574" s="12">
        <f>Source!AW553</f>
        <v>1</v>
      </c>
      <c r="I574" s="28">
        <f>ROUND((Source!AC553*Source!AW553)*Source!I553, 2)</f>
        <v>10679.5</v>
      </c>
      <c r="J574" s="12">
        <f>IF(Source!BC553&lt;&gt; 0, Source!BC553, 1)</f>
        <v>4.17</v>
      </c>
      <c r="K574" s="28">
        <f>Source!P553</f>
        <v>44533.52</v>
      </c>
      <c r="Q574">
        <f>ROUND((Source!DN553/100)*ROUND((Source!AF553*Source!AV553)*Source!I553, 2), 2)</f>
        <v>0</v>
      </c>
      <c r="R574">
        <f>Source!X553</f>
        <v>0</v>
      </c>
      <c r="S574">
        <f>ROUND((Source!DO553/100)*ROUND((Source!AF553*Source!AV553)*Source!I553, 2), 2)</f>
        <v>0</v>
      </c>
      <c r="T574">
        <f>Source!Y553</f>
        <v>0</v>
      </c>
      <c r="U574">
        <f>ROUND((175/100)*ROUND((Source!AE553*Source!AV553)*Source!I553, 2), 2)</f>
        <v>0</v>
      </c>
      <c r="V574">
        <f>ROUND((168/100)*ROUND(Source!CS553*Source!I553, 2), 2)</f>
        <v>0</v>
      </c>
    </row>
    <row r="575" spans="1:27" ht="15" x14ac:dyDescent="0.25">
      <c r="A575" s="33"/>
      <c r="B575" s="33"/>
      <c r="C575" s="33"/>
      <c r="D575" s="33"/>
      <c r="E575" s="33"/>
      <c r="F575" s="33"/>
      <c r="G575" s="33"/>
      <c r="H575" s="59">
        <f>I574</f>
        <v>10679.5</v>
      </c>
      <c r="I575" s="59"/>
      <c r="J575" s="59">
        <f>K574</f>
        <v>44533.52</v>
      </c>
      <c r="K575" s="59"/>
      <c r="O575" s="32">
        <f>I574</f>
        <v>10679.5</v>
      </c>
      <c r="P575" s="32">
        <f>K574</f>
        <v>44533.52</v>
      </c>
      <c r="X575">
        <f>IF(Source!BI553&lt;=1,I574-0, 0)</f>
        <v>0</v>
      </c>
      <c r="Y575">
        <f>IF(Source!BI553=2,I574-0, 0)</f>
        <v>0</v>
      </c>
      <c r="Z575">
        <f>IF(Source!BI553=3,I574-0, 0)</f>
        <v>10679.5</v>
      </c>
      <c r="AA575">
        <f>IF(Source!BI553=4,I574,0)</f>
        <v>0</v>
      </c>
    </row>
    <row r="577" spans="1:27" ht="15" x14ac:dyDescent="0.25">
      <c r="A577" s="57" t="str">
        <f>CONCATENATE("Итого по разделу: ",IF(Source!G555&lt;&gt;"Новый раздел", Source!G555, ""))</f>
        <v>Итого по разделу: Оборудование</v>
      </c>
      <c r="B577" s="57"/>
      <c r="C577" s="57"/>
      <c r="D577" s="57"/>
      <c r="E577" s="57"/>
      <c r="F577" s="57"/>
      <c r="G577" s="57"/>
      <c r="H577" s="55">
        <f>SUM(O565:O576)</f>
        <v>59400.61</v>
      </c>
      <c r="I577" s="56"/>
      <c r="J577" s="55">
        <f>SUM(P565:P576)</f>
        <v>247700.55000000002</v>
      </c>
      <c r="K577" s="56"/>
    </row>
    <row r="578" spans="1:27" ht="15" hidden="1" x14ac:dyDescent="0.25">
      <c r="A578" s="57" t="s">
        <v>900</v>
      </c>
      <c r="B578" s="57"/>
      <c r="C578" s="57"/>
      <c r="D578" s="57"/>
      <c r="E578" s="57"/>
      <c r="F578" s="57"/>
      <c r="G578" s="57"/>
      <c r="H578" s="55">
        <f>SUM(AC565:AC577)</f>
        <v>0</v>
      </c>
      <c r="I578" s="56"/>
      <c r="J578" s="55">
        <f>SUM(AD565:AD577)</f>
        <v>0</v>
      </c>
      <c r="K578" s="56"/>
    </row>
    <row r="580" spans="1:27" ht="16.5" x14ac:dyDescent="0.25">
      <c r="A580" s="60" t="str">
        <f>CONCATENATE("Раздел: ",IF(Source!G584&lt;&gt;"Новый раздел", Source!G584, ""))</f>
        <v>Раздел: Прочие работы</v>
      </c>
      <c r="B580" s="60"/>
      <c r="C580" s="60"/>
      <c r="D580" s="60"/>
      <c r="E580" s="60"/>
      <c r="F580" s="60"/>
      <c r="G580" s="60"/>
      <c r="H580" s="60"/>
      <c r="I580" s="60"/>
      <c r="J580" s="60"/>
      <c r="K580" s="60"/>
    </row>
    <row r="581" spans="1:27" ht="42.75" x14ac:dyDescent="0.2">
      <c r="A581" s="23" t="str">
        <f>Source!E589</f>
        <v>50</v>
      </c>
      <c r="B581" s="24" t="str">
        <f>Source!F589</f>
        <v>6.68-13-1</v>
      </c>
      <c r="C581" s="24" t="str">
        <f>Source!G589</f>
        <v>Механизированная погрузка строительного мусора в автомобили-самосвалы</v>
      </c>
      <c r="D581" s="25" t="str">
        <f>Source!H589</f>
        <v>1 Т</v>
      </c>
      <c r="E581" s="12">
        <f>Source!I589</f>
        <v>0.25800000000000001</v>
      </c>
      <c r="F581" s="27"/>
      <c r="G581" s="26"/>
      <c r="H581" s="12"/>
      <c r="I581" s="28"/>
      <c r="J581" s="12"/>
      <c r="K581" s="28"/>
      <c r="Q581">
        <f>ROUND((Source!DN589/100)*ROUND((Source!AF589*Source!AV589)*Source!I589, 2), 2)</f>
        <v>0</v>
      </c>
      <c r="R581">
        <f>Source!X589</f>
        <v>0</v>
      </c>
      <c r="S581">
        <f>ROUND((Source!DO589/100)*ROUND((Source!AF589*Source!AV589)*Source!I589, 2), 2)</f>
        <v>0</v>
      </c>
      <c r="T581">
        <f>Source!Y589</f>
        <v>0</v>
      </c>
      <c r="U581">
        <f>ROUND((175/100)*ROUND((Source!AE589*Source!AV589)*Source!I589, 2), 2)</f>
        <v>0.67</v>
      </c>
      <c r="V581">
        <f>ROUND((168/100)*ROUND(Source!CS589*Source!I589, 2), 2)</f>
        <v>13.09</v>
      </c>
    </row>
    <row r="582" spans="1:27" ht="14.25" x14ac:dyDescent="0.2">
      <c r="A582" s="23"/>
      <c r="B582" s="24"/>
      <c r="C582" s="24" t="s">
        <v>891</v>
      </c>
      <c r="D582" s="25"/>
      <c r="E582" s="12"/>
      <c r="F582" s="27">
        <f>Source!AM589</f>
        <v>8.86</v>
      </c>
      <c r="G582" s="26" t="str">
        <f>Source!DE589</f>
        <v/>
      </c>
      <c r="H582" s="12">
        <f>Source!AV589</f>
        <v>1</v>
      </c>
      <c r="I582" s="28">
        <f>ROUND((Source!AD589*Source!AV589)*Source!I589, 2)</f>
        <v>2.29</v>
      </c>
      <c r="J582" s="12">
        <f>IF(Source!BB589&lt;&gt; 0, Source!BB589, 1)</f>
        <v>7.91</v>
      </c>
      <c r="K582" s="28">
        <f>Source!Q589</f>
        <v>18.079999999999998</v>
      </c>
    </row>
    <row r="583" spans="1:27" ht="14.25" x14ac:dyDescent="0.2">
      <c r="A583" s="23"/>
      <c r="B583" s="24"/>
      <c r="C583" s="24" t="s">
        <v>892</v>
      </c>
      <c r="D583" s="25"/>
      <c r="E583" s="12"/>
      <c r="F583" s="27">
        <f>Source!AN589</f>
        <v>1.48</v>
      </c>
      <c r="G583" s="26" t="str">
        <f>Source!DF589</f>
        <v/>
      </c>
      <c r="H583" s="12">
        <f>Source!AV589</f>
        <v>1</v>
      </c>
      <c r="I583" s="30">
        <f>ROUND((Source!AE589*Source!AV589)*Source!I589, 2)</f>
        <v>0.38</v>
      </c>
      <c r="J583" s="12">
        <f>IF(Source!BS589&lt;&gt; 0, Source!BS589, 1)</f>
        <v>20.399999999999999</v>
      </c>
      <c r="K583" s="30">
        <f>Source!R589</f>
        <v>7.79</v>
      </c>
      <c r="W583">
        <f>I583</f>
        <v>0.38</v>
      </c>
    </row>
    <row r="584" spans="1:27" ht="14.25" x14ac:dyDescent="0.2">
      <c r="A584" s="23"/>
      <c r="B584" s="24"/>
      <c r="C584" s="24" t="s">
        <v>896</v>
      </c>
      <c r="D584" s="25" t="s">
        <v>894</v>
      </c>
      <c r="E584" s="12">
        <f>175</f>
        <v>175</v>
      </c>
      <c r="F584" s="27"/>
      <c r="G584" s="26"/>
      <c r="H584" s="12"/>
      <c r="I584" s="28">
        <f>SUM(U581:U583)</f>
        <v>0.67</v>
      </c>
      <c r="J584" s="12">
        <f>168</f>
        <v>168</v>
      </c>
      <c r="K584" s="28">
        <f>SUM(V581:V583)</f>
        <v>13.09</v>
      </c>
    </row>
    <row r="585" spans="1:27" ht="15" x14ac:dyDescent="0.25">
      <c r="A585" s="33"/>
      <c r="B585" s="33"/>
      <c r="C585" s="33"/>
      <c r="D585" s="33"/>
      <c r="E585" s="33"/>
      <c r="F585" s="33"/>
      <c r="G585" s="33"/>
      <c r="H585" s="59">
        <f>I582+I584</f>
        <v>2.96</v>
      </c>
      <c r="I585" s="59"/>
      <c r="J585" s="59">
        <f>K582+K584</f>
        <v>31.169999999999998</v>
      </c>
      <c r="K585" s="59"/>
      <c r="O585" s="32">
        <f>I582+I584</f>
        <v>2.96</v>
      </c>
      <c r="P585" s="32">
        <f>K582+K584</f>
        <v>31.169999999999998</v>
      </c>
      <c r="X585">
        <f>IF(Source!BI589&lt;=1,I582+I584-0, 0)</f>
        <v>2.96</v>
      </c>
      <c r="Y585">
        <f>IF(Source!BI589=2,I582+I584-0, 0)</f>
        <v>0</v>
      </c>
      <c r="Z585">
        <f>IF(Source!BI589=3,I582+I584-0, 0)</f>
        <v>0</v>
      </c>
      <c r="AA585">
        <f>IF(Source!BI589=4,I582+I584,0)</f>
        <v>0</v>
      </c>
    </row>
    <row r="586" spans="1:27" ht="42.75" x14ac:dyDescent="0.2">
      <c r="A586" s="23" t="str">
        <f>Source!E591</f>
        <v>51</v>
      </c>
      <c r="B586" s="24" t="str">
        <f>Source!F591</f>
        <v>15.1-26-10</v>
      </c>
      <c r="C586" s="24" t="str">
        <f>Source!G591</f>
        <v>Перевозка строительного мусора на расстояние 26 км автосамосвалами грузоподъемностью до 10 т (ЮВАО)</v>
      </c>
      <c r="D586" s="25" t="str">
        <f>Source!H591</f>
        <v>1 Т</v>
      </c>
      <c r="E586" s="12">
        <f>Source!I591</f>
        <v>0.25800000000000001</v>
      </c>
      <c r="F586" s="27"/>
      <c r="G586" s="26"/>
      <c r="H586" s="12"/>
      <c r="I586" s="28"/>
      <c r="J586" s="12"/>
      <c r="K586" s="28"/>
      <c r="Q586">
        <f>ROUND((Source!DN591/100)*ROUND((Source!AF591*Source!AV591)*Source!I591, 2), 2)</f>
        <v>0</v>
      </c>
      <c r="R586">
        <f>Source!X591</f>
        <v>0</v>
      </c>
      <c r="S586">
        <f>ROUND((Source!DO591/100)*ROUND((Source!AF591*Source!AV591)*Source!I591, 2), 2)</f>
        <v>0</v>
      </c>
      <c r="T586">
        <f>Source!Y591</f>
        <v>0</v>
      </c>
      <c r="U586">
        <f>ROUND((175/100)*ROUND((Source!AE591*Source!AV591)*Source!I591, 2), 2)</f>
        <v>0</v>
      </c>
      <c r="V586">
        <f>ROUND((168/100)*ROUND(Source!CS591*Source!I591, 2), 2)</f>
        <v>0</v>
      </c>
    </row>
    <row r="587" spans="1:27" ht="14.25" x14ac:dyDescent="0.2">
      <c r="A587" s="23"/>
      <c r="B587" s="24"/>
      <c r="C587" s="24" t="s">
        <v>891</v>
      </c>
      <c r="D587" s="25"/>
      <c r="E587" s="12"/>
      <c r="F587" s="27">
        <f>Source!AM591</f>
        <v>32.14</v>
      </c>
      <c r="G587" s="26" t="str">
        <f>Source!DE591</f>
        <v/>
      </c>
      <c r="H587" s="12">
        <f>Source!AV591</f>
        <v>1</v>
      </c>
      <c r="I587" s="28">
        <f>ROUND((Source!AD591*Source!AV591)*Source!I591, 2)</f>
        <v>8.2899999999999991</v>
      </c>
      <c r="J587" s="12">
        <f>IF(Source!BB591&lt;&gt; 0, Source!BB591, 1)</f>
        <v>9.75</v>
      </c>
      <c r="K587" s="28">
        <f>Source!Q591</f>
        <v>80.849999999999994</v>
      </c>
    </row>
    <row r="588" spans="1:27" ht="15" x14ac:dyDescent="0.25">
      <c r="A588" s="33"/>
      <c r="B588" s="33"/>
      <c r="C588" s="33"/>
      <c r="D588" s="33"/>
      <c r="E588" s="33"/>
      <c r="F588" s="33"/>
      <c r="G588" s="33"/>
      <c r="H588" s="59">
        <f>I587</f>
        <v>8.2899999999999991</v>
      </c>
      <c r="I588" s="59"/>
      <c r="J588" s="59">
        <f>K587</f>
        <v>80.849999999999994</v>
      </c>
      <c r="K588" s="59"/>
      <c r="O588" s="32">
        <f>I587</f>
        <v>8.2899999999999991</v>
      </c>
      <c r="P588" s="32">
        <f>K587</f>
        <v>80.849999999999994</v>
      </c>
      <c r="X588">
        <f>IF(Source!BI591&lt;=1,I587-0, 0)</f>
        <v>0</v>
      </c>
      <c r="Y588">
        <f>IF(Source!BI591=2,I587-0, 0)</f>
        <v>0</v>
      </c>
      <c r="Z588">
        <f>IF(Source!BI591=3,I587-0, 0)</f>
        <v>0</v>
      </c>
      <c r="AA588">
        <f>IF(Source!BI591=4,I587,0)</f>
        <v>8.2899999999999991</v>
      </c>
    </row>
    <row r="589" spans="1:27" ht="14.25" x14ac:dyDescent="0.2">
      <c r="A589" s="23" t="str">
        <f>Source!E593</f>
        <v>52</v>
      </c>
      <c r="B589" s="24" t="str">
        <f>Source!F593</f>
        <v>15.1-0-1</v>
      </c>
      <c r="C589" s="24" t="str">
        <f>Source!G593</f>
        <v>Размещение строительного мусора</v>
      </c>
      <c r="D589" s="25" t="str">
        <f>Source!H593</f>
        <v>1 Т</v>
      </c>
      <c r="E589" s="12">
        <f>Source!I593</f>
        <v>0.25800000000000001</v>
      </c>
      <c r="F589" s="27"/>
      <c r="G589" s="26"/>
      <c r="H589" s="12"/>
      <c r="I589" s="28"/>
      <c r="J589" s="12"/>
      <c r="K589" s="28"/>
      <c r="Q589">
        <f>ROUND((Source!DN593/100)*ROUND((Source!AF593*Source!AV593)*Source!I593, 2), 2)</f>
        <v>0</v>
      </c>
      <c r="R589">
        <f>Source!X593</f>
        <v>0</v>
      </c>
      <c r="S589">
        <f>ROUND((Source!DO593/100)*ROUND((Source!AF593*Source!AV593)*Source!I593, 2), 2)</f>
        <v>0</v>
      </c>
      <c r="T589">
        <f>Source!Y593</f>
        <v>0</v>
      </c>
      <c r="U589">
        <f>ROUND((175/100)*ROUND((Source!AE593*Source!AV593)*Source!I593, 2), 2)</f>
        <v>0</v>
      </c>
      <c r="V589">
        <f>ROUND((168/100)*ROUND(Source!CS593*Source!I593, 2), 2)</f>
        <v>0</v>
      </c>
    </row>
    <row r="590" spans="1:27" ht="14.25" x14ac:dyDescent="0.2">
      <c r="A590" s="23"/>
      <c r="B590" s="24"/>
      <c r="C590" s="24" t="s">
        <v>891</v>
      </c>
      <c r="D590" s="25"/>
      <c r="E590" s="12"/>
      <c r="F590" s="27">
        <f>Source!AM593</f>
        <v>101</v>
      </c>
      <c r="G590" s="26" t="str">
        <f>Source!DE593</f>
        <v/>
      </c>
      <c r="H590" s="12">
        <f>Source!AV593</f>
        <v>1</v>
      </c>
      <c r="I590" s="28">
        <f>ROUND((Source!AD593*Source!AV593)*Source!I593, 2)</f>
        <v>26.06</v>
      </c>
      <c r="J590" s="12">
        <f>IF(Source!BB593&lt;&gt; 0, Source!BB593, 1)</f>
        <v>2.0099999999999998</v>
      </c>
      <c r="K590" s="28">
        <f>Source!Q593</f>
        <v>52.38</v>
      </c>
    </row>
    <row r="591" spans="1:27" ht="15" x14ac:dyDescent="0.25">
      <c r="A591" s="33"/>
      <c r="B591" s="33"/>
      <c r="C591" s="33"/>
      <c r="D591" s="33"/>
      <c r="E591" s="33"/>
      <c r="F591" s="33"/>
      <c r="G591" s="33"/>
      <c r="H591" s="59">
        <f>I590</f>
        <v>26.06</v>
      </c>
      <c r="I591" s="59"/>
      <c r="J591" s="59">
        <f>K590</f>
        <v>52.38</v>
      </c>
      <c r="K591" s="59"/>
      <c r="O591" s="32">
        <f>I590</f>
        <v>26.06</v>
      </c>
      <c r="P591" s="32">
        <f>K590</f>
        <v>52.38</v>
      </c>
      <c r="X591">
        <f>IF(Source!BI593&lt;=1,I590-0, 0)</f>
        <v>0</v>
      </c>
      <c r="Y591">
        <f>IF(Source!BI593=2,I590-0, 0)</f>
        <v>0</v>
      </c>
      <c r="Z591">
        <f>IF(Source!BI593=3,I590-0, 0)</f>
        <v>0</v>
      </c>
      <c r="AA591">
        <f>IF(Source!BI593=4,I590,0)</f>
        <v>26.06</v>
      </c>
    </row>
    <row r="593" spans="1:34" ht="15" x14ac:dyDescent="0.25">
      <c r="A593" s="57" t="str">
        <f>CONCATENATE("Итого по разделу: ",IF(Source!G595&lt;&gt;"Новый раздел", Source!G595, ""))</f>
        <v>Итого по разделу: Прочие работы</v>
      </c>
      <c r="B593" s="57"/>
      <c r="C593" s="57"/>
      <c r="D593" s="57"/>
      <c r="E593" s="57"/>
      <c r="F593" s="57"/>
      <c r="G593" s="57"/>
      <c r="H593" s="55">
        <f>SUM(O580:O592)</f>
        <v>37.31</v>
      </c>
      <c r="I593" s="56"/>
      <c r="J593" s="55">
        <f>SUM(P580:P592)</f>
        <v>164.4</v>
      </c>
      <c r="K593" s="56"/>
    </row>
    <row r="594" spans="1:34" ht="15" hidden="1" x14ac:dyDescent="0.25">
      <c r="A594" s="57" t="s">
        <v>900</v>
      </c>
      <c r="B594" s="57"/>
      <c r="C594" s="57"/>
      <c r="D594" s="57"/>
      <c r="E594" s="57"/>
      <c r="F594" s="57"/>
      <c r="G594" s="57"/>
      <c r="H594" s="55">
        <f>SUM(AC580:AC593)</f>
        <v>0</v>
      </c>
      <c r="I594" s="56"/>
      <c r="J594" s="55">
        <f>SUM(AD580:AD593)</f>
        <v>0</v>
      </c>
      <c r="K594" s="56"/>
    </row>
    <row r="596" spans="1:34" ht="15" x14ac:dyDescent="0.25">
      <c r="A596" s="57" t="str">
        <f>CONCATENATE("Итого по локальной смете: ",IF(Source!G624&lt;&gt;"Новая локальная смета", Source!G624, ""))</f>
        <v>Итого по локальной смете: Смета на общестроительные работы</v>
      </c>
      <c r="B596" s="57"/>
      <c r="C596" s="57"/>
      <c r="D596" s="57"/>
      <c r="E596" s="57"/>
      <c r="F596" s="57"/>
      <c r="G596" s="57"/>
      <c r="H596" s="55">
        <f>SUM(O32:O595)</f>
        <v>154727.42000000001</v>
      </c>
      <c r="I596" s="56"/>
      <c r="J596" s="55">
        <f>SUM(P32:P595)</f>
        <v>608225.55000000028</v>
      </c>
      <c r="K596" s="56"/>
    </row>
    <row r="597" spans="1:34" ht="15" hidden="1" x14ac:dyDescent="0.25">
      <c r="A597" s="57" t="s">
        <v>900</v>
      </c>
      <c r="B597" s="57"/>
      <c r="C597" s="57"/>
      <c r="D597" s="57"/>
      <c r="E597" s="57"/>
      <c r="F597" s="57"/>
      <c r="G597" s="57"/>
      <c r="H597" s="55">
        <f>SUM(AC32:AC596)</f>
        <v>0</v>
      </c>
      <c r="I597" s="56"/>
      <c r="J597" s="55">
        <f>SUM(AD32:AD596)</f>
        <v>0</v>
      </c>
      <c r="K597" s="56"/>
    </row>
    <row r="599" spans="1:34" ht="15" x14ac:dyDescent="0.25">
      <c r="A599" s="57" t="str">
        <f>CONCATENATE("Итого по смете: ",IF(Source!G653&lt;&gt;"Новый объект", Source!G653, ""))</f>
        <v>Итого по смете: Общестроительные работы ДГП №150 ф2</v>
      </c>
      <c r="B599" s="57"/>
      <c r="C599" s="57"/>
      <c r="D599" s="57"/>
      <c r="E599" s="57"/>
      <c r="F599" s="57"/>
      <c r="G599" s="57"/>
      <c r="H599" s="55">
        <f>SUM(O1:O598)</f>
        <v>154727.42000000001</v>
      </c>
      <c r="I599" s="56"/>
      <c r="J599" s="55">
        <f>SUM(P1:P598)</f>
        <v>608225.55000000028</v>
      </c>
      <c r="K599" s="56"/>
      <c r="AH599" s="36" t="str">
        <f>CONCATENATE("Итого по смете: ",IF(Source!G653&lt;&gt;"Новый объект", Source!G653, ""))</f>
        <v>Итого по смете: Общестроительные работы ДГП №150 ф2</v>
      </c>
    </row>
    <row r="600" spans="1:34" ht="15" hidden="1" x14ac:dyDescent="0.25">
      <c r="A600" s="57" t="s">
        <v>900</v>
      </c>
      <c r="B600" s="57"/>
      <c r="C600" s="57"/>
      <c r="D600" s="57"/>
      <c r="E600" s="57"/>
      <c r="F600" s="57"/>
      <c r="G600" s="57"/>
      <c r="H600" s="55">
        <f>SUM(AC1:AC599)</f>
        <v>0</v>
      </c>
      <c r="I600" s="56"/>
      <c r="J600" s="55">
        <f>SUM(AD1:AD599)</f>
        <v>0</v>
      </c>
      <c r="K600" s="56"/>
    </row>
    <row r="603" spans="1:34" ht="14.25" x14ac:dyDescent="0.2">
      <c r="A603" s="58" t="s">
        <v>915</v>
      </c>
      <c r="B603" s="58"/>
      <c r="C603" s="37" t="str">
        <f>IF(Source!AC12&lt;&gt;"", Source!AC12," ")</f>
        <v>инженер-сметчик</v>
      </c>
      <c r="D603" s="37"/>
      <c r="E603" s="37"/>
      <c r="F603" s="37"/>
      <c r="G603" s="37"/>
      <c r="H603" s="13" t="str">
        <f>IF(Source!AB12&lt;&gt;"", Source!AB12," ")</f>
        <v>Трубецкая Т.И.</v>
      </c>
      <c r="I603" s="13"/>
      <c r="J603" s="13"/>
      <c r="K603" s="13"/>
    </row>
    <row r="604" spans="1:34" ht="14.25" x14ac:dyDescent="0.2">
      <c r="A604" s="13"/>
      <c r="B604" s="13"/>
      <c r="C604" s="54" t="s">
        <v>916</v>
      </c>
      <c r="D604" s="54"/>
      <c r="E604" s="54"/>
      <c r="F604" s="54"/>
      <c r="G604" s="54"/>
      <c r="H604" s="13"/>
      <c r="I604" s="13"/>
      <c r="J604" s="13"/>
      <c r="K604" s="13"/>
    </row>
    <row r="605" spans="1:34" ht="14.25" x14ac:dyDescent="0.2">
      <c r="A605" s="13"/>
      <c r="B605" s="13"/>
      <c r="C605" s="13"/>
      <c r="D605" s="13"/>
      <c r="E605" s="13"/>
      <c r="F605" s="13"/>
      <c r="G605" s="13"/>
      <c r="H605" s="13"/>
      <c r="I605" s="13"/>
      <c r="J605" s="13"/>
      <c r="K605" s="13"/>
    </row>
    <row r="606" spans="1:34" ht="14.25" x14ac:dyDescent="0.2">
      <c r="A606" s="58" t="s">
        <v>917</v>
      </c>
      <c r="B606" s="58"/>
      <c r="C606" s="37" t="str">
        <f>IF(Source!AE12&lt;&gt;"", Source!AE12," ")</f>
        <v>Начальник управления</v>
      </c>
      <c r="D606" s="37"/>
      <c r="E606" s="37"/>
      <c r="F606" s="37"/>
      <c r="G606" s="37"/>
      <c r="H606" s="13" t="str">
        <f>IF(Source!AD12&lt;&gt;"", Source!AD12," ")</f>
        <v>Сатаров А.Д.</v>
      </c>
      <c r="I606" s="13"/>
      <c r="J606" s="13"/>
      <c r="K606" s="13"/>
    </row>
    <row r="607" spans="1:34" ht="14.25" x14ac:dyDescent="0.2">
      <c r="A607" s="13"/>
      <c r="B607" s="13"/>
      <c r="C607" s="54" t="s">
        <v>916</v>
      </c>
      <c r="D607" s="54"/>
      <c r="E607" s="54"/>
      <c r="F607" s="54"/>
      <c r="G607" s="54"/>
      <c r="H607" s="13"/>
      <c r="I607" s="13"/>
      <c r="J607" s="13"/>
      <c r="K607" s="13"/>
    </row>
  </sheetData>
  <mergeCells count="220">
    <mergeCell ref="B7:E7"/>
    <mergeCell ref="G7:K7"/>
    <mergeCell ref="A10:K10"/>
    <mergeCell ref="A11:K11"/>
    <mergeCell ref="A13:K13"/>
    <mergeCell ref="A14:K14"/>
    <mergeCell ref="B3:E3"/>
    <mergeCell ref="G3:K3"/>
    <mergeCell ref="B4:E4"/>
    <mergeCell ref="G4:K4"/>
    <mergeCell ref="B6:E6"/>
    <mergeCell ref="G6:K6"/>
    <mergeCell ref="F25:H25"/>
    <mergeCell ref="F26:H26"/>
    <mergeCell ref="F27:H27"/>
    <mergeCell ref="F28:H28"/>
    <mergeCell ref="A29:K29"/>
    <mergeCell ref="A33:K33"/>
    <mergeCell ref="A16:K16"/>
    <mergeCell ref="A18:K18"/>
    <mergeCell ref="A19:K19"/>
    <mergeCell ref="A21:K21"/>
    <mergeCell ref="F23:H23"/>
    <mergeCell ref="F24:H24"/>
    <mergeCell ref="J74:K74"/>
    <mergeCell ref="H74:I74"/>
    <mergeCell ref="J85:K85"/>
    <mergeCell ref="H85:I85"/>
    <mergeCell ref="J93:K93"/>
    <mergeCell ref="H93:I93"/>
    <mergeCell ref="J44:K44"/>
    <mergeCell ref="H44:I44"/>
    <mergeCell ref="J51:K51"/>
    <mergeCell ref="H51:I51"/>
    <mergeCell ref="J62:K62"/>
    <mergeCell ref="H62:I62"/>
    <mergeCell ref="J123:K123"/>
    <mergeCell ref="H123:I123"/>
    <mergeCell ref="J125:K125"/>
    <mergeCell ref="H125:I125"/>
    <mergeCell ref="A125:G125"/>
    <mergeCell ref="J126:K126"/>
    <mergeCell ref="H126:I126"/>
    <mergeCell ref="A126:G126"/>
    <mergeCell ref="J102:K102"/>
    <mergeCell ref="H102:I102"/>
    <mergeCell ref="J113:K113"/>
    <mergeCell ref="H113:I113"/>
    <mergeCell ref="J120:K120"/>
    <mergeCell ref="H120:I120"/>
    <mergeCell ref="J159:K159"/>
    <mergeCell ref="H159:I159"/>
    <mergeCell ref="J170:K170"/>
    <mergeCell ref="H170:I170"/>
    <mergeCell ref="J172:K172"/>
    <mergeCell ref="H172:I172"/>
    <mergeCell ref="A128:K128"/>
    <mergeCell ref="A130:K130"/>
    <mergeCell ref="J141:K141"/>
    <mergeCell ref="H141:I141"/>
    <mergeCell ref="J149:K149"/>
    <mergeCell ref="H149:I149"/>
    <mergeCell ref="J176:K176"/>
    <mergeCell ref="H176:I176"/>
    <mergeCell ref="A176:G176"/>
    <mergeCell ref="A178:K178"/>
    <mergeCell ref="A180:K180"/>
    <mergeCell ref="J192:K192"/>
    <mergeCell ref="H192:I192"/>
    <mergeCell ref="A172:G172"/>
    <mergeCell ref="J173:K173"/>
    <mergeCell ref="H173:I173"/>
    <mergeCell ref="A173:G173"/>
    <mergeCell ref="J175:K175"/>
    <mergeCell ref="H175:I175"/>
    <mergeCell ref="A175:G175"/>
    <mergeCell ref="J245:K245"/>
    <mergeCell ref="H245:I245"/>
    <mergeCell ref="J258:K258"/>
    <mergeCell ref="H258:I258"/>
    <mergeCell ref="J270:K270"/>
    <mergeCell ref="H270:I270"/>
    <mergeCell ref="J204:K204"/>
    <mergeCell ref="H204:I204"/>
    <mergeCell ref="J218:K218"/>
    <mergeCell ref="H218:I218"/>
    <mergeCell ref="J231:K231"/>
    <mergeCell ref="H231:I231"/>
    <mergeCell ref="A296:G296"/>
    <mergeCell ref="J297:K297"/>
    <mergeCell ref="H297:I297"/>
    <mergeCell ref="A297:G297"/>
    <mergeCell ref="A299:K299"/>
    <mergeCell ref="J311:K311"/>
    <mergeCell ref="H311:I311"/>
    <mergeCell ref="J283:K283"/>
    <mergeCell ref="H283:I283"/>
    <mergeCell ref="J294:K294"/>
    <mergeCell ref="H294:I294"/>
    <mergeCell ref="J296:K296"/>
    <mergeCell ref="H296:I296"/>
    <mergeCell ref="J346:K346"/>
    <mergeCell ref="H346:I346"/>
    <mergeCell ref="A346:G346"/>
    <mergeCell ref="J347:K347"/>
    <mergeCell ref="H347:I347"/>
    <mergeCell ref="A347:G347"/>
    <mergeCell ref="J324:K324"/>
    <mergeCell ref="H324:I324"/>
    <mergeCell ref="J334:K334"/>
    <mergeCell ref="H334:I334"/>
    <mergeCell ref="J344:K344"/>
    <mergeCell ref="H344:I344"/>
    <mergeCell ref="J402:K402"/>
    <mergeCell ref="H402:I402"/>
    <mergeCell ref="J404:K404"/>
    <mergeCell ref="H404:I404"/>
    <mergeCell ref="A404:G404"/>
    <mergeCell ref="J405:K405"/>
    <mergeCell ref="H405:I405"/>
    <mergeCell ref="A405:G405"/>
    <mergeCell ref="A349:K349"/>
    <mergeCell ref="J361:K361"/>
    <mergeCell ref="H361:I361"/>
    <mergeCell ref="J373:K373"/>
    <mergeCell ref="H373:I373"/>
    <mergeCell ref="J387:K387"/>
    <mergeCell ref="H387:I387"/>
    <mergeCell ref="J439:K439"/>
    <mergeCell ref="H439:I439"/>
    <mergeCell ref="J450:K450"/>
    <mergeCell ref="H450:I450"/>
    <mergeCell ref="J463:K463"/>
    <mergeCell ref="H463:I463"/>
    <mergeCell ref="A407:K407"/>
    <mergeCell ref="J414:K414"/>
    <mergeCell ref="H414:I414"/>
    <mergeCell ref="J421:K421"/>
    <mergeCell ref="H421:I421"/>
    <mergeCell ref="J432:K432"/>
    <mergeCell ref="H432:I432"/>
    <mergeCell ref="A490:G490"/>
    <mergeCell ref="J491:K491"/>
    <mergeCell ref="H491:I491"/>
    <mergeCell ref="A491:G491"/>
    <mergeCell ref="A493:K493"/>
    <mergeCell ref="J506:K506"/>
    <mergeCell ref="H506:I506"/>
    <mergeCell ref="J475:K475"/>
    <mergeCell ref="H475:I475"/>
    <mergeCell ref="J488:K488"/>
    <mergeCell ref="H488:I488"/>
    <mergeCell ref="J490:K490"/>
    <mergeCell ref="H490:I490"/>
    <mergeCell ref="J557:K557"/>
    <mergeCell ref="H557:I557"/>
    <mergeCell ref="J559:K559"/>
    <mergeCell ref="H559:I559"/>
    <mergeCell ref="A559:G559"/>
    <mergeCell ref="J560:K560"/>
    <mergeCell ref="H560:I560"/>
    <mergeCell ref="A560:G560"/>
    <mergeCell ref="J519:K519"/>
    <mergeCell ref="H519:I519"/>
    <mergeCell ref="J532:K532"/>
    <mergeCell ref="H532:I532"/>
    <mergeCell ref="J544:K544"/>
    <mergeCell ref="H544:I544"/>
    <mergeCell ref="A565:K565"/>
    <mergeCell ref="J567:K567"/>
    <mergeCell ref="H567:I567"/>
    <mergeCell ref="J569:K569"/>
    <mergeCell ref="H569:I569"/>
    <mergeCell ref="J571:K571"/>
    <mergeCell ref="H571:I571"/>
    <mergeCell ref="J562:K562"/>
    <mergeCell ref="H562:I562"/>
    <mergeCell ref="A562:G562"/>
    <mergeCell ref="J563:K563"/>
    <mergeCell ref="H563:I563"/>
    <mergeCell ref="A563:G563"/>
    <mergeCell ref="A577:G577"/>
    <mergeCell ref="J578:K578"/>
    <mergeCell ref="H578:I578"/>
    <mergeCell ref="A578:G578"/>
    <mergeCell ref="A580:K580"/>
    <mergeCell ref="J585:K585"/>
    <mergeCell ref="H585:I585"/>
    <mergeCell ref="J573:K573"/>
    <mergeCell ref="H573:I573"/>
    <mergeCell ref="J575:K575"/>
    <mergeCell ref="H575:I575"/>
    <mergeCell ref="J577:K577"/>
    <mergeCell ref="H577:I577"/>
    <mergeCell ref="A593:G593"/>
    <mergeCell ref="J594:K594"/>
    <mergeCell ref="H594:I594"/>
    <mergeCell ref="A594:G594"/>
    <mergeCell ref="J596:K596"/>
    <mergeCell ref="H596:I596"/>
    <mergeCell ref="A596:G596"/>
    <mergeCell ref="J588:K588"/>
    <mergeCell ref="H588:I588"/>
    <mergeCell ref="J591:K591"/>
    <mergeCell ref="H591:I591"/>
    <mergeCell ref="J593:K593"/>
    <mergeCell ref="H593:I593"/>
    <mergeCell ref="C607:G607"/>
    <mergeCell ref="J600:K600"/>
    <mergeCell ref="H600:I600"/>
    <mergeCell ref="A600:G600"/>
    <mergeCell ref="A603:B603"/>
    <mergeCell ref="C604:G604"/>
    <mergeCell ref="A606:B606"/>
    <mergeCell ref="J597:K597"/>
    <mergeCell ref="H597:I597"/>
    <mergeCell ref="A597:G597"/>
    <mergeCell ref="J599:K599"/>
    <mergeCell ref="H599:I599"/>
    <mergeCell ref="A599:G599"/>
  </mergeCells>
  <pageMargins left="0.4" right="0.2" top="0.2" bottom="0.4" header="0.2" footer="0.2"/>
  <pageSetup paperSize="9" scale="64" fitToHeight="0" orientation="portrait" horizontalDpi="4294967295" verticalDpi="4294967295" r:id="rId1"/>
  <headerFooter>
    <oddHeader>&amp;L&amp;8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147"/>
  <sheetViews>
    <sheetView zoomScaleNormal="100" workbookViewId="0"/>
  </sheetViews>
  <sheetFormatPr defaultRowHeight="12.75" x14ac:dyDescent="0.2"/>
  <cols>
    <col min="1" max="1" width="6.7109375" customWidth="1"/>
    <col min="2" max="2" width="75.7109375" customWidth="1"/>
    <col min="3" max="5" width="15.7109375" customWidth="1"/>
    <col min="30" max="30" width="114.7109375" customWidth="1"/>
  </cols>
  <sheetData>
    <row r="1" spans="1:30" x14ac:dyDescent="0.2">
      <c r="A1" s="11" t="str">
        <f>Source!B1</f>
        <v>Smeta.RU  (495) 974-1589</v>
      </c>
    </row>
    <row r="2" spans="1:30" ht="14.25" x14ac:dyDescent="0.2">
      <c r="C2" s="13"/>
      <c r="D2" s="13"/>
    </row>
    <row r="3" spans="1:30" ht="15" x14ac:dyDescent="0.25">
      <c r="C3" s="13"/>
      <c r="D3" s="35" t="s">
        <v>868</v>
      </c>
    </row>
    <row r="4" spans="1:30" ht="15" x14ac:dyDescent="0.25">
      <c r="C4" s="35"/>
      <c r="D4" s="35"/>
    </row>
    <row r="5" spans="1:30" ht="15" x14ac:dyDescent="0.25">
      <c r="C5" s="73" t="s">
        <v>918</v>
      </c>
      <c r="D5" s="73"/>
    </row>
    <row r="6" spans="1:30" ht="15" x14ac:dyDescent="0.25">
      <c r="C6" s="38"/>
      <c r="D6" s="38"/>
    </row>
    <row r="7" spans="1:30" ht="15" x14ac:dyDescent="0.25">
      <c r="C7" s="73" t="s">
        <v>918</v>
      </c>
      <c r="D7" s="73"/>
    </row>
    <row r="8" spans="1:30" ht="15" x14ac:dyDescent="0.25">
      <c r="C8" s="38"/>
      <c r="D8" s="38"/>
    </row>
    <row r="9" spans="1:30" ht="15" x14ac:dyDescent="0.25">
      <c r="C9" s="35" t="s">
        <v>919</v>
      </c>
      <c r="D9" s="13"/>
    </row>
    <row r="10" spans="1:30" ht="14.25" x14ac:dyDescent="0.2">
      <c r="A10" s="13"/>
      <c r="B10" s="13"/>
      <c r="C10" s="13"/>
      <c r="D10" s="13"/>
      <c r="E10" s="13"/>
    </row>
    <row r="11" spans="1:30" ht="15.75" x14ac:dyDescent="0.25">
      <c r="A11" s="74" t="str">
        <f>CONCATENATE("Дефектный акт ", IF(Source!AN15&lt;&gt;"", Source!AN15," "))</f>
        <v xml:space="preserve">Дефектный акт  </v>
      </c>
      <c r="B11" s="74"/>
      <c r="C11" s="74"/>
      <c r="D11" s="74"/>
      <c r="E11" s="13"/>
    </row>
    <row r="12" spans="1:30" ht="15" x14ac:dyDescent="0.25">
      <c r="A12" s="75" t="str">
        <f>CONCATENATE("На капитальный ремонт ", Source!F12)</f>
        <v>На капитальный ремонт Общестроительные работы ДГП №150 ф2 (ТСН-2001 (Мосгосэкспертиза))</v>
      </c>
      <c r="B12" s="75"/>
      <c r="C12" s="75"/>
      <c r="D12" s="75"/>
      <c r="E12" s="13"/>
      <c r="AD12" s="40" t="str">
        <f>CONCATENATE("На капитальный ремонт ", Source!F12)</f>
        <v>На капитальный ремонт Общестроительные работы ДГП №150 ф2 (ТСН-2001 (Мосгосэкспертиза))</v>
      </c>
    </row>
    <row r="13" spans="1:30" ht="14.25" x14ac:dyDescent="0.2">
      <c r="A13" s="13"/>
      <c r="B13" s="13"/>
      <c r="C13" s="13"/>
      <c r="D13" s="13"/>
      <c r="E13" s="13"/>
    </row>
    <row r="14" spans="1:30" ht="15" x14ac:dyDescent="0.2">
      <c r="A14" s="13"/>
      <c r="B14" s="39" t="s">
        <v>920</v>
      </c>
      <c r="C14" s="13"/>
      <c r="D14" s="13"/>
      <c r="E14" s="13"/>
    </row>
    <row r="15" spans="1:30" ht="15" x14ac:dyDescent="0.2">
      <c r="A15" s="13"/>
      <c r="B15" s="39" t="s">
        <v>921</v>
      </c>
      <c r="C15" s="13"/>
      <c r="D15" s="13"/>
      <c r="E15" s="13"/>
    </row>
    <row r="16" spans="1:30" ht="15" x14ac:dyDescent="0.2">
      <c r="A16" s="13"/>
      <c r="B16" s="39" t="s">
        <v>922</v>
      </c>
      <c r="C16" s="13"/>
      <c r="D16" s="13"/>
      <c r="E16" s="13"/>
    </row>
    <row r="17" spans="1:5" ht="28.5" x14ac:dyDescent="0.2">
      <c r="A17" s="21" t="s">
        <v>923</v>
      </c>
      <c r="B17" s="21" t="s">
        <v>880</v>
      </c>
      <c r="C17" s="21" t="s">
        <v>881</v>
      </c>
      <c r="D17" s="21" t="s">
        <v>924</v>
      </c>
      <c r="E17" s="22" t="s">
        <v>925</v>
      </c>
    </row>
    <row r="18" spans="1:5" ht="14.25" x14ac:dyDescent="0.2">
      <c r="A18" s="41">
        <v>1</v>
      </c>
      <c r="B18" s="41">
        <v>2</v>
      </c>
      <c r="C18" s="41">
        <v>3</v>
      </c>
      <c r="D18" s="41">
        <v>4</v>
      </c>
      <c r="E18" s="42">
        <v>5</v>
      </c>
    </row>
    <row r="19" spans="1:5" ht="16.5" x14ac:dyDescent="0.25">
      <c r="A19" s="72" t="str">
        <f>CONCATENATE("Локальная смета: ", Source!G20)</f>
        <v>Локальная смета: Смета на общестроительные работы</v>
      </c>
      <c r="B19" s="72"/>
      <c r="C19" s="72"/>
      <c r="D19" s="72"/>
      <c r="E19" s="72"/>
    </row>
    <row r="20" spans="1:5" ht="16.5" x14ac:dyDescent="0.25">
      <c r="A20" s="72" t="str">
        <f>CONCATENATE("Раздел: ", Source!G24)</f>
        <v>Раздел: Наружные работы</v>
      </c>
      <c r="B20" s="72"/>
      <c r="C20" s="72"/>
      <c r="D20" s="72"/>
      <c r="E20" s="72"/>
    </row>
    <row r="21" spans="1:5" ht="28.5" x14ac:dyDescent="0.2">
      <c r="A21" s="47" t="str">
        <f>Source!E28</f>
        <v>1</v>
      </c>
      <c r="B21" s="48" t="str">
        <f>Source!G28</f>
        <v>Разборка покрытий и оснований асфальтобетонных</v>
      </c>
      <c r="C21" s="49" t="str">
        <f>Source!H28</f>
        <v>100 м3 конструкций</v>
      </c>
      <c r="D21" s="50">
        <f>Source!I28</f>
        <v>9.7099999999999999E-3</v>
      </c>
      <c r="E21" s="47"/>
    </row>
    <row r="22" spans="1:5" ht="14.25" x14ac:dyDescent="0.2">
      <c r="A22" s="47" t="str">
        <f>Source!E30</f>
        <v>1,1</v>
      </c>
      <c r="B22" s="48" t="str">
        <f>Source!G30</f>
        <v>Масса мусора 2,4кг/1м3</v>
      </c>
      <c r="C22" s="49" t="str">
        <f>Source!H30</f>
        <v>т</v>
      </c>
      <c r="D22" s="50">
        <f>Source!I30</f>
        <v>3.0000000000000001E-3</v>
      </c>
      <c r="E22" s="47"/>
    </row>
    <row r="23" spans="1:5" ht="42.75" x14ac:dyDescent="0.2">
      <c r="A23" s="47" t="str">
        <f>Source!E32</f>
        <v>2</v>
      </c>
      <c r="B23" s="48" t="str">
        <f>Source!G32</f>
        <v>Копание ям вручную без креплений для стоек и столбов без откосов глубиной до 0,7 м группа грунтов 1-3(газон.,плодородный слой 13,16м2*0,25)</v>
      </c>
      <c r="C23" s="49" t="str">
        <f>Source!H32</f>
        <v>100 м3 грунта</v>
      </c>
      <c r="D23" s="50">
        <f>Source!I32</f>
        <v>3.2899999999999999E-2</v>
      </c>
      <c r="E23" s="47"/>
    </row>
    <row r="24" spans="1:5" ht="28.5" x14ac:dyDescent="0.2">
      <c r="A24" s="47" t="str">
        <f>Source!E34</f>
        <v>3</v>
      </c>
      <c r="B24" s="48" t="str">
        <f>Source!G34</f>
        <v>Разборка металлических лестничных решеток, массой 1 м решетки до 60 кг (ограждение газона)</v>
      </c>
      <c r="C24" s="49" t="str">
        <f>Source!H34</f>
        <v>100 м решетки</v>
      </c>
      <c r="D24" s="50">
        <f>Source!I34</f>
        <v>8.6900000000000005E-2</v>
      </c>
      <c r="E24" s="47"/>
    </row>
    <row r="25" spans="1:5" ht="14.25" x14ac:dyDescent="0.2">
      <c r="A25" s="47" t="str">
        <f>Source!E36</f>
        <v>3,1</v>
      </c>
      <c r="B25" s="48" t="str">
        <f>Source!G36</f>
        <v>Масса мусора</v>
      </c>
      <c r="C25" s="49" t="str">
        <f>Source!H36</f>
        <v>т</v>
      </c>
      <c r="D25" s="50">
        <f>Source!I36</f>
        <v>-0.21725</v>
      </c>
      <c r="E25" s="47"/>
    </row>
    <row r="26" spans="1:5" ht="28.5" x14ac:dyDescent="0.2">
      <c r="A26" s="47" t="str">
        <f>Source!E38</f>
        <v>4</v>
      </c>
      <c r="B26" s="48" t="str">
        <f>Source!G38</f>
        <v>Устройство покрытий из горячих асфальтобетонных смесей толщиной 4 см комплектом машин</v>
      </c>
      <c r="C26" s="49" t="str">
        <f>Source!H38</f>
        <v>100 м2 покрытия</v>
      </c>
      <c r="D26" s="50">
        <f>Source!I38</f>
        <v>0.19409999999999999</v>
      </c>
      <c r="E26" s="47"/>
    </row>
    <row r="27" spans="1:5" ht="14.25" x14ac:dyDescent="0.2">
      <c r="A27" s="47" t="str">
        <f>Source!E40</f>
        <v>4,1</v>
      </c>
      <c r="B27" s="48" t="str">
        <f>Source!G40</f>
        <v>Смеси асфальтобетонные дорожные горячие крупнозернистые, тип II</v>
      </c>
      <c r="C27" s="49" t="str">
        <f>Source!H40</f>
        <v>т</v>
      </c>
      <c r="D27" s="50">
        <f>Source!I40</f>
        <v>1.859478</v>
      </c>
      <c r="E27" s="47"/>
    </row>
    <row r="28" spans="1:5" ht="28.5" x14ac:dyDescent="0.2">
      <c r="A28" s="47" t="str">
        <f>Source!E42</f>
        <v>5</v>
      </c>
      <c r="B28" s="48" t="str">
        <f>Source!G42</f>
        <v>Добавляется на каждый 1 см изменения толщины слоя сверх 4 см к позиции 3.27-42-1 9см</v>
      </c>
      <c r="C28" s="49" t="str">
        <f>Source!H42</f>
        <v>100 м2 покрытия</v>
      </c>
      <c r="D28" s="50">
        <f>Source!I42</f>
        <v>0.19409999999999999</v>
      </c>
      <c r="E28" s="47"/>
    </row>
    <row r="29" spans="1:5" ht="14.25" x14ac:dyDescent="0.2">
      <c r="A29" s="47" t="str">
        <f>Source!E44</f>
        <v>5,1</v>
      </c>
      <c r="B29" s="48" t="str">
        <f>Source!G44</f>
        <v>Смеси асфальтобетонные дорожные горячие крупнозернистые, тип II</v>
      </c>
      <c r="C29" s="49" t="str">
        <f>Source!H44</f>
        <v>т</v>
      </c>
      <c r="D29" s="50">
        <f>Source!I44</f>
        <v>1.859478</v>
      </c>
      <c r="E29" s="47"/>
    </row>
    <row r="30" spans="1:5" ht="28.5" x14ac:dyDescent="0.2">
      <c r="A30" s="47" t="str">
        <f>Source!E46</f>
        <v>6</v>
      </c>
      <c r="B30" s="48" t="str">
        <f>Source!G46</f>
        <v>Подготовка почвы для устройства партерного и обыкновенного газонов с внесением растительной земли слоем 15 см вручную</v>
      </c>
      <c r="C30" s="49" t="str">
        <f>Source!H46</f>
        <v>100 м2</v>
      </c>
      <c r="D30" s="50">
        <f>Source!I46</f>
        <v>0.13159999999999999</v>
      </c>
      <c r="E30" s="47"/>
    </row>
    <row r="31" spans="1:5" ht="14.25" x14ac:dyDescent="0.2">
      <c r="A31" s="47" t="str">
        <f>Source!E48</f>
        <v>6,1</v>
      </c>
      <c r="B31" s="48" t="str">
        <f>Source!G48</f>
        <v>Земля растительная</v>
      </c>
      <c r="C31" s="49" t="str">
        <f>Source!H48</f>
        <v>м3</v>
      </c>
      <c r="D31" s="50">
        <f>Source!I48</f>
        <v>1.974</v>
      </c>
      <c r="E31" s="47"/>
    </row>
    <row r="32" spans="1:5" ht="14.25" x14ac:dyDescent="0.2">
      <c r="A32" s="47" t="str">
        <f>Source!E50</f>
        <v>7</v>
      </c>
      <c r="B32" s="48" t="str">
        <f>Source!G50</f>
        <v>Посев газонов партерных, мавританских, и обыкновенных вручную</v>
      </c>
      <c r="C32" s="49" t="str">
        <f>Source!H50</f>
        <v>100 м2</v>
      </c>
      <c r="D32" s="50">
        <f>Source!I50</f>
        <v>0.13159999999999999</v>
      </c>
      <c r="E32" s="47"/>
    </row>
    <row r="33" spans="1:5" ht="14.25" x14ac:dyDescent="0.2">
      <c r="A33" s="47" t="str">
        <f>Source!E52</f>
        <v>7,1</v>
      </c>
      <c r="B33" s="48" t="str">
        <f>Source!G52</f>
        <v>Семена (смесь универсальная) газонных трав</v>
      </c>
      <c r="C33" s="49" t="str">
        <f>Source!H52</f>
        <v>кг</v>
      </c>
      <c r="D33" s="50">
        <f>Source!I52</f>
        <v>0.52639999999999998</v>
      </c>
      <c r="E33" s="47"/>
    </row>
    <row r="34" spans="1:5" ht="28.5" x14ac:dyDescent="0.2">
      <c r="A34" s="47" t="str">
        <f>Source!E54</f>
        <v>8</v>
      </c>
      <c r="B34" s="48" t="str">
        <f>Source!G54</f>
        <v>Установка секций металлического ограждения газонов из профилированной трубы, масса секции до 10 кг</v>
      </c>
      <c r="C34" s="49" t="str">
        <f>Source!H54</f>
        <v>1 м2</v>
      </c>
      <c r="D34" s="50">
        <f>Source!I54</f>
        <v>5.21</v>
      </c>
      <c r="E34" s="47"/>
    </row>
    <row r="35" spans="1:5" ht="14.25" x14ac:dyDescent="0.2">
      <c r="A35" s="47" t="str">
        <f>Source!E56</f>
        <v>8,1</v>
      </c>
      <c r="B35" s="48" t="str">
        <f>Source!G56</f>
        <v>Ограждение газонное из металлической профильной трубы 20х20х1,5 мм</v>
      </c>
      <c r="C35" s="49" t="str">
        <f>Source!H56</f>
        <v>м2</v>
      </c>
      <c r="D35" s="50">
        <f>Source!I56</f>
        <v>5.21</v>
      </c>
      <c r="E35" s="47"/>
    </row>
    <row r="36" spans="1:5" ht="14.25" x14ac:dyDescent="0.2">
      <c r="A36" s="47" t="str">
        <f>Source!E58</f>
        <v>9</v>
      </c>
      <c r="B36" s="48" t="str">
        <f>Source!G58</f>
        <v>Погрузка грунта вручную в автомобили-самосвалы с выгрузкой</v>
      </c>
      <c r="C36" s="49" t="str">
        <f>Source!H58</f>
        <v>100 м3 грунта</v>
      </c>
      <c r="D36" s="50">
        <f>Source!I58</f>
        <v>3.2899999999999999E-2</v>
      </c>
      <c r="E36" s="47"/>
    </row>
    <row r="37" spans="1:5" ht="28.5" x14ac:dyDescent="0.2">
      <c r="A37" s="47" t="str">
        <f>Source!E60</f>
        <v>10</v>
      </c>
      <c r="B37" s="48" t="str">
        <f>Source!G60</f>
        <v>Перевозка грунта с I по V группы на расстояние 29 км автосамосвалами грузоподъемностью до 10 т (ЮВАО)</v>
      </c>
      <c r="C37" s="49" t="str">
        <f>Source!H60</f>
        <v>1 м3</v>
      </c>
      <c r="D37" s="50">
        <f>Source!I60</f>
        <v>3.29</v>
      </c>
      <c r="E37" s="47"/>
    </row>
    <row r="38" spans="1:5" ht="16.5" x14ac:dyDescent="0.25">
      <c r="A38" s="72" t="str">
        <f>CONCATENATE("Раздел: ", Source!G92)</f>
        <v>Раздел: Демонтажные работы</v>
      </c>
      <c r="B38" s="72"/>
      <c r="C38" s="72"/>
      <c r="D38" s="72"/>
      <c r="E38" s="72"/>
    </row>
    <row r="39" spans="1:5" ht="16.5" x14ac:dyDescent="0.25">
      <c r="A39" s="72" t="str">
        <f>CONCATENATE("Подраздел: ", Source!G96)</f>
        <v>Подраздел: Входная группа</v>
      </c>
      <c r="B39" s="72"/>
      <c r="C39" s="72"/>
      <c r="D39" s="72"/>
      <c r="E39" s="72"/>
    </row>
    <row r="40" spans="1:5" ht="28.5" x14ac:dyDescent="0.2">
      <c r="A40" s="47" t="str">
        <f>Source!E100</f>
        <v>11</v>
      </c>
      <c r="B40" s="48" t="str">
        <f>Source!G100</f>
        <v>Монтаж конструкций дверей и люков (Демонтаж)</v>
      </c>
      <c r="C40" s="49" t="str">
        <f>Source!H100</f>
        <v>1 т конструкций</v>
      </c>
      <c r="D40" s="50">
        <f>Source!I100</f>
        <v>0.1</v>
      </c>
      <c r="E40" s="47"/>
    </row>
    <row r="41" spans="1:5" ht="14.25" x14ac:dyDescent="0.2">
      <c r="A41" s="47" t="str">
        <f>Source!E102</f>
        <v>11,1</v>
      </c>
      <c r="B41" s="48" t="str">
        <f>Source!G102</f>
        <v>Масса мусора</v>
      </c>
      <c r="C41" s="49" t="str">
        <f>Source!H102</f>
        <v>т</v>
      </c>
      <c r="D41" s="50">
        <f>Source!I102</f>
        <v>0.1</v>
      </c>
      <c r="E41" s="47"/>
    </row>
    <row r="42" spans="1:5" ht="28.5" x14ac:dyDescent="0.2">
      <c r="A42" s="47" t="str">
        <f>Source!E104</f>
        <v>12</v>
      </c>
      <c r="B42" s="48" t="str">
        <f>Source!G104</f>
        <v>Разборка деревянных заполнений проемов дверных, воротных 1,02*2,2*1шт=2,24м2</v>
      </c>
      <c r="C42" s="49" t="str">
        <f>Source!H104</f>
        <v>100 м2</v>
      </c>
      <c r="D42" s="50">
        <f>Source!I104</f>
        <v>2.24E-2</v>
      </c>
      <c r="E42" s="47"/>
    </row>
    <row r="43" spans="1:5" ht="14.25" x14ac:dyDescent="0.2">
      <c r="A43" s="47" t="str">
        <f>Source!E106</f>
        <v>12,1</v>
      </c>
      <c r="B43" s="48" t="str">
        <f>Source!G106</f>
        <v>Масса мусора</v>
      </c>
      <c r="C43" s="49" t="str">
        <f>Source!H106</f>
        <v>т</v>
      </c>
      <c r="D43" s="50">
        <f>Source!I106</f>
        <v>0.03</v>
      </c>
      <c r="E43" s="47"/>
    </row>
    <row r="44" spans="1:5" ht="14.25" x14ac:dyDescent="0.2">
      <c r="A44" s="47" t="str">
        <f>Source!E108</f>
        <v>13</v>
      </c>
      <c r="B44" s="48" t="str">
        <f>Source!G108</f>
        <v>Разборка фундаментов железобетонных (ограждение крыльца)</v>
      </c>
      <c r="C44" s="49" t="str">
        <f>Source!H108</f>
        <v>1 м3</v>
      </c>
      <c r="D44" s="50">
        <f>Source!I108</f>
        <v>0.09</v>
      </c>
      <c r="E44" s="47"/>
    </row>
    <row r="45" spans="1:5" ht="14.25" x14ac:dyDescent="0.2">
      <c r="A45" s="47" t="str">
        <f>Source!E110</f>
        <v>13,1</v>
      </c>
      <c r="B45" s="48" t="str">
        <f>Source!G110</f>
        <v>Масса мусора</v>
      </c>
      <c r="C45" s="49" t="str">
        <f>Source!H110</f>
        <v>т</v>
      </c>
      <c r="D45" s="50">
        <f>Source!I110</f>
        <v>-0.22499999999999998</v>
      </c>
      <c r="E45" s="47"/>
    </row>
    <row r="46" spans="1:5" ht="42.75" x14ac:dyDescent="0.2">
      <c r="A46" s="47" t="str">
        <f>Source!E112</f>
        <v>14</v>
      </c>
      <c r="B46" s="48" t="str">
        <f>Source!G112</f>
        <v>Установка металлических решеток приямков (грязезащитная)</v>
      </c>
      <c r="C46" s="49" t="str">
        <f>Source!H112</f>
        <v>1 т металлических изделий</v>
      </c>
      <c r="D46" s="50">
        <f>Source!I112</f>
        <v>0.03</v>
      </c>
      <c r="E46" s="47"/>
    </row>
    <row r="47" spans="1:5" ht="14.25" x14ac:dyDescent="0.2">
      <c r="A47" s="47" t="str">
        <f>Source!E114</f>
        <v>14,1</v>
      </c>
      <c r="B47" s="48" t="str">
        <f>Source!G114</f>
        <v>Масса мусора</v>
      </c>
      <c r="C47" s="49" t="str">
        <f>Source!H114</f>
        <v>т</v>
      </c>
      <c r="D47" s="50">
        <f>Source!I114</f>
        <v>0.03</v>
      </c>
      <c r="E47" s="47"/>
    </row>
    <row r="48" spans="1:5" ht="16.5" x14ac:dyDescent="0.25">
      <c r="A48" s="72" t="str">
        <f>CONCATENATE("Раздел: ", Source!G175)</f>
        <v>Раздел: Монтажные работы</v>
      </c>
      <c r="B48" s="72"/>
      <c r="C48" s="72"/>
      <c r="D48" s="72"/>
      <c r="E48" s="72"/>
    </row>
    <row r="49" spans="1:5" ht="16.5" x14ac:dyDescent="0.25">
      <c r="A49" s="72" t="str">
        <f>CONCATENATE("Подраздел: ", Source!G179)</f>
        <v>Подраздел: Входная группа</v>
      </c>
      <c r="B49" s="72"/>
      <c r="C49" s="72"/>
      <c r="D49" s="72"/>
      <c r="E49" s="72"/>
    </row>
    <row r="50" spans="1:5" ht="14.25" x14ac:dyDescent="0.2">
      <c r="A50" s="47" t="str">
        <f>Source!E183</f>
        <v>15</v>
      </c>
      <c r="B50" s="48" t="str">
        <f>Source!G183</f>
        <v>Устройство стяжек цементных толщиной 20 мм</v>
      </c>
      <c r="C50" s="49" t="str">
        <f>Source!H183</f>
        <v>100 м2 стяжки</v>
      </c>
      <c r="D50" s="50">
        <f>Source!I183</f>
        <v>5.0999999999999997E-2</v>
      </c>
      <c r="E50" s="47"/>
    </row>
    <row r="51" spans="1:5" ht="14.25" x14ac:dyDescent="0.2">
      <c r="A51" s="47" t="str">
        <f>Source!E185</f>
        <v>15,1</v>
      </c>
      <c r="B51" s="48" t="str">
        <f>Source!G185</f>
        <v>Растворы цементные, марка 150</v>
      </c>
      <c r="C51" s="49" t="str">
        <f>Source!H185</f>
        <v>м3</v>
      </c>
      <c r="D51" s="50">
        <f>Source!I185</f>
        <v>0.10403999999999999</v>
      </c>
      <c r="E51" s="47"/>
    </row>
    <row r="52" spans="1:5" ht="28.5" x14ac:dyDescent="0.2">
      <c r="A52" s="47" t="str">
        <f>Source!E187</f>
        <v>16</v>
      </c>
      <c r="B52" s="48" t="str">
        <f>Source!G187</f>
        <v>Устройство покрытий на цементном растворе из плиток бетонных, цементных или мозаичных</v>
      </c>
      <c r="C52" s="49" t="str">
        <f>Source!H187</f>
        <v>100 м2 покрытия</v>
      </c>
      <c r="D52" s="50">
        <f>Source!I187</f>
        <v>5.0999999999999997E-2</v>
      </c>
      <c r="E52" s="47"/>
    </row>
    <row r="53" spans="1:5" ht="14.25" x14ac:dyDescent="0.2">
      <c r="A53" s="47" t="str">
        <f>Source!E189</f>
        <v>16,1</v>
      </c>
      <c r="B53" s="48" t="str">
        <f>Source!G189</f>
        <v>Плиты бетонные тротуарные, толщина 70 мм, цвет серый</v>
      </c>
      <c r="C53" s="49" t="str">
        <f>Source!H189</f>
        <v>м2</v>
      </c>
      <c r="D53" s="50">
        <f>Source!I189</f>
        <v>5.202</v>
      </c>
      <c r="E53" s="47"/>
    </row>
    <row r="54" spans="1:5" ht="42.75" x14ac:dyDescent="0.2">
      <c r="A54" s="47" t="str">
        <f>Source!E191</f>
        <v>17</v>
      </c>
      <c r="B54" s="48" t="str">
        <f>Source!G191</f>
        <v>Устройство полов из керамических крупноразмерных плиток типа керамогранит на клее из сухих смесей толщиной слоя 4 мм с затиркой швов</v>
      </c>
      <c r="C54" s="49" t="str">
        <f>Source!H191</f>
        <v>100 м2 пола</v>
      </c>
      <c r="D54" s="50">
        <f>Source!I191</f>
        <v>1.7999999999999999E-2</v>
      </c>
      <c r="E54" s="47"/>
    </row>
    <row r="55" spans="1:5" ht="14.25" x14ac:dyDescent="0.2">
      <c r="A55" s="47" t="str">
        <f>Source!E193</f>
        <v>17,1</v>
      </c>
      <c r="B55" s="48" t="str">
        <f>Source!G193</f>
        <v>Смеси сухие для заполнения швов между плитками, цветные</v>
      </c>
      <c r="C55" s="49" t="str">
        <f>Source!H193</f>
        <v>т</v>
      </c>
      <c r="D55" s="50">
        <f>Source!I193</f>
        <v>2E-3</v>
      </c>
      <c r="E55" s="47"/>
    </row>
    <row r="56" spans="1:5" ht="57" x14ac:dyDescent="0.2">
      <c r="A56" s="47" t="str">
        <f>Source!E195</f>
        <v>17,2</v>
      </c>
      <c r="B56" s="48" t="str">
        <f>Source!G195</f>
        <v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v>
      </c>
      <c r="C56" s="49" t="str">
        <f>Source!H195</f>
        <v>т</v>
      </c>
      <c r="D56" s="50">
        <f>Source!I195</f>
        <v>8.4600000000000005E-3</v>
      </c>
      <c r="E56" s="47"/>
    </row>
    <row r="57" spans="1:5" ht="28.5" x14ac:dyDescent="0.2">
      <c r="A57" s="47" t="str">
        <f>Source!E197</f>
        <v>17,3</v>
      </c>
      <c r="B57" s="48" t="str">
        <f>Source!G197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C57" s="49" t="str">
        <f>Source!H197</f>
        <v>м2</v>
      </c>
      <c r="D57" s="50">
        <f>Source!I197</f>
        <v>1.8360000000000001</v>
      </c>
      <c r="E57" s="47"/>
    </row>
    <row r="58" spans="1:5" ht="28.5" x14ac:dyDescent="0.2">
      <c r="A58" s="47" t="str">
        <f>Source!E199</f>
        <v>18</v>
      </c>
      <c r="B58" s="48" t="str">
        <f>Source!G199</f>
        <v>Установка металлических ограждений без поручня</v>
      </c>
      <c r="C58" s="49" t="str">
        <f>Source!H199</f>
        <v>100 м ограждений</v>
      </c>
      <c r="D58" s="50">
        <f>Source!I199</f>
        <v>0.15</v>
      </c>
      <c r="E58" s="47"/>
    </row>
    <row r="59" spans="1:5" ht="28.5" x14ac:dyDescent="0.2">
      <c r="A59" s="47" t="str">
        <f>Source!E201</f>
        <v>18,1</v>
      </c>
      <c r="B59" s="48" t="str">
        <f>Source!G201</f>
        <v>Цемент общестроительный, портландцемент общего назначения, марка 300</v>
      </c>
      <c r="C59" s="49" t="str">
        <f>Source!H201</f>
        <v>т</v>
      </c>
      <c r="D59" s="50">
        <f>Source!I201</f>
        <v>2.2499999999999999E-2</v>
      </c>
      <c r="E59" s="47"/>
    </row>
    <row r="60" spans="1:5" ht="14.25" x14ac:dyDescent="0.2">
      <c r="A60" s="47" t="str">
        <f>Source!E203</f>
        <v>18,2</v>
      </c>
      <c r="B60" s="48" t="str">
        <f>Source!G203</f>
        <v>Ограждение пандуса из нержавеющей</v>
      </c>
      <c r="C60" s="49" t="str">
        <f>Source!H203</f>
        <v>ПМ</v>
      </c>
      <c r="D60" s="50">
        <f>Source!I203</f>
        <v>11.1</v>
      </c>
      <c r="E60" s="47"/>
    </row>
    <row r="61" spans="1:5" ht="14.25" x14ac:dyDescent="0.2">
      <c r="A61" s="47" t="str">
        <f>Source!E205</f>
        <v>18,3</v>
      </c>
      <c r="B61" s="48" t="str">
        <f>Source!G205</f>
        <v>Ограждения из нержавеющей стали лестниц</v>
      </c>
      <c r="C61" s="49" t="str">
        <f>Source!H205</f>
        <v>ПМ</v>
      </c>
      <c r="D61" s="50">
        <f>Source!I205</f>
        <v>3.9</v>
      </c>
      <c r="E61" s="47"/>
    </row>
    <row r="62" spans="1:5" ht="57" x14ac:dyDescent="0.2">
      <c r="A62" s="47" t="str">
        <f>Source!E207</f>
        <v>19</v>
      </c>
      <c r="B62" s="48" t="str">
        <f>Source!G207</f>
        <v>Штукатурка поверхностей оконных и дверных откосов по бетону и камню плоских 5,4*0,15=0,81м2+1,24*0,4=5,3м2</v>
      </c>
      <c r="C62" s="49" t="str">
        <f>Source!H207</f>
        <v>100 м2 оштукатуриваемой поверхности</v>
      </c>
      <c r="D62" s="50">
        <f>Source!I207</f>
        <v>6.0999999999999999E-2</v>
      </c>
      <c r="E62" s="47"/>
    </row>
    <row r="63" spans="1:5" ht="14.25" x14ac:dyDescent="0.2">
      <c r="A63" s="47" t="str">
        <f>Source!E209</f>
        <v>19,1</v>
      </c>
      <c r="B63" s="48" t="str">
        <f>Source!G209</f>
        <v>Вода</v>
      </c>
      <c r="C63" s="49" t="str">
        <f>Source!H209</f>
        <v>м3</v>
      </c>
      <c r="D63" s="50">
        <f>Source!I209</f>
        <v>1.503E-2</v>
      </c>
      <c r="E63" s="47"/>
    </row>
    <row r="64" spans="1:5" ht="42.75" x14ac:dyDescent="0.2">
      <c r="A64" s="47" t="str">
        <f>Source!E211</f>
        <v>19,2</v>
      </c>
      <c r="B64" s="48" t="str">
        <f>Source!G211</f>
        <v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v>
      </c>
      <c r="C64" s="49" t="str">
        <f>Source!H211</f>
        <v>т</v>
      </c>
      <c r="D64" s="50">
        <f>Source!I211</f>
        <v>8.5888000000000006E-2</v>
      </c>
      <c r="E64" s="47"/>
    </row>
    <row r="65" spans="1:5" ht="14.25" x14ac:dyDescent="0.2">
      <c r="A65" s="47" t="str">
        <f>Source!E213</f>
        <v>19,3</v>
      </c>
      <c r="B65" s="48" t="str">
        <f>Source!G213</f>
        <v>Растворы цементно-известковые, марка 25</v>
      </c>
      <c r="C65" s="49" t="str">
        <f>Source!H213</f>
        <v>м3</v>
      </c>
      <c r="D65" s="50">
        <f>Source!I213</f>
        <v>0.20984</v>
      </c>
      <c r="E65" s="47"/>
    </row>
    <row r="66" spans="1:5" ht="42.75" x14ac:dyDescent="0.2">
      <c r="A66" s="47" t="str">
        <f>Source!E215</f>
        <v>20</v>
      </c>
      <c r="B66" s="48" t="str">
        <f>Source!G215</f>
        <v>Улучшенная окраска поливинилацетатными водоэмульсионными составами по штукатурке стен</v>
      </c>
      <c r="C66" s="49" t="str">
        <f>Source!H215</f>
        <v>100 м2 окрашиваемой поверхности</v>
      </c>
      <c r="D66" s="50">
        <f>Source!I215</f>
        <v>6.0999999999999999E-2</v>
      </c>
      <c r="E66" s="47"/>
    </row>
    <row r="67" spans="1:5" ht="14.25" x14ac:dyDescent="0.2">
      <c r="A67" s="47" t="str">
        <f>Source!E217</f>
        <v>20,1</v>
      </c>
      <c r="B67" s="48" t="str">
        <f>Source!G217</f>
        <v>Шпатлевка масляно-клеевая универсальная</v>
      </c>
      <c r="C67" s="49" t="str">
        <f>Source!H217</f>
        <v>т</v>
      </c>
      <c r="D67" s="50">
        <f>Source!I217</f>
        <v>3.1110000000000001E-3</v>
      </c>
      <c r="E67" s="47"/>
    </row>
    <row r="68" spans="1:5" ht="28.5" x14ac:dyDescent="0.2">
      <c r="A68" s="47" t="str">
        <f>Source!E219</f>
        <v>20,2</v>
      </c>
      <c r="B68" s="48" t="str">
        <f>Source!G219</f>
        <v>Краски водно-дисперсионные поливинилацетатные, белые, марка ВД-ВА-17</v>
      </c>
      <c r="C68" s="49" t="str">
        <f>Source!H219</f>
        <v>т</v>
      </c>
      <c r="D68" s="50">
        <f>Source!I219</f>
        <v>3.8430000000000001E-3</v>
      </c>
      <c r="E68" s="47"/>
    </row>
    <row r="69" spans="1:5" ht="28.5" x14ac:dyDescent="0.2">
      <c r="A69" s="47" t="str">
        <f>Source!E221</f>
        <v>21</v>
      </c>
      <c r="B69" s="48" t="str">
        <f>Source!G221</f>
        <v>Монтаж конструкций дверей и люков</v>
      </c>
      <c r="C69" s="49" t="str">
        <f>Source!H221</f>
        <v>1 т конструкций</v>
      </c>
      <c r="D69" s="50">
        <f>Source!I221</f>
        <v>0.1</v>
      </c>
      <c r="E69" s="47"/>
    </row>
    <row r="70" spans="1:5" ht="57" x14ac:dyDescent="0.2">
      <c r="A70" s="47" t="str">
        <f>Source!E223</f>
        <v>21,1</v>
      </c>
      <c r="B70" s="48" t="str">
        <f>Source!G223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C70" s="49" t="str">
        <f>Source!H223</f>
        <v>шт.</v>
      </c>
      <c r="D70" s="50">
        <f>Source!I223</f>
        <v>3</v>
      </c>
      <c r="E70" s="47"/>
    </row>
    <row r="71" spans="1:5" ht="42.75" x14ac:dyDescent="0.2">
      <c r="A71" s="47" t="str">
        <f>Source!E225</f>
        <v>21,2</v>
      </c>
      <c r="B71" s="48" t="str">
        <f>Source!G225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C71" s="49" t="str">
        <f>Source!H225</f>
        <v>шт.</v>
      </c>
      <c r="D71" s="50">
        <f>Source!I225</f>
        <v>4</v>
      </c>
      <c r="E71" s="47"/>
    </row>
    <row r="72" spans="1:5" ht="28.5" x14ac:dyDescent="0.2">
      <c r="A72" s="47" t="str">
        <f>Source!E227</f>
        <v>22</v>
      </c>
      <c r="B72" s="48" t="str">
        <f>Source!G227</f>
        <v>Установка противопожарных металлических однопольных дверных блоков</v>
      </c>
      <c r="C72" s="49" t="str">
        <f>Source!H227</f>
        <v>10 шт.</v>
      </c>
      <c r="D72" s="50">
        <f>Source!I227</f>
        <v>0.3</v>
      </c>
      <c r="E72" s="47"/>
    </row>
    <row r="73" spans="1:5" ht="57" x14ac:dyDescent="0.2">
      <c r="A73" s="47" t="str">
        <f>Source!E229</f>
        <v>22,1</v>
      </c>
      <c r="B73" s="48" t="str">
        <f>Source!G229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C73" s="49" t="str">
        <f>Source!H229</f>
        <v>шт.</v>
      </c>
      <c r="D73" s="50">
        <f>Source!I229</f>
        <v>3</v>
      </c>
      <c r="E73" s="47"/>
    </row>
    <row r="74" spans="1:5" ht="42.75" x14ac:dyDescent="0.2">
      <c r="A74" s="47" t="str">
        <f>Source!E231</f>
        <v>22,2</v>
      </c>
      <c r="B74" s="48" t="str">
        <f>Source!G231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C74" s="49" t="str">
        <f>Source!H231</f>
        <v>шт.</v>
      </c>
      <c r="D74" s="50">
        <f>Source!I231</f>
        <v>6</v>
      </c>
      <c r="E74" s="47"/>
    </row>
    <row r="75" spans="1:5" ht="14.25" x14ac:dyDescent="0.2">
      <c r="A75" s="47" t="str">
        <f>Source!E233</f>
        <v>23</v>
      </c>
      <c r="B75" s="48" t="str">
        <f>Source!G233</f>
        <v>Установка дверного доводчика к металлическим дверям</v>
      </c>
      <c r="C75" s="49" t="str">
        <f>Source!H233</f>
        <v>1  ШТ.</v>
      </c>
      <c r="D75" s="50">
        <f>Source!I233</f>
        <v>3</v>
      </c>
      <c r="E75" s="47"/>
    </row>
    <row r="76" spans="1:5" ht="14.25" x14ac:dyDescent="0.2">
      <c r="A76" s="47" t="str">
        <f>Source!E235</f>
        <v>23,1</v>
      </c>
      <c r="B76" s="48" t="str">
        <f>Source!G235</f>
        <v>Доводчик дверной типа «ДОРМА» TS/83, масса двери до 150 кг</v>
      </c>
      <c r="C76" s="49" t="str">
        <f>Source!H235</f>
        <v>КОМПЛЕКТ</v>
      </c>
      <c r="D76" s="50">
        <f>Source!I235</f>
        <v>3</v>
      </c>
      <c r="E76" s="47"/>
    </row>
    <row r="77" spans="1:5" ht="16.5" x14ac:dyDescent="0.25">
      <c r="A77" s="72" t="str">
        <f>CONCATENATE("Подраздел: ", Source!G267)</f>
        <v>Подраздел: Обеспечение доступа МГН</v>
      </c>
      <c r="B77" s="72"/>
      <c r="C77" s="72"/>
      <c r="D77" s="72"/>
      <c r="E77" s="72"/>
    </row>
    <row r="78" spans="1:5" ht="28.5" x14ac:dyDescent="0.2">
      <c r="A78" s="47" t="str">
        <f>Source!E271</f>
        <v>24</v>
      </c>
      <c r="B78" s="48" t="str">
        <f>Source!G271</f>
        <v>Укладка тактильных плиток (указателей) поливинилхлоридных размером 300х300х4 мм на клее</v>
      </c>
      <c r="C78" s="49" t="str">
        <f>Source!H271</f>
        <v>10 шт.</v>
      </c>
      <c r="D78" s="50">
        <f>Source!I271</f>
        <v>3.5</v>
      </c>
      <c r="E78" s="47"/>
    </row>
    <row r="79" spans="1:5" ht="14.25" x14ac:dyDescent="0.2">
      <c r="A79" s="47" t="str">
        <f>Source!E273</f>
        <v>24,1</v>
      </c>
      <c r="B79" s="48" t="str">
        <f>Source!G273</f>
        <v>Плитка тактильная поливинилхлоридная, размеры 300х300х4 мм</v>
      </c>
      <c r="C79" s="49" t="str">
        <f>Source!H273</f>
        <v>м2</v>
      </c>
      <c r="D79" s="50">
        <f>Source!I273</f>
        <v>3.15</v>
      </c>
      <c r="E79" s="47"/>
    </row>
    <row r="80" spans="1:5" ht="28.5" x14ac:dyDescent="0.2">
      <c r="A80" s="47" t="str">
        <f>Source!E275</f>
        <v>25</v>
      </c>
      <c r="B80" s="48" t="str">
        <f>Source!G275</f>
        <v>Укладка наземных тактильных плит (указателей) на слой сухой цементно-песчаной смеси вручную, плитка размером 500х500х100 (80) мм</v>
      </c>
      <c r="C80" s="49" t="str">
        <f>Source!H275</f>
        <v>10 шт.</v>
      </c>
      <c r="D80" s="50">
        <f>Source!I275</f>
        <v>0.8</v>
      </c>
      <c r="E80" s="47"/>
    </row>
    <row r="81" spans="1:5" ht="28.5" x14ac:dyDescent="0.2">
      <c r="A81" s="47" t="str">
        <f>Source!E277</f>
        <v>25,1</v>
      </c>
      <c r="B81" s="48" t="str">
        <f>Source!G277</f>
        <v>Смеси сухие цементно-песчаные, универсальные для общестроительных и штукатурных работ, марка М-150</v>
      </c>
      <c r="C81" s="49" t="str">
        <f>Source!H277</f>
        <v>т</v>
      </c>
      <c r="D81" s="50">
        <f>Source!I277</f>
        <v>0.1148</v>
      </c>
      <c r="E81" s="47"/>
    </row>
    <row r="82" spans="1:5" ht="14.25" x14ac:dyDescent="0.2">
      <c r="A82" s="47" t="str">
        <f>Source!E279</f>
        <v>25,2</v>
      </c>
      <c r="B82" s="48" t="str">
        <f>Source!G279</f>
        <v>Плиты бетонные тротуарные тактильные, толщина 80 мм, цвет серый</v>
      </c>
      <c r="C82" s="49" t="str">
        <f>Source!H279</f>
        <v>м2</v>
      </c>
      <c r="D82" s="50">
        <f>Source!I279</f>
        <v>2.88</v>
      </c>
      <c r="E82" s="47"/>
    </row>
    <row r="83" spans="1:5" ht="42.75" x14ac:dyDescent="0.2">
      <c r="A83" s="47" t="str">
        <f>Source!E281</f>
        <v>26</v>
      </c>
      <c r="B83" s="48" t="str">
        <f>Source!G281</f>
        <v>Покрытие полов мягкими коврами по готовому основанию без галтелей или плинтусов на клей "Бустилат" (лента противоскользящаям 0,025*3,4м)</v>
      </c>
      <c r="C83" s="49" t="str">
        <f>Source!H281</f>
        <v>100 м2 покрытия</v>
      </c>
      <c r="D83" s="50">
        <f>Source!I281</f>
        <v>8.4999999999999995E-4</v>
      </c>
      <c r="E83" s="47"/>
    </row>
    <row r="84" spans="1:5" ht="14.25" x14ac:dyDescent="0.2">
      <c r="A84" s="47" t="str">
        <f>Source!E283</f>
        <v>26,1</v>
      </c>
      <c r="B84" s="48" t="str">
        <f>Source!G283</f>
        <v>Цветная нескользящая лента Л-25, светонакопительная. 25мм</v>
      </c>
      <c r="C84" s="49" t="str">
        <f>Source!H283</f>
        <v>м</v>
      </c>
      <c r="D84" s="50">
        <f>Source!I283</f>
        <v>3.4</v>
      </c>
      <c r="E84" s="47"/>
    </row>
    <row r="85" spans="1:5" ht="14.25" x14ac:dyDescent="0.2">
      <c r="A85" s="47" t="str">
        <f>Source!E285</f>
        <v>26,2</v>
      </c>
      <c r="B85" s="48" t="str">
        <f>Source!G285</f>
        <v>Клей дисперсный, "АДМ-К"</v>
      </c>
      <c r="C85" s="49" t="str">
        <f>Source!H285</f>
        <v>т</v>
      </c>
      <c r="D85" s="50">
        <f>Source!I285</f>
        <v>5.9999999999999995E-5</v>
      </c>
      <c r="E85" s="47"/>
    </row>
    <row r="86" spans="1:5" ht="14.25" x14ac:dyDescent="0.2">
      <c r="A86" s="47" t="str">
        <f>Source!E287</f>
        <v>27</v>
      </c>
      <c r="B86" s="48" t="str">
        <f>Source!G287</f>
        <v>Установка номерных табличек для квартир</v>
      </c>
      <c r="C86" s="49" t="str">
        <f>Source!H287</f>
        <v>шт.</v>
      </c>
      <c r="D86" s="50">
        <f>Source!I287</f>
        <v>10</v>
      </c>
      <c r="E86" s="47"/>
    </row>
    <row r="87" spans="1:5" ht="14.25" x14ac:dyDescent="0.2">
      <c r="A87" s="47" t="str">
        <f>Source!E289</f>
        <v>27,1</v>
      </c>
      <c r="B87" s="48" t="str">
        <f>Source!G289</f>
        <v>Таблички с шрифтом Брайля 270х50</v>
      </c>
      <c r="C87" s="49" t="str">
        <f>Source!H289</f>
        <v>шт.</v>
      </c>
      <c r="D87" s="50">
        <f>Source!I289</f>
        <v>2</v>
      </c>
      <c r="E87" s="47"/>
    </row>
    <row r="88" spans="1:5" ht="14.25" x14ac:dyDescent="0.2">
      <c r="A88" s="47" t="str">
        <f>Source!E291</f>
        <v>27,2</v>
      </c>
      <c r="B88" s="48" t="str">
        <f>Source!G291</f>
        <v>Пиктограмма СП-11 Направление движения, поворот. 200 x 200мм</v>
      </c>
      <c r="C88" s="49" t="str">
        <f>Source!H291</f>
        <v>шт.</v>
      </c>
      <c r="D88" s="50">
        <f>Source!I291</f>
        <v>7</v>
      </c>
      <c r="E88" s="47"/>
    </row>
    <row r="89" spans="1:5" ht="14.25" x14ac:dyDescent="0.2">
      <c r="A89" s="47" t="str">
        <f>Source!E293</f>
        <v>27,3</v>
      </c>
      <c r="B89" s="48" t="str">
        <f>Source!G293</f>
        <v>Маяк световой для дверных проемов (пара). 150 x 290 x 40мм</v>
      </c>
      <c r="C89" s="49" t="str">
        <f>Source!H293</f>
        <v>пара</v>
      </c>
      <c r="D89" s="50">
        <f>Source!I293</f>
        <v>1</v>
      </c>
      <c r="E89" s="47"/>
    </row>
    <row r="90" spans="1:5" ht="16.5" x14ac:dyDescent="0.25">
      <c r="A90" s="72" t="str">
        <f>CONCATENATE("Подраздел: ", Source!G325)</f>
        <v>Подраздел: Конструктивные решения</v>
      </c>
      <c r="B90" s="72"/>
      <c r="C90" s="72"/>
      <c r="D90" s="72"/>
      <c r="E90" s="72"/>
    </row>
    <row r="91" spans="1:5" ht="57" x14ac:dyDescent="0.2">
      <c r="A91" s="47" t="str">
        <f>Source!E329</f>
        <v>28</v>
      </c>
      <c r="B91" s="48" t="str">
        <f>Source!G329</f>
        <v>Устройство подстилающих и выравнивающих слоев оснований из песка</v>
      </c>
      <c r="C91" s="49" t="str">
        <f>Source!H329</f>
        <v>100 м3 материала основания (в плотном теле)</v>
      </c>
      <c r="D91" s="50">
        <f>Source!I329</f>
        <v>3.0000000000000001E-3</v>
      </c>
      <c r="E91" s="47"/>
    </row>
    <row r="92" spans="1:5" ht="14.25" x14ac:dyDescent="0.2">
      <c r="A92" s="47" t="str">
        <f>Source!E331</f>
        <v>28,1</v>
      </c>
      <c r="B92" s="48" t="str">
        <f>Source!G331</f>
        <v>Песок для строительных работ, рядовой</v>
      </c>
      <c r="C92" s="49" t="str">
        <f>Source!H331</f>
        <v>м3</v>
      </c>
      <c r="D92" s="50">
        <f>Source!I331</f>
        <v>0.3</v>
      </c>
      <c r="E92" s="47"/>
    </row>
    <row r="93" spans="1:5" ht="14.25" x14ac:dyDescent="0.2">
      <c r="A93" s="47" t="str">
        <f>Source!E333</f>
        <v>29</v>
      </c>
      <c r="B93" s="48" t="str">
        <f>Source!G333</f>
        <v>Устройство бетонной подготовки</v>
      </c>
      <c r="C93" s="49" t="str">
        <f>Source!H333</f>
        <v>100 м3 в деле</v>
      </c>
      <c r="D93" s="50">
        <f>Source!I333</f>
        <v>8.0000000000000004E-4</v>
      </c>
      <c r="E93" s="47"/>
    </row>
    <row r="94" spans="1:5" ht="28.5" x14ac:dyDescent="0.2">
      <c r="A94" s="47" t="str">
        <f>Source!E335</f>
        <v>29,1</v>
      </c>
      <c r="B94" s="48" t="str">
        <f>Source!G335</f>
        <v>Смеси бетонные, БСГ, песчаного бетона, класс прочности В7,5 (М100); П1, F50, W2</v>
      </c>
      <c r="C94" s="49" t="str">
        <f>Source!H335</f>
        <v>м3</v>
      </c>
      <c r="D94" s="50">
        <f>Source!I335</f>
        <v>8.1600000000000006E-2</v>
      </c>
      <c r="E94" s="47"/>
    </row>
    <row r="95" spans="1:5" ht="14.25" x14ac:dyDescent="0.2">
      <c r="A95" s="47" t="str">
        <f>Source!E337</f>
        <v>30</v>
      </c>
      <c r="B95" s="48" t="str">
        <f>Source!G337</f>
        <v>Устройство фундаментных плит железобетонных плоских</v>
      </c>
      <c r="C95" s="49" t="str">
        <f>Source!H337</f>
        <v>100 м3 в деле</v>
      </c>
      <c r="D95" s="50">
        <f>Source!I337</f>
        <v>1.1999999999999999E-3</v>
      </c>
      <c r="E95" s="47"/>
    </row>
    <row r="96" spans="1:5" ht="42.75" x14ac:dyDescent="0.2">
      <c r="A96" s="47" t="str">
        <f>Source!E339</f>
        <v>30,1</v>
      </c>
      <c r="B96" s="48" t="str">
        <f>Source!G339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C96" s="49" t="str">
        <f>Source!H339</f>
        <v>т</v>
      </c>
      <c r="D96" s="50">
        <f>Source!I339</f>
        <v>2E-3</v>
      </c>
      <c r="E96" s="47"/>
    </row>
    <row r="97" spans="1:5" ht="42.75" x14ac:dyDescent="0.2">
      <c r="A97" s="47" t="str">
        <f>Source!E341</f>
        <v>30,2</v>
      </c>
      <c r="B97" s="48" t="str">
        <f>Source!G341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C97" s="49" t="str">
        <f>Source!H341</f>
        <v>т</v>
      </c>
      <c r="D97" s="50">
        <f>Source!I341</f>
        <v>4.0000000000000001E-3</v>
      </c>
      <c r="E97" s="47"/>
    </row>
    <row r="98" spans="1:5" ht="28.5" x14ac:dyDescent="0.2">
      <c r="A98" s="47" t="str">
        <f>Source!E343</f>
        <v>30,3</v>
      </c>
      <c r="B98" s="48" t="str">
        <f>Source!G343</f>
        <v>Смеси бетонные, БСГ, тяжелого бетона на гранитном щебне, класс прочности В20 (М250); П3, фракция 5-20, F100, W2</v>
      </c>
      <c r="C98" s="49" t="str">
        <f>Source!H343</f>
        <v>м3</v>
      </c>
      <c r="D98" s="50">
        <f>Source!I343</f>
        <v>0.12180000000000001</v>
      </c>
      <c r="E98" s="47"/>
    </row>
    <row r="99" spans="1:5" ht="28.5" x14ac:dyDescent="0.2">
      <c r="A99" s="47" t="str">
        <f>Source!E345</f>
        <v>31</v>
      </c>
      <c r="B99" s="48" t="str">
        <f>Source!G345</f>
        <v>Монтаж площадок с настилом и ограждением из листовой, рифленой, просечной и круглой стали</v>
      </c>
      <c r="C99" s="49" t="str">
        <f>Source!H345</f>
        <v>1 т конструкций</v>
      </c>
      <c r="D99" s="50">
        <f>Source!I345</f>
        <v>0.27</v>
      </c>
      <c r="E99" s="47"/>
    </row>
    <row r="100" spans="1:5" ht="28.5" x14ac:dyDescent="0.2">
      <c r="A100" s="47" t="str">
        <f>Source!E347</f>
        <v>31,1</v>
      </c>
      <c r="B100" s="48" t="str">
        <f>Source!G347</f>
        <v>Болты строительные с гайками с шестигранной головкой, диаметр резьбы 6 мм</v>
      </c>
      <c r="C100" s="49" t="str">
        <f>Source!H347</f>
        <v>т</v>
      </c>
      <c r="D100" s="50">
        <f>Source!I347</f>
        <v>2.2741999999999998E-2</v>
      </c>
      <c r="E100" s="47"/>
    </row>
    <row r="101" spans="1:5" ht="28.5" x14ac:dyDescent="0.2">
      <c r="A101" s="47" t="str">
        <f>Source!E349</f>
        <v>31,2</v>
      </c>
      <c r="B101" s="48" t="str">
        <f>Source!G349</f>
        <v>Профили стальные электросварные квадратного сечения трубчатые, размер стороны 60 мм, толщина стенки 3 мм</v>
      </c>
      <c r="C101" s="49" t="str">
        <f>Source!H349</f>
        <v>т</v>
      </c>
      <c r="D101" s="50">
        <f>Source!I349</f>
        <v>0.09</v>
      </c>
      <c r="E101" s="47"/>
    </row>
    <row r="102" spans="1:5" ht="28.5" x14ac:dyDescent="0.2">
      <c r="A102" s="47" t="str">
        <f>Source!E351</f>
        <v>31,3</v>
      </c>
      <c r="B102" s="48" t="str">
        <f>Source!G351</f>
        <v>Сталь угловая равнополочная общего назначения, марка Ст0, ширина полки более 70 мм</v>
      </c>
      <c r="C102" s="49" t="str">
        <f>Source!H351</f>
        <v>т</v>
      </c>
      <c r="D102" s="50">
        <f>Source!I351</f>
        <v>0.08</v>
      </c>
      <c r="E102" s="47"/>
    </row>
    <row r="103" spans="1:5" ht="28.5" x14ac:dyDescent="0.2">
      <c r="A103" s="47" t="str">
        <f>Source!E353</f>
        <v>31,4</v>
      </c>
      <c r="B103" s="48" t="str">
        <f>Source!G353</f>
        <v>Сталь толстолистовая, толщина более 4 мм, общего назначения, марка Ст1сп-Ст6сп</v>
      </c>
      <c r="C103" s="49" t="str">
        <f>Source!H353</f>
        <v>т</v>
      </c>
      <c r="D103" s="50">
        <f>Source!I353</f>
        <v>0.02</v>
      </c>
      <c r="E103" s="47"/>
    </row>
    <row r="104" spans="1:5" ht="42.75" x14ac:dyDescent="0.2">
      <c r="A104" s="47" t="str">
        <f>Source!E355</f>
        <v>31,5</v>
      </c>
      <c r="B104" s="48" t="str">
        <f>Source!G355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C104" s="49" t="str">
        <f>Source!H355</f>
        <v>т</v>
      </c>
      <c r="D104" s="50">
        <f>Source!I355</f>
        <v>0.08</v>
      </c>
      <c r="E104" s="47"/>
    </row>
    <row r="105" spans="1:5" ht="16.5" x14ac:dyDescent="0.25">
      <c r="A105" s="72" t="str">
        <f>CONCATENATE("Подраздел: ", Source!G387)</f>
        <v>Подраздел: Сети связи</v>
      </c>
      <c r="B105" s="72"/>
      <c r="C105" s="72"/>
      <c r="D105" s="72"/>
      <c r="E105" s="72"/>
    </row>
    <row r="106" spans="1:5" ht="14.25" x14ac:dyDescent="0.2">
      <c r="A106" s="47" t="str">
        <f>Source!E391</f>
        <v>32</v>
      </c>
      <c r="B106" s="48" t="str">
        <f>Source!G391</f>
        <v>Аппаратура настенного типа, звонок ( МР-413W8)</v>
      </c>
      <c r="C106" s="49" t="str">
        <f>Source!H391</f>
        <v>1  ШТ.</v>
      </c>
      <c r="D106" s="50">
        <f>Source!I391</f>
        <v>2</v>
      </c>
      <c r="E106" s="47"/>
    </row>
    <row r="107" spans="1:5" ht="14.25" x14ac:dyDescent="0.2">
      <c r="A107" s="47" t="str">
        <f>Source!E393</f>
        <v>33</v>
      </c>
      <c r="B107" s="48" t="str">
        <f>Source!G393</f>
        <v>Громкоговоритель или звуковая колонка в помещении( МР-821W1)</v>
      </c>
      <c r="C107" s="49" t="str">
        <f>Source!H393</f>
        <v>1  ШТ.</v>
      </c>
      <c r="D107" s="50">
        <f>Source!I393</f>
        <v>1</v>
      </c>
      <c r="E107" s="47"/>
    </row>
    <row r="108" spans="1:5" ht="28.5" x14ac:dyDescent="0.2">
      <c r="A108" s="47" t="str">
        <f>Source!E395</f>
        <v>34</v>
      </c>
      <c r="B108" s="48" t="str">
        <f>Source!G395</f>
        <v>Светильники для ламп накаливания, световые настенные указатели (Gc-0611W2)</v>
      </c>
      <c r="C108" s="49" t="str">
        <f>Source!H395</f>
        <v>100 шт.</v>
      </c>
      <c r="D108" s="50">
        <f>Source!I395</f>
        <v>0.01</v>
      </c>
      <c r="E108" s="47"/>
    </row>
    <row r="109" spans="1:5" ht="28.5" x14ac:dyDescent="0.2">
      <c r="A109" s="47" t="str">
        <f>Source!E397</f>
        <v>35</v>
      </c>
      <c r="B109" s="48" t="str">
        <f>Source!G397</f>
        <v>Приборы, устанавливаемые на металлоконструкциях или щитах, масса приборов до 5 кг (Привод 3)</v>
      </c>
      <c r="C109" s="49" t="str">
        <f>Source!H397</f>
        <v>1  ШТ.</v>
      </c>
      <c r="D109" s="50">
        <f>Source!I397</f>
        <v>1</v>
      </c>
      <c r="E109" s="47"/>
    </row>
    <row r="110" spans="1:5" ht="14.25" x14ac:dyDescent="0.2">
      <c r="A110" s="47" t="str">
        <f>Source!E399</f>
        <v>36</v>
      </c>
      <c r="B110" s="48" t="str">
        <f>Source!G399</f>
        <v>Стойка, полустойка, каркас стойки или шкаф, масса до 100 кг</v>
      </c>
      <c r="C110" s="49" t="str">
        <f>Source!H399</f>
        <v>1  ШТ.</v>
      </c>
      <c r="D110" s="50">
        <f>Source!I399</f>
        <v>1</v>
      </c>
      <c r="E110" s="47"/>
    </row>
    <row r="111" spans="1:5" ht="14.25" x14ac:dyDescent="0.2">
      <c r="A111" s="47" t="str">
        <f>Source!E401</f>
        <v>36,1</v>
      </c>
      <c r="B111" s="48" t="str">
        <f>Source!G401</f>
        <v>Штольц 150*250 тр.60*30 стойка</v>
      </c>
      <c r="C111" s="49" t="str">
        <f>Source!H401</f>
        <v>шт.</v>
      </c>
      <c r="D111" s="50">
        <f>Source!I401</f>
        <v>1</v>
      </c>
      <c r="E111" s="47"/>
    </row>
    <row r="112" spans="1:5" ht="28.5" x14ac:dyDescent="0.2">
      <c r="A112" s="47" t="str">
        <f>Source!E403</f>
        <v>37</v>
      </c>
      <c r="B112" s="48" t="str">
        <f>Source!G403</f>
        <v>Трубы гофрированные поливинилхлоридные наружным диаметром 16 мм открыто по стенам и потолкам с установкой соединительных коробок</v>
      </c>
      <c r="C112" s="49" t="str">
        <f>Source!H403</f>
        <v>100 м</v>
      </c>
      <c r="D112" s="50">
        <f>Source!I403</f>
        <v>0.05</v>
      </c>
      <c r="E112" s="47"/>
    </row>
    <row r="113" spans="1:5" ht="28.5" x14ac:dyDescent="0.2">
      <c r="A113" s="47" t="str">
        <f>Source!E405</f>
        <v>37,1</v>
      </c>
      <c r="B113" s="48" t="str">
        <f>Source!G405</f>
        <v>Трубы электротехнические гофрированные, поливинилхлоридные, негорючие, с зондом, наружный диаметр 16 мм</v>
      </c>
      <c r="C113" s="49" t="str">
        <f>Source!H405</f>
        <v>м</v>
      </c>
      <c r="D113" s="50">
        <f>Source!I405</f>
        <v>5.0999999999999996</v>
      </c>
      <c r="E113" s="47"/>
    </row>
    <row r="114" spans="1:5" ht="28.5" x14ac:dyDescent="0.2">
      <c r="A114" s="47" t="str">
        <f>Source!E407</f>
        <v>37,2</v>
      </c>
      <c r="B114" s="48" t="str">
        <f>Source!G407</f>
        <v>Держатели пластиковые с защелкой для крепления труб, рукавов и гибких вводов диаметром 16 мм</v>
      </c>
      <c r="C114" s="49" t="str">
        <f>Source!H407</f>
        <v>100 шт.</v>
      </c>
      <c r="D114" s="50">
        <f>Source!I407</f>
        <v>0.05</v>
      </c>
      <c r="E114" s="47"/>
    </row>
    <row r="115" spans="1:5" ht="42.75" x14ac:dyDescent="0.2">
      <c r="A115" s="47" t="str">
        <f>Source!E409</f>
        <v>38</v>
      </c>
      <c r="B115" s="48" t="str">
        <f>Source!G409</f>
        <v>Затягивание проводов и кабелей в проложенные трубы и металлические рукава, провод первый одножильный или многожильный в общей оплетке, суммарное сечение до 2,5 мм2</v>
      </c>
      <c r="C115" s="49" t="str">
        <f>Source!H409</f>
        <v>100 м</v>
      </c>
      <c r="D115" s="50">
        <f>Source!I409</f>
        <v>0.05</v>
      </c>
      <c r="E115" s="47"/>
    </row>
    <row r="116" spans="1:5" ht="14.25" x14ac:dyDescent="0.2">
      <c r="A116" s="47" t="str">
        <f>Source!E411</f>
        <v>38,1</v>
      </c>
      <c r="B116" s="48" t="str">
        <f>Source!G411</f>
        <v>КПВСВнг(А)-FRLSLTx 2х2х0,5</v>
      </c>
      <c r="C116" s="49" t="str">
        <f>Source!H411</f>
        <v>км</v>
      </c>
      <c r="D116" s="50">
        <f>Source!I411</f>
        <v>5.1000000000000004E-3</v>
      </c>
      <c r="E116" s="47"/>
    </row>
    <row r="117" spans="1:5" ht="42.75" x14ac:dyDescent="0.2">
      <c r="A117" s="47" t="str">
        <f>Source!E413</f>
        <v>39</v>
      </c>
      <c r="B117" s="48" t="str">
        <f>Source!G413</f>
        <v>Затягивание проводов и кабелей в проложенные трубы и металлические рукава, провод каждый последующий одножильный или многожильный в общей оплетке, суммарное сечение до 6 мм2</v>
      </c>
      <c r="C117" s="49" t="str">
        <f>Source!H413</f>
        <v>100 м</v>
      </c>
      <c r="D117" s="50">
        <f>Source!I413</f>
        <v>0.51</v>
      </c>
      <c r="E117" s="47"/>
    </row>
    <row r="118" spans="1:5" ht="28.5" x14ac:dyDescent="0.2">
      <c r="A118" s="47" t="str">
        <f>Source!E415</f>
        <v>39,1</v>
      </c>
      <c r="B118" s="48" t="str">
        <f>Source!G415</f>
        <v>Кабели силовые с медными жилами, напряжение 1000 В, марка ВВГнг(А)-LS, число жил и сечение 3х1,5 мм2</v>
      </c>
      <c r="C118" s="49" t="str">
        <f>Source!H415</f>
        <v>км</v>
      </c>
      <c r="D118" s="50">
        <f>Source!I415</f>
        <v>7.0000000000000001E-3</v>
      </c>
      <c r="E118" s="47"/>
    </row>
    <row r="119" spans="1:5" ht="14.25" x14ac:dyDescent="0.2">
      <c r="A119" s="47" t="str">
        <f>Source!E417</f>
        <v>39,2</v>
      </c>
      <c r="B119" s="48" t="str">
        <f>Source!G417</f>
        <v>КПВСВнг(А)-FRLSLTx 2х2х0,5</v>
      </c>
      <c r="C119" s="49" t="str">
        <f>Source!H417</f>
        <v>км</v>
      </c>
      <c r="D119" s="50">
        <f>Source!I417</f>
        <v>4.5999999999999999E-2</v>
      </c>
      <c r="E119" s="47"/>
    </row>
    <row r="120" spans="1:5" ht="16.5" x14ac:dyDescent="0.25">
      <c r="A120" s="72" t="str">
        <f>CONCATENATE("Подраздел: ", Source!G449)</f>
        <v>Подраздел: Электромонтажные работы</v>
      </c>
      <c r="B120" s="72"/>
      <c r="C120" s="72"/>
      <c r="D120" s="72"/>
      <c r="E120" s="72"/>
    </row>
    <row r="121" spans="1:5" ht="28.5" x14ac:dyDescent="0.2">
      <c r="A121" s="47" t="str">
        <f>Source!E453</f>
        <v>40</v>
      </c>
      <c r="B121" s="48" t="str">
        <f>Source!G453</f>
        <v>Прокладка пластикового кабель-канала по кирпичному основанию 15шт*2м</v>
      </c>
      <c r="C121" s="49" t="str">
        <f>Source!H453</f>
        <v>100 м</v>
      </c>
      <c r="D121" s="50">
        <f>Source!I453</f>
        <v>0.3</v>
      </c>
      <c r="E121" s="47"/>
    </row>
    <row r="122" spans="1:5" ht="14.25" x14ac:dyDescent="0.2">
      <c r="A122" s="47" t="str">
        <f>Source!E455</f>
        <v>40,1</v>
      </c>
      <c r="B122" s="48" t="str">
        <f>Source!G455</f>
        <v>Кабель-каналы, размер 16х16 мм, короба с направляющими</v>
      </c>
      <c r="C122" s="49" t="str">
        <f>Source!H455</f>
        <v>м</v>
      </c>
      <c r="D122" s="50">
        <f>Source!I455</f>
        <v>30</v>
      </c>
      <c r="E122" s="47"/>
    </row>
    <row r="123" spans="1:5" ht="14.25" x14ac:dyDescent="0.2">
      <c r="A123" s="47" t="str">
        <f>Source!E457</f>
        <v>40,2</v>
      </c>
      <c r="B123" s="48" t="str">
        <f>Source!G457</f>
        <v>Коробки для протяжки проводов, тип У-409</v>
      </c>
      <c r="C123" s="49" t="str">
        <f>Source!H457</f>
        <v>шт.</v>
      </c>
      <c r="D123" s="50">
        <f>Source!I457</f>
        <v>2</v>
      </c>
      <c r="E123" s="47"/>
    </row>
    <row r="124" spans="1:5" ht="14.25" x14ac:dyDescent="0.2">
      <c r="A124" s="47" t="str">
        <f>Source!E459</f>
        <v>41</v>
      </c>
      <c r="B124" s="48" t="str">
        <f>Source!G459</f>
        <v>Провода и кабели в коробах, провод, сечением до 6 мм2</v>
      </c>
      <c r="C124" s="49" t="str">
        <f>Source!H459</f>
        <v>100 м</v>
      </c>
      <c r="D124" s="50">
        <f>Source!I459</f>
        <v>0.9</v>
      </c>
      <c r="E124" s="47"/>
    </row>
    <row r="125" spans="1:5" ht="28.5" x14ac:dyDescent="0.2">
      <c r="A125" s="47" t="str">
        <f>Source!E461</f>
        <v>41,1</v>
      </c>
      <c r="B125" s="48" t="str">
        <f>Source!G461</f>
        <v>Кабели силовые с медными жилами, напряжение 660 В, марка ВВГнг(А)-LS, число жил и сечение 3х1,5 мм2</v>
      </c>
      <c r="C125" s="49" t="str">
        <f>Source!H461</f>
        <v>км</v>
      </c>
      <c r="D125" s="50">
        <f>Source!I461</f>
        <v>3.1E-2</v>
      </c>
      <c r="E125" s="47"/>
    </row>
    <row r="126" spans="1:5" ht="71.25" x14ac:dyDescent="0.2">
      <c r="A126" s="47" t="str">
        <f>Source!E463</f>
        <v>41,2</v>
      </c>
      <c r="B126" s="48" t="str">
        <f>Source!G463</f>
        <v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v>
      </c>
      <c r="C126" s="49" t="str">
        <f>Source!H463</f>
        <v>км</v>
      </c>
      <c r="D126" s="50">
        <f>Source!I463</f>
        <v>6.2E-2</v>
      </c>
      <c r="E126" s="47"/>
    </row>
    <row r="127" spans="1:5" ht="14.25" x14ac:dyDescent="0.2">
      <c r="A127" s="47" t="str">
        <f>Source!E465</f>
        <v>42</v>
      </c>
      <c r="B127" s="48" t="str">
        <f>Source!G465</f>
        <v>Выключатель одноклавишный утопленного типа при скрытой проводке</v>
      </c>
      <c r="C127" s="49" t="str">
        <f>Source!H465</f>
        <v>100 шт.</v>
      </c>
      <c r="D127" s="50">
        <f>Source!I465</f>
        <v>0.02</v>
      </c>
      <c r="E127" s="47"/>
    </row>
    <row r="128" spans="1:5" ht="42.75" x14ac:dyDescent="0.2">
      <c r="A128" s="47" t="str">
        <f>Source!E467</f>
        <v>42,1</v>
      </c>
      <c r="B128" s="48" t="str">
        <f>Source!G467</f>
        <v>Выключатели скрытой установки, серия "Селена", напряжение 250 В, номинальный ток 10 А, типа С110-395, одноклавишный, со светоиндикацией (16А,220В,ip20)</v>
      </c>
      <c r="C128" s="49" t="str">
        <f>Source!H467</f>
        <v>шт.</v>
      </c>
      <c r="D128" s="50">
        <f>Source!I467</f>
        <v>2</v>
      </c>
      <c r="E128" s="47"/>
    </row>
    <row r="129" spans="1:5" ht="28.5" x14ac:dyDescent="0.2">
      <c r="A129" s="47" t="str">
        <f>Source!E469</f>
        <v>42,2</v>
      </c>
      <c r="B129" s="48" t="str">
        <f>Source!G469</f>
        <v>Коробки для установки выключателей, переключателей и штепсельных розеток при скрытой электропроводке, тип КУВ-1М УХЛЗ</v>
      </c>
      <c r="C129" s="49" t="str">
        <f>Source!H469</f>
        <v>1000 шт.</v>
      </c>
      <c r="D129" s="50">
        <f>Source!I469</f>
        <v>2E-3</v>
      </c>
      <c r="E129" s="47"/>
    </row>
    <row r="130" spans="1:5" ht="28.5" x14ac:dyDescent="0.2">
      <c r="A130" s="47" t="str">
        <f>Source!E471</f>
        <v>43</v>
      </c>
      <c r="B130" s="48" t="str">
        <f>Source!G471</f>
        <v>Светильники с люминесцентными лампами, светильник отдельно устанавливаемый на штырях с количеством ламп в светильнике 2</v>
      </c>
      <c r="C130" s="49" t="str">
        <f>Source!H471</f>
        <v>100 шт.</v>
      </c>
      <c r="D130" s="50">
        <f>Source!I471</f>
        <v>0.02</v>
      </c>
      <c r="E130" s="47"/>
    </row>
    <row r="131" spans="1:5" ht="28.5" x14ac:dyDescent="0.2">
      <c r="A131" s="47" t="str">
        <f>Source!E473</f>
        <v>43,1</v>
      </c>
      <c r="B131" s="48" t="str">
        <f>Source!G473</f>
        <v>Светильники с лампами накаливания, потолочные, степень защиты IP40, с опаловым рассеивателем, артикул RKL 2х60</v>
      </c>
      <c r="C131" s="49" t="str">
        <f>Source!H473</f>
        <v>шт.</v>
      </c>
      <c r="D131" s="50">
        <f>Source!I473</f>
        <v>2</v>
      </c>
      <c r="E131" s="47"/>
    </row>
    <row r="132" spans="1:5" ht="28.5" x14ac:dyDescent="0.2">
      <c r="A132" s="47" t="str">
        <f>Source!E475</f>
        <v>44</v>
      </c>
      <c r="B132" s="48" t="str">
        <f>Source!G475</f>
        <v>Светильники с люминесцентными лампами, светильник отдельно устанавливаемый на штырях с количеством ламп в светильнике до 4</v>
      </c>
      <c r="C132" s="49" t="str">
        <f>Source!H475</f>
        <v>100 шт.</v>
      </c>
      <c r="D132" s="50">
        <f>Source!I475</f>
        <v>0.01</v>
      </c>
      <c r="E132" s="47"/>
    </row>
    <row r="133" spans="1:5" ht="42.75" x14ac:dyDescent="0.2">
      <c r="A133" s="47" t="str">
        <f>Source!E477</f>
        <v>44,1</v>
      </c>
      <c r="B133" s="48" t="str">
        <f>Source!G477</f>
        <v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v>
      </c>
      <c r="C133" s="49" t="str">
        <f>Source!H477</f>
        <v>шт.</v>
      </c>
      <c r="D133" s="50">
        <f>Source!I477</f>
        <v>1</v>
      </c>
      <c r="E133" s="47"/>
    </row>
    <row r="134" spans="1:5" ht="14.25" x14ac:dyDescent="0.2">
      <c r="A134" s="47" t="str">
        <f>Source!E479</f>
        <v>44,2</v>
      </c>
      <c r="B134" s="48" t="str">
        <f>Source!G479</f>
        <v>Фотовыключатели, тип ФР-7Н УХЛ, фотореле</v>
      </c>
      <c r="C134" s="49" t="str">
        <f>Source!H479</f>
        <v>шт.</v>
      </c>
      <c r="D134" s="50">
        <f>Source!I479</f>
        <v>1</v>
      </c>
      <c r="E134" s="47"/>
    </row>
    <row r="135" spans="1:5" ht="16.5" x14ac:dyDescent="0.25">
      <c r="A135" s="72" t="str">
        <f>CONCATENATE("Раздел: ", Source!G540)</f>
        <v>Раздел: Оборудование</v>
      </c>
      <c r="B135" s="72"/>
      <c r="C135" s="72"/>
      <c r="D135" s="72"/>
      <c r="E135" s="72"/>
    </row>
    <row r="136" spans="1:5" ht="14.25" x14ac:dyDescent="0.2">
      <c r="A136" s="47" t="str">
        <f>Source!E544</f>
        <v>45</v>
      </c>
      <c r="B136" s="48" t="str">
        <f>Source!G544</f>
        <v>Тактильно-звуковая мнемосхема для помещения</v>
      </c>
      <c r="C136" s="49" t="str">
        <f>Source!H544</f>
        <v>шт.</v>
      </c>
      <c r="D136" s="50">
        <f>Source!I544</f>
        <v>1</v>
      </c>
      <c r="E136" s="47"/>
    </row>
    <row r="137" spans="1:5" ht="14.25" x14ac:dyDescent="0.2">
      <c r="A137" s="47" t="str">
        <f>Source!E546</f>
        <v>46</v>
      </c>
      <c r="B137" s="48" t="str">
        <f>Source!G546</f>
        <v>GC-0611W2 Сигнальная лампа</v>
      </c>
      <c r="C137" s="49" t="str">
        <f>Source!H546</f>
        <v>шт.</v>
      </c>
      <c r="D137" s="50">
        <f>Source!I546</f>
        <v>1</v>
      </c>
      <c r="E137" s="47"/>
    </row>
    <row r="138" spans="1:5" ht="14.25" x14ac:dyDescent="0.2">
      <c r="A138" s="47" t="str">
        <f>Source!E548</f>
        <v>47</v>
      </c>
      <c r="B138" s="48" t="str">
        <f>Source!G548</f>
        <v>MP-413W8 Влагозащищенная радиокнопка вызова</v>
      </c>
      <c r="C138" s="49" t="str">
        <f>Source!H548</f>
        <v>шт.</v>
      </c>
      <c r="D138" s="50">
        <f>Source!I548</f>
        <v>2</v>
      </c>
      <c r="E138" s="47"/>
    </row>
    <row r="139" spans="1:5" ht="14.25" x14ac:dyDescent="0.2">
      <c r="A139" s="47" t="str">
        <f>Source!E550</f>
        <v>48</v>
      </c>
      <c r="B139" s="48" t="str">
        <f>Source!G550</f>
        <v>MP-821W1 приемник</v>
      </c>
      <c r="C139" s="49" t="str">
        <f>Source!H550</f>
        <v>шт.</v>
      </c>
      <c r="D139" s="50">
        <f>Source!I550</f>
        <v>1</v>
      </c>
      <c r="E139" s="47"/>
    </row>
    <row r="140" spans="1:5" ht="28.5" x14ac:dyDescent="0.2">
      <c r="A140" s="47" t="str">
        <f>Source!E552</f>
        <v>49</v>
      </c>
      <c r="B140" s="48" t="str">
        <f>Source!G552</f>
        <v>Свето-звуковой маяк "Привод-3", датчик температуры, пульт управления, активация по датчику движения, радиомодуль</v>
      </c>
      <c r="C140" s="49" t="str">
        <f>Source!H552</f>
        <v>шт.</v>
      </c>
      <c r="D140" s="50">
        <f>Source!I552</f>
        <v>1</v>
      </c>
      <c r="E140" s="47"/>
    </row>
    <row r="141" spans="1:5" ht="16.5" x14ac:dyDescent="0.25">
      <c r="A141" s="72" t="str">
        <f>CONCATENATE("Раздел: ", Source!G584)</f>
        <v>Раздел: Прочие работы</v>
      </c>
      <c r="B141" s="72"/>
      <c r="C141" s="72"/>
      <c r="D141" s="72"/>
      <c r="E141" s="72"/>
    </row>
    <row r="142" spans="1:5" ht="28.5" x14ac:dyDescent="0.2">
      <c r="A142" s="47" t="str">
        <f>Source!E588</f>
        <v>50</v>
      </c>
      <c r="B142" s="48" t="str">
        <f>Source!G588</f>
        <v>Механизированная погрузка строительного мусора в автомобили-самосвалы</v>
      </c>
      <c r="C142" s="49" t="str">
        <f>Source!H588</f>
        <v>1 Т</v>
      </c>
      <c r="D142" s="50">
        <f>Source!I588</f>
        <v>0.25800000000000001</v>
      </c>
      <c r="E142" s="47"/>
    </row>
    <row r="143" spans="1:5" ht="28.5" x14ac:dyDescent="0.2">
      <c r="A143" s="47" t="str">
        <f>Source!E590</f>
        <v>51</v>
      </c>
      <c r="B143" s="48" t="str">
        <f>Source!G590</f>
        <v>Перевозка строительного мусора на расстояние 26 км автосамосвалами грузоподъемностью до 10 т (ЮВАО)</v>
      </c>
      <c r="C143" s="49" t="str">
        <f>Source!H590</f>
        <v>1 Т</v>
      </c>
      <c r="D143" s="50">
        <f>Source!I590</f>
        <v>0.25800000000000001</v>
      </c>
      <c r="E143" s="47"/>
    </row>
    <row r="144" spans="1:5" ht="14.25" x14ac:dyDescent="0.2">
      <c r="A144" s="43" t="str">
        <f>Source!E592</f>
        <v>52</v>
      </c>
      <c r="B144" s="44" t="str">
        <f>Source!G592</f>
        <v>Размещение строительного мусора</v>
      </c>
      <c r="C144" s="45" t="str">
        <f>Source!H592</f>
        <v>1 Т</v>
      </c>
      <c r="D144" s="46">
        <f>Source!I592</f>
        <v>0.25800000000000001</v>
      </c>
      <c r="E144" s="43"/>
    </row>
    <row r="147" spans="1:5" ht="15" x14ac:dyDescent="0.25">
      <c r="A147" s="34" t="s">
        <v>926</v>
      </c>
      <c r="B147" s="34"/>
      <c r="C147" s="34" t="s">
        <v>927</v>
      </c>
      <c r="D147" s="34"/>
      <c r="E147" s="34"/>
    </row>
  </sheetData>
  <mergeCells count="16">
    <mergeCell ref="A20:E20"/>
    <mergeCell ref="C5:D5"/>
    <mergeCell ref="C7:D7"/>
    <mergeCell ref="A11:D11"/>
    <mergeCell ref="A12:D12"/>
    <mergeCell ref="A19:E19"/>
    <mergeCell ref="A105:E105"/>
    <mergeCell ref="A120:E120"/>
    <mergeCell ref="A135:E135"/>
    <mergeCell ref="A141:E141"/>
    <mergeCell ref="A38:E38"/>
    <mergeCell ref="A39:E39"/>
    <mergeCell ref="A48:E48"/>
    <mergeCell ref="A49:E49"/>
    <mergeCell ref="A77:E77"/>
    <mergeCell ref="A90:E90"/>
  </mergeCells>
  <pageMargins left="0.4" right="0.2" top="0.2" bottom="0.4" header="0.2" footer="0.2"/>
  <pageSetup paperSize="9" scale="77" fitToHeight="0" orientation="portrait" horizontalDpi="4294967295" verticalDpi="4294967295" r:id="rId1"/>
  <headerFooter>
    <oddHeader>&amp;L&amp;8</oddHeader>
    <oddFooter>&amp;R&amp;P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5"/>
  <sheetViews>
    <sheetView workbookViewId="0"/>
  </sheetViews>
  <sheetFormatPr defaultRowHeight="12.75" x14ac:dyDescent="0.2"/>
  <sheetData>
    <row r="1" spans="1:17" x14ac:dyDescent="0.2">
      <c r="A1" t="s">
        <v>945</v>
      </c>
      <c r="B1" t="s">
        <v>946</v>
      </c>
      <c r="C1" t="s">
        <v>947</v>
      </c>
      <c r="D1" t="s">
        <v>948</v>
      </c>
      <c r="E1" t="s">
        <v>949</v>
      </c>
      <c r="F1" t="s">
        <v>950</v>
      </c>
      <c r="G1" t="s">
        <v>951</v>
      </c>
      <c r="H1" t="s">
        <v>952</v>
      </c>
      <c r="I1" t="s">
        <v>953</v>
      </c>
      <c r="J1" t="s">
        <v>954</v>
      </c>
    </row>
    <row r="2" spans="1:17" x14ac:dyDescent="0.2">
      <c r="A2">
        <v>1</v>
      </c>
      <c r="B2">
        <v>0</v>
      </c>
      <c r="C2">
        <v>0</v>
      </c>
      <c r="D2">
        <v>1</v>
      </c>
      <c r="E2">
        <v>1</v>
      </c>
      <c r="F2">
        <v>1</v>
      </c>
      <c r="G2">
        <v>1</v>
      </c>
      <c r="H2">
        <v>1</v>
      </c>
      <c r="I2">
        <v>0</v>
      </c>
      <c r="J2">
        <v>0</v>
      </c>
    </row>
    <row r="4" spans="1:17" x14ac:dyDescent="0.2">
      <c r="A4" t="s">
        <v>928</v>
      </c>
      <c r="B4" t="s">
        <v>929</v>
      </c>
      <c r="C4" t="s">
        <v>930</v>
      </c>
      <c r="D4" t="s">
        <v>931</v>
      </c>
      <c r="E4" t="s">
        <v>932</v>
      </c>
      <c r="F4" t="s">
        <v>933</v>
      </c>
      <c r="G4" t="s">
        <v>934</v>
      </c>
      <c r="H4" t="s">
        <v>935</v>
      </c>
      <c r="I4" t="s">
        <v>936</v>
      </c>
      <c r="J4" t="s">
        <v>937</v>
      </c>
      <c r="K4" t="s">
        <v>938</v>
      </c>
      <c r="L4" t="s">
        <v>939</v>
      </c>
      <c r="M4" t="s">
        <v>940</v>
      </c>
      <c r="N4" t="s">
        <v>941</v>
      </c>
      <c r="O4" t="s">
        <v>942</v>
      </c>
      <c r="P4" t="s">
        <v>943</v>
      </c>
      <c r="Q4" t="s">
        <v>944</v>
      </c>
    </row>
    <row r="6" spans="1:17" x14ac:dyDescent="0.2">
      <c r="A6">
        <f>Source!A20</f>
        <v>3</v>
      </c>
      <c r="B6">
        <v>20</v>
      </c>
      <c r="G6" t="str">
        <f>Source!G20</f>
        <v>Смета на общестроительные работы</v>
      </c>
    </row>
    <row r="7" spans="1:17" x14ac:dyDescent="0.2">
      <c r="A7">
        <f>Source!A24</f>
        <v>4</v>
      </c>
      <c r="B7">
        <v>24</v>
      </c>
      <c r="G7" t="str">
        <f>Source!G24</f>
        <v>Наружные работы</v>
      </c>
    </row>
    <row r="8" spans="1:17" x14ac:dyDescent="0.2">
      <c r="A8">
        <f>Source!A31</f>
        <v>18</v>
      </c>
      <c r="C8">
        <v>3</v>
      </c>
      <c r="D8">
        <f>Source!BI31</f>
        <v>1</v>
      </c>
      <c r="E8">
        <f>Source!FS31</f>
        <v>0</v>
      </c>
      <c r="F8" t="str">
        <f>Source!F31</f>
        <v>9999990001</v>
      </c>
      <c r="G8" t="str">
        <f>Source!G31</f>
        <v>Масса мусора 2,4кг/1м3</v>
      </c>
      <c r="H8" t="str">
        <f>Source!H31</f>
        <v>т</v>
      </c>
      <c r="I8">
        <f>Source!I31</f>
        <v>3.0000000000000001E-3</v>
      </c>
      <c r="J8">
        <v>1</v>
      </c>
      <c r="K8">
        <f>ROUND(Source!AC31, 6)</f>
        <v>0</v>
      </c>
      <c r="L8">
        <f>ROUND(K8*I8, 2)</f>
        <v>0</v>
      </c>
      <c r="M8">
        <f>ROUND(Source!AC31*IF(Source!BC31&lt;&gt; 0, Source!BC31, 1), 6)</f>
        <v>0</v>
      </c>
      <c r="N8">
        <f>ROUND(M8*I8, 2)</f>
        <v>0</v>
      </c>
      <c r="O8">
        <f>Source!GF31</f>
        <v>-269224915</v>
      </c>
      <c r="P8">
        <v>-1963567268</v>
      </c>
      <c r="Q8">
        <v>-1963567268</v>
      </c>
    </row>
    <row r="9" spans="1:17" x14ac:dyDescent="0.2">
      <c r="A9">
        <f>Source!A39</f>
        <v>17</v>
      </c>
      <c r="C9">
        <v>3</v>
      </c>
      <c r="D9">
        <v>0</v>
      </c>
      <c r="E9">
        <f>SmtRes!AV41</f>
        <v>0</v>
      </c>
      <c r="F9" t="str">
        <f>SmtRes!I41</f>
        <v>1.3-3-19</v>
      </c>
      <c r="G9" t="str">
        <f>SmtRes!K41</f>
        <v>Эмульсии дорожные, битумные</v>
      </c>
      <c r="H9" t="str">
        <f>SmtRes!O41</f>
        <v>т</v>
      </c>
      <c r="I9">
        <f>SmtRes!Y41*Source!I39</f>
        <v>7.7640000000000001E-3</v>
      </c>
      <c r="J9">
        <f>SmtRes!AO41</f>
        <v>1</v>
      </c>
      <c r="K9">
        <f>ROUND(SmtRes!AE41, 6)</f>
        <v>1445.87</v>
      </c>
      <c r="L9">
        <f>ROUND(I9*K9, 2)</f>
        <v>11.23</v>
      </c>
      <c r="M9">
        <f>ROUND(SmtRes!AA41, 6)</f>
        <v>12955</v>
      </c>
      <c r="N9">
        <f>ROUND(I9*M9, 2)</f>
        <v>100.58</v>
      </c>
      <c r="O9">
        <f>SmtRes!X41</f>
        <v>253159774</v>
      </c>
      <c r="P9">
        <v>-1685791731</v>
      </c>
      <c r="Q9">
        <v>-412094702</v>
      </c>
    </row>
    <row r="10" spans="1:17" x14ac:dyDescent="0.2">
      <c r="A10">
        <f>Source!A41</f>
        <v>18</v>
      </c>
      <c r="C10">
        <v>3</v>
      </c>
      <c r="D10">
        <f>Source!BI41</f>
        <v>1</v>
      </c>
      <c r="E10">
        <f>Source!FS41</f>
        <v>0</v>
      </c>
      <c r="F10" t="str">
        <f>Source!F41</f>
        <v>1.3-3-4</v>
      </c>
      <c r="G10" t="str">
        <f>Source!G41</f>
        <v>Смеси асфальтобетонные дорожные горячие крупнозернистые, тип II</v>
      </c>
      <c r="H10" t="str">
        <f>Source!H41</f>
        <v>т</v>
      </c>
      <c r="I10">
        <f>Source!I41</f>
        <v>1.859478</v>
      </c>
      <c r="J10">
        <v>1</v>
      </c>
      <c r="K10">
        <f>ROUND(Source!AC41, 6)</f>
        <v>305.75</v>
      </c>
      <c r="L10">
        <f>ROUND(K10*I10, 2)</f>
        <v>568.54</v>
      </c>
      <c r="M10">
        <f>ROUND(Source!AC41*IF(Source!BC41&lt;&gt; 0, Source!BC41, 1), 6)</f>
        <v>2580.5300000000002</v>
      </c>
      <c r="N10">
        <f>ROUND(M10*I10, 2)</f>
        <v>4798.4399999999996</v>
      </c>
      <c r="O10">
        <f>Source!GF41</f>
        <v>-2137020924</v>
      </c>
      <c r="P10">
        <v>641113410</v>
      </c>
      <c r="Q10">
        <v>-240098630</v>
      </c>
    </row>
    <row r="11" spans="1:17" x14ac:dyDescent="0.2">
      <c r="A11">
        <f>Source!A45</f>
        <v>18</v>
      </c>
      <c r="C11">
        <v>3</v>
      </c>
      <c r="D11">
        <f>Source!BI45</f>
        <v>1</v>
      </c>
      <c r="E11">
        <f>Source!FS45</f>
        <v>0</v>
      </c>
      <c r="F11" t="str">
        <f>Source!F45</f>
        <v>1.3-3-4</v>
      </c>
      <c r="G11" t="str">
        <f>Source!G45</f>
        <v>Смеси асфальтобетонные дорожные горячие крупнозернистые, тип II</v>
      </c>
      <c r="H11" t="str">
        <f>Source!H45</f>
        <v>т</v>
      </c>
      <c r="I11">
        <f>Source!I45</f>
        <v>1.859478</v>
      </c>
      <c r="J11">
        <v>1</v>
      </c>
      <c r="K11">
        <f>ROUND(Source!AC45, 6)</f>
        <v>305.75</v>
      </c>
      <c r="L11">
        <f>ROUND(K11*I11, 2)</f>
        <v>568.54</v>
      </c>
      <c r="M11">
        <f>ROUND(Source!AC45*IF(Source!BC45&lt;&gt; 0, Source!BC45, 1), 6)</f>
        <v>2580.5300000000002</v>
      </c>
      <c r="N11">
        <f>ROUND(M11*I11, 2)</f>
        <v>4798.4399999999996</v>
      </c>
      <c r="O11">
        <f>Source!GF45</f>
        <v>-2137020924</v>
      </c>
      <c r="P11">
        <v>641113410</v>
      </c>
      <c r="Q11">
        <v>-240098630</v>
      </c>
    </row>
    <row r="12" spans="1:17" x14ac:dyDescent="0.2">
      <c r="A12">
        <f>Source!A49</f>
        <v>18</v>
      </c>
      <c r="C12">
        <v>3</v>
      </c>
      <c r="D12">
        <f>Source!BI49</f>
        <v>1</v>
      </c>
      <c r="E12">
        <f>Source!FS49</f>
        <v>0</v>
      </c>
      <c r="F12" t="str">
        <f>Source!F49</f>
        <v>1.4-6-1</v>
      </c>
      <c r="G12" t="str">
        <f>Source!G49</f>
        <v>Земля растительная</v>
      </c>
      <c r="H12" t="str">
        <f>Source!H49</f>
        <v>м3</v>
      </c>
      <c r="I12">
        <f>Source!I49</f>
        <v>1.974</v>
      </c>
      <c r="J12">
        <v>1</v>
      </c>
      <c r="K12">
        <f>ROUND(Source!AC49, 6)</f>
        <v>146.84</v>
      </c>
      <c r="L12">
        <f>ROUND(K12*I12, 2)</f>
        <v>289.86</v>
      </c>
      <c r="M12">
        <f>ROUND(Source!AC49*IF(Source!BC49&lt;&gt; 0, Source!BC49, 1), 6)</f>
        <v>682.80600000000004</v>
      </c>
      <c r="N12">
        <f>ROUND(M12*I12, 2)</f>
        <v>1347.86</v>
      </c>
      <c r="O12">
        <f>Source!GF49</f>
        <v>92320855</v>
      </c>
      <c r="P12">
        <v>-326285843</v>
      </c>
      <c r="Q12">
        <v>-530123611</v>
      </c>
    </row>
    <row r="13" spans="1:17" x14ac:dyDescent="0.2">
      <c r="A13">
        <f>Source!A51</f>
        <v>17</v>
      </c>
      <c r="C13">
        <v>3</v>
      </c>
      <c r="D13">
        <v>0</v>
      </c>
      <c r="E13">
        <f>SmtRes!AV59</f>
        <v>0</v>
      </c>
      <c r="F13" t="str">
        <f>SmtRes!I59</f>
        <v>1.1-1-118</v>
      </c>
      <c r="G13" t="str">
        <f>SmtRes!K59</f>
        <v>Вода</v>
      </c>
      <c r="H13" t="str">
        <f>SmtRes!O59</f>
        <v>м3</v>
      </c>
      <c r="I13">
        <f>SmtRes!Y59*Source!I51</f>
        <v>1.3159999999999998</v>
      </c>
      <c r="J13">
        <f>SmtRes!AO59</f>
        <v>1</v>
      </c>
      <c r="K13">
        <f>ROUND(SmtRes!AE59, 6)</f>
        <v>7.07</v>
      </c>
      <c r="L13">
        <f>ROUND(I13*K13, 2)</f>
        <v>9.3000000000000007</v>
      </c>
      <c r="M13">
        <f>ROUND(SmtRes!AA59, 6)</f>
        <v>29.98</v>
      </c>
      <c r="N13">
        <f>ROUND(I13*M13, 2)</f>
        <v>39.450000000000003</v>
      </c>
      <c r="O13">
        <f>SmtRes!X59</f>
        <v>-862991314</v>
      </c>
      <c r="P13">
        <v>209219300</v>
      </c>
      <c r="Q13">
        <v>2045990491</v>
      </c>
    </row>
    <row r="14" spans="1:17" x14ac:dyDescent="0.2">
      <c r="A14">
        <f>Source!A53</f>
        <v>18</v>
      </c>
      <c r="C14">
        <v>3</v>
      </c>
      <c r="D14">
        <f>Source!BI53</f>
        <v>1</v>
      </c>
      <c r="E14">
        <f>Source!FS53</f>
        <v>0</v>
      </c>
      <c r="F14" t="str">
        <f>Source!F53</f>
        <v>1.4-6-6</v>
      </c>
      <c r="G14" t="str">
        <f>Source!G53</f>
        <v>Семена (смесь универсальная) газонных трав</v>
      </c>
      <c r="H14" t="str">
        <f>Source!H53</f>
        <v>кг</v>
      </c>
      <c r="I14">
        <f>Source!I53</f>
        <v>0.52639999999999998</v>
      </c>
      <c r="J14">
        <v>1</v>
      </c>
      <c r="K14">
        <f>ROUND(Source!AC53, 6)</f>
        <v>57.93</v>
      </c>
      <c r="L14">
        <f>ROUND(K14*I14, 2)</f>
        <v>30.49</v>
      </c>
      <c r="M14">
        <f>ROUND(Source!AC53*IF(Source!BC53&lt;&gt; 0, Source!BC53, 1), 6)</f>
        <v>139.03200000000001</v>
      </c>
      <c r="N14">
        <f>ROUND(M14*I14, 2)</f>
        <v>73.19</v>
      </c>
      <c r="O14">
        <f>Source!GF53</f>
        <v>735025367</v>
      </c>
      <c r="P14">
        <v>797975201</v>
      </c>
      <c r="Q14">
        <v>-1119444336</v>
      </c>
    </row>
    <row r="15" spans="1:17" x14ac:dyDescent="0.2">
      <c r="A15">
        <f>Source!A55</f>
        <v>17</v>
      </c>
      <c r="C15">
        <v>3</v>
      </c>
      <c r="D15">
        <v>0</v>
      </c>
      <c r="E15">
        <f>SmtRes!AV71</f>
        <v>0</v>
      </c>
      <c r="F15" t="str">
        <f>SmtRes!I71</f>
        <v>1.1-1-1566</v>
      </c>
      <c r="G15" t="str">
        <f>SmtRes!K71</f>
        <v>Электроды, тип Э-42, 46, 50, диаметр 4 - 6 мм</v>
      </c>
      <c r="H15" t="str">
        <f>SmtRes!O71</f>
        <v>т</v>
      </c>
      <c r="I15">
        <f>SmtRes!Y71*Source!I55</f>
        <v>1.563E-4</v>
      </c>
      <c r="J15">
        <f>SmtRes!AO71</f>
        <v>1</v>
      </c>
      <c r="K15">
        <f>ROUND(SmtRes!AE71, 6)</f>
        <v>7191.81</v>
      </c>
      <c r="L15">
        <f>ROUND(I15*K15, 2)</f>
        <v>1.1200000000000001</v>
      </c>
      <c r="M15">
        <f>ROUND(SmtRes!AA71, 6)</f>
        <v>86373.64</v>
      </c>
      <c r="N15">
        <f>ROUND(I15*M15, 2)</f>
        <v>13.5</v>
      </c>
      <c r="O15">
        <f>SmtRes!X71</f>
        <v>1310716689</v>
      </c>
      <c r="P15">
        <v>-143943088</v>
      </c>
      <c r="Q15">
        <v>-161349360</v>
      </c>
    </row>
    <row r="16" spans="1:17" x14ac:dyDescent="0.2">
      <c r="A16">
        <f>Source!A57</f>
        <v>18</v>
      </c>
      <c r="C16">
        <v>3</v>
      </c>
      <c r="D16">
        <f>Source!BI57</f>
        <v>1</v>
      </c>
      <c r="E16">
        <f>Source!FS57</f>
        <v>0</v>
      </c>
      <c r="F16" t="str">
        <f>Source!F57</f>
        <v>1.7-9-8</v>
      </c>
      <c r="G16" t="str">
        <f>Source!G57</f>
        <v>Ограждение газонное из металлической профильной трубы 20х20х1,5 мм</v>
      </c>
      <c r="H16" t="str">
        <f>Source!H57</f>
        <v>м2</v>
      </c>
      <c r="I16">
        <f>Source!I57</f>
        <v>5.21</v>
      </c>
      <c r="J16">
        <v>1</v>
      </c>
      <c r="K16">
        <f>ROUND(Source!AC57, 6)</f>
        <v>358.54</v>
      </c>
      <c r="L16">
        <f>ROUND(K16*I16, 2)</f>
        <v>1867.99</v>
      </c>
      <c r="M16">
        <f>ROUND(Source!AC57*IF(Source!BC57&lt;&gt; 0, Source!BC57, 1), 6)</f>
        <v>634.61580000000004</v>
      </c>
      <c r="N16">
        <f>ROUND(M16*I16, 2)</f>
        <v>3306.35</v>
      </c>
      <c r="O16">
        <f>Source!GF57</f>
        <v>1093334536</v>
      </c>
      <c r="P16">
        <v>-636685694</v>
      </c>
      <c r="Q16">
        <v>-648000254</v>
      </c>
    </row>
    <row r="17" spans="1:17" x14ac:dyDescent="0.2">
      <c r="A17">
        <f>Source!A92</f>
        <v>4</v>
      </c>
      <c r="B17">
        <v>92</v>
      </c>
      <c r="G17" t="str">
        <f>Source!G92</f>
        <v>Демонтажные работы</v>
      </c>
    </row>
    <row r="18" spans="1:17" x14ac:dyDescent="0.2">
      <c r="A18">
        <f>Source!A96</f>
        <v>5</v>
      </c>
      <c r="B18">
        <v>96</v>
      </c>
      <c r="G18" t="str">
        <f>Source!G96</f>
        <v>Входная группа</v>
      </c>
    </row>
    <row r="19" spans="1:17" x14ac:dyDescent="0.2">
      <c r="A19">
        <f>Source!A101</f>
        <v>17</v>
      </c>
      <c r="C19">
        <v>3</v>
      </c>
      <c r="D19">
        <v>0</v>
      </c>
      <c r="E19">
        <f>SmtRes!AV90</f>
        <v>0</v>
      </c>
      <c r="F19" t="str">
        <f>SmtRes!I90</f>
        <v>9999990006</v>
      </c>
      <c r="G19" t="str">
        <f>SmtRes!K90</f>
        <v>Стоимость прочих материалов (ЭСН)</v>
      </c>
      <c r="H19" t="str">
        <f>SmtRes!O90</f>
        <v>руб.</v>
      </c>
      <c r="I19">
        <f>SmtRes!Y90*Source!I101</f>
        <v>2.3687999999999998</v>
      </c>
      <c r="J19">
        <f>SmtRes!AO90</f>
        <v>1</v>
      </c>
      <c r="K19">
        <f>ROUND(SmtRes!AE90, 6)</f>
        <v>1</v>
      </c>
      <c r="L19">
        <f>ROUND(I19*K19, 2)</f>
        <v>2.37</v>
      </c>
      <c r="M19">
        <f>ROUND(SmtRes!AA90, 6)</f>
        <v>1</v>
      </c>
      <c r="N19">
        <f>ROUND(I19*M19, 2)</f>
        <v>2.37</v>
      </c>
      <c r="O19">
        <f>SmtRes!X90</f>
        <v>-94250534</v>
      </c>
      <c r="P19">
        <v>-1341645062</v>
      </c>
      <c r="Q19">
        <v>-1341645062</v>
      </c>
    </row>
    <row r="20" spans="1:17" x14ac:dyDescent="0.2">
      <c r="A20">
        <f>Source!A101</f>
        <v>17</v>
      </c>
      <c r="C20">
        <v>3</v>
      </c>
      <c r="D20">
        <v>0</v>
      </c>
      <c r="E20">
        <f>SmtRes!AV88</f>
        <v>0</v>
      </c>
      <c r="F20" t="str">
        <f>SmtRes!I88</f>
        <v>1.1-1-1566</v>
      </c>
      <c r="G20" t="str">
        <f>SmtRes!K88</f>
        <v>Электроды, тип Э-42, 46, 50, диаметр 4 - 6 мм</v>
      </c>
      <c r="H20" t="str">
        <f>SmtRes!O88</f>
        <v>т</v>
      </c>
      <c r="I20">
        <f>SmtRes!Y88*Source!I101</f>
        <v>4.1999999999999998E-5</v>
      </c>
      <c r="J20">
        <f>SmtRes!AO88</f>
        <v>1</v>
      </c>
      <c r="K20">
        <f>ROUND(SmtRes!AE88, 6)</f>
        <v>7191.81</v>
      </c>
      <c r="L20">
        <f>ROUND(I20*K20, 2)</f>
        <v>0.3</v>
      </c>
      <c r="M20">
        <f>ROUND(SmtRes!AA88, 6)</f>
        <v>86373.64</v>
      </c>
      <c r="N20">
        <f>ROUND(I20*M20, 2)</f>
        <v>3.63</v>
      </c>
      <c r="O20">
        <f>SmtRes!X88</f>
        <v>1310716689</v>
      </c>
      <c r="P20">
        <v>-143943088</v>
      </c>
      <c r="Q20">
        <v>-161349360</v>
      </c>
    </row>
    <row r="21" spans="1:17" x14ac:dyDescent="0.2">
      <c r="A21">
        <f>Source!A103</f>
        <v>18</v>
      </c>
      <c r="C21">
        <v>3</v>
      </c>
      <c r="D21">
        <f>Source!BI103</f>
        <v>1</v>
      </c>
      <c r="E21">
        <f>Source!FS103</f>
        <v>0</v>
      </c>
      <c r="F21" t="str">
        <f>Source!F103</f>
        <v>9999990001</v>
      </c>
      <c r="G21" t="str">
        <f>Source!G103</f>
        <v>Масса мусора</v>
      </c>
      <c r="H21" t="str">
        <f>Source!H103</f>
        <v>т</v>
      </c>
      <c r="I21">
        <f>Source!I103</f>
        <v>0.1</v>
      </c>
      <c r="J21">
        <v>1</v>
      </c>
      <c r="K21">
        <f>ROUND(Source!AC103, 6)</f>
        <v>0</v>
      </c>
      <c r="L21">
        <f>ROUND(K21*I21, 2)</f>
        <v>0</v>
      </c>
      <c r="M21">
        <f>ROUND(Source!AC103*IF(Source!BC103&lt;&gt; 0, Source!BC103, 1), 6)</f>
        <v>0</v>
      </c>
      <c r="N21">
        <f>ROUND(M21*I21, 2)</f>
        <v>0</v>
      </c>
      <c r="O21">
        <f>Source!GF103</f>
        <v>1489638031</v>
      </c>
      <c r="P21">
        <v>557837154</v>
      </c>
      <c r="Q21">
        <v>557837154</v>
      </c>
    </row>
    <row r="22" spans="1:17" x14ac:dyDescent="0.2">
      <c r="A22">
        <f>Source!A107</f>
        <v>18</v>
      </c>
      <c r="C22">
        <v>3</v>
      </c>
      <c r="D22">
        <f>Source!BI107</f>
        <v>1</v>
      </c>
      <c r="E22">
        <f>Source!FS107</f>
        <v>0</v>
      </c>
      <c r="F22" t="str">
        <f>Source!F107</f>
        <v>9999990001</v>
      </c>
      <c r="G22" t="str">
        <f>Source!G107</f>
        <v>Масса мусора</v>
      </c>
      <c r="H22" t="str">
        <f>Source!H107</f>
        <v>т</v>
      </c>
      <c r="I22">
        <f>Source!I107</f>
        <v>0.03</v>
      </c>
      <c r="J22">
        <v>1</v>
      </c>
      <c r="K22">
        <f>ROUND(Source!AC107, 6)</f>
        <v>0</v>
      </c>
      <c r="L22">
        <f>ROUND(K22*I22, 2)</f>
        <v>0</v>
      </c>
      <c r="M22">
        <f>ROUND(Source!AC107*IF(Source!BC107&lt;&gt; 0, Source!BC107, 1), 6)</f>
        <v>0</v>
      </c>
      <c r="N22">
        <f>ROUND(M22*I22, 2)</f>
        <v>0</v>
      </c>
      <c r="O22">
        <f>Source!GF107</f>
        <v>1489638031</v>
      </c>
      <c r="P22">
        <v>557837154</v>
      </c>
      <c r="Q22">
        <v>557837154</v>
      </c>
    </row>
    <row r="23" spans="1:17" x14ac:dyDescent="0.2">
      <c r="A23">
        <f>Source!A113</f>
        <v>17</v>
      </c>
      <c r="C23">
        <v>3</v>
      </c>
      <c r="D23">
        <v>0</v>
      </c>
      <c r="E23">
        <f>SmtRes!AV109</f>
        <v>0</v>
      </c>
      <c r="F23" t="str">
        <f>SmtRes!I109</f>
        <v>1.1-1-923</v>
      </c>
      <c r="G23" t="str">
        <f>SmtRes!K109</f>
        <v>Поковки строительные (скобы, закрепы, хомуты) простые, масса 1,8 кг</v>
      </c>
      <c r="H23" t="str">
        <f>SmtRes!O109</f>
        <v>т</v>
      </c>
      <c r="I23">
        <f>SmtRes!Y109*Source!I113</f>
        <v>1.0799999999999998E-3</v>
      </c>
      <c r="J23">
        <f>SmtRes!AO109</f>
        <v>1</v>
      </c>
      <c r="K23">
        <f>ROUND(SmtRes!AE109, 6)</f>
        <v>6870.66</v>
      </c>
      <c r="L23">
        <f>ROUND(I23*K23, 2)</f>
        <v>7.42</v>
      </c>
      <c r="M23">
        <f>ROUND(SmtRes!AA109, 6)</f>
        <v>40055.949999999997</v>
      </c>
      <c r="N23">
        <f>ROUND(I23*M23, 2)</f>
        <v>43.26</v>
      </c>
      <c r="O23">
        <f>SmtRes!X109</f>
        <v>-1557622869</v>
      </c>
      <c r="P23">
        <v>-1450217722</v>
      </c>
      <c r="Q23">
        <v>1919735130</v>
      </c>
    </row>
    <row r="24" spans="1:17" x14ac:dyDescent="0.2">
      <c r="A24">
        <f>Source!A113</f>
        <v>17</v>
      </c>
      <c r="C24">
        <v>3</v>
      </c>
      <c r="D24">
        <v>0</v>
      </c>
      <c r="E24">
        <f>SmtRes!AV108</f>
        <v>0</v>
      </c>
      <c r="F24" t="str">
        <f>SmtRes!I108</f>
        <v>1.1-1-491</v>
      </c>
      <c r="G24" t="str">
        <f>SmtRes!K108</f>
        <v>Лак битумный, марка БТ-123</v>
      </c>
      <c r="H24" t="str">
        <f>SmtRes!O108</f>
        <v>т</v>
      </c>
      <c r="I24">
        <f>SmtRes!Y108*Source!I113</f>
        <v>8.9999999999999992E-5</v>
      </c>
      <c r="J24">
        <f>SmtRes!AO108</f>
        <v>1</v>
      </c>
      <c r="K24">
        <f>ROUND(SmtRes!AE108, 6)</f>
        <v>11242.42</v>
      </c>
      <c r="L24">
        <f>ROUND(I24*K24, 2)</f>
        <v>1.01</v>
      </c>
      <c r="M24">
        <f>ROUND(SmtRes!AA108, 6)</f>
        <v>46993.32</v>
      </c>
      <c r="N24">
        <f>ROUND(I24*M24, 2)</f>
        <v>4.2300000000000004</v>
      </c>
      <c r="O24">
        <f>SmtRes!X108</f>
        <v>1192568630</v>
      </c>
      <c r="P24">
        <v>-736655064</v>
      </c>
      <c r="Q24">
        <v>1023048722</v>
      </c>
    </row>
    <row r="25" spans="1:17" x14ac:dyDescent="0.2">
      <c r="A25">
        <f>Source!A115</f>
        <v>18</v>
      </c>
      <c r="C25">
        <v>3</v>
      </c>
      <c r="D25">
        <f>Source!BI115</f>
        <v>1</v>
      </c>
      <c r="E25">
        <f>Source!FS115</f>
        <v>0</v>
      </c>
      <c r="F25" t="str">
        <f>Source!F115</f>
        <v>9999990001</v>
      </c>
      <c r="G25" t="str">
        <f>Source!G115</f>
        <v>Масса мусора</v>
      </c>
      <c r="H25" t="str">
        <f>Source!H115</f>
        <v>т</v>
      </c>
      <c r="I25">
        <f>Source!I115</f>
        <v>0.03</v>
      </c>
      <c r="J25">
        <v>1</v>
      </c>
      <c r="K25">
        <f>ROUND(Source!AC115, 6)</f>
        <v>0</v>
      </c>
      <c r="L25">
        <f>ROUND(K25*I25, 2)</f>
        <v>0</v>
      </c>
      <c r="M25">
        <f>ROUND(Source!AC115*IF(Source!BC115&lt;&gt; 0, Source!BC115, 1), 6)</f>
        <v>0</v>
      </c>
      <c r="N25">
        <f>ROUND(M25*I25, 2)</f>
        <v>0</v>
      </c>
      <c r="O25">
        <f>Source!GF115</f>
        <v>1489638031</v>
      </c>
      <c r="P25">
        <v>557837154</v>
      </c>
      <c r="Q25">
        <v>557837154</v>
      </c>
    </row>
    <row r="26" spans="1:17" x14ac:dyDescent="0.2">
      <c r="A26">
        <f>Source!A175</f>
        <v>4</v>
      </c>
      <c r="B26">
        <v>175</v>
      </c>
      <c r="G26" t="str">
        <f>Source!G175</f>
        <v>Монтажные работы</v>
      </c>
    </row>
    <row r="27" spans="1:17" x14ac:dyDescent="0.2">
      <c r="A27">
        <f>Source!A179</f>
        <v>5</v>
      </c>
      <c r="B27">
        <v>179</v>
      </c>
      <c r="G27" t="str">
        <f>Source!G179</f>
        <v>Входная группа</v>
      </c>
    </row>
    <row r="28" spans="1:17" x14ac:dyDescent="0.2">
      <c r="A28">
        <f>Source!A184</f>
        <v>17</v>
      </c>
      <c r="C28">
        <v>3</v>
      </c>
      <c r="D28">
        <v>0</v>
      </c>
      <c r="E28">
        <f>SmtRes!AV117</f>
        <v>0</v>
      </c>
      <c r="F28" t="str">
        <f>SmtRes!I117</f>
        <v>1.1-1-118</v>
      </c>
      <c r="G28" t="str">
        <f>SmtRes!K117</f>
        <v>Вода</v>
      </c>
      <c r="H28" t="str">
        <f>SmtRes!O117</f>
        <v>м3</v>
      </c>
      <c r="I28">
        <f>SmtRes!Y117*Source!I184</f>
        <v>0.17849999999999999</v>
      </c>
      <c r="J28">
        <f>SmtRes!AO117</f>
        <v>1</v>
      </c>
      <c r="K28">
        <f>ROUND(SmtRes!AE117, 6)</f>
        <v>7.07</v>
      </c>
      <c r="L28">
        <f>ROUND(I28*K28, 2)</f>
        <v>1.26</v>
      </c>
      <c r="M28">
        <f>ROUND(SmtRes!AA117, 6)</f>
        <v>29.98</v>
      </c>
      <c r="N28">
        <f>ROUND(I28*M28, 2)</f>
        <v>5.35</v>
      </c>
      <c r="O28">
        <f>SmtRes!X117</f>
        <v>-862991314</v>
      </c>
      <c r="P28">
        <v>209219300</v>
      </c>
      <c r="Q28">
        <v>2045990491</v>
      </c>
    </row>
    <row r="29" spans="1:17" x14ac:dyDescent="0.2">
      <c r="A29">
        <f>Source!A186</f>
        <v>18</v>
      </c>
      <c r="C29">
        <v>3</v>
      </c>
      <c r="D29">
        <f>Source!BI186</f>
        <v>1</v>
      </c>
      <c r="E29">
        <f>Source!FS186</f>
        <v>0</v>
      </c>
      <c r="F29" t="str">
        <f>Source!F186</f>
        <v>1.3-2-6</v>
      </c>
      <c r="G29" t="str">
        <f>Source!G186</f>
        <v>Растворы цементные, марка 150</v>
      </c>
      <c r="H29" t="str">
        <f>Source!H186</f>
        <v>м3</v>
      </c>
      <c r="I29">
        <f>Source!I186</f>
        <v>0.10403999999999999</v>
      </c>
      <c r="J29">
        <v>1</v>
      </c>
      <c r="K29">
        <f>ROUND(Source!AC186, 6)</f>
        <v>478.96</v>
      </c>
      <c r="L29">
        <f>ROUND(K29*I29, 2)</f>
        <v>49.83</v>
      </c>
      <c r="M29">
        <f>ROUND(Source!AC186*IF(Source!BC186&lt;&gt; 0, Source!BC186, 1), 6)</f>
        <v>2912.0767999999998</v>
      </c>
      <c r="N29">
        <f>ROUND(M29*I29, 2)</f>
        <v>302.97000000000003</v>
      </c>
      <c r="O29">
        <f>Source!GF186</f>
        <v>-1161195218</v>
      </c>
      <c r="P29">
        <v>78190390</v>
      </c>
      <c r="Q29">
        <v>-1297412162</v>
      </c>
    </row>
    <row r="30" spans="1:17" x14ac:dyDescent="0.2">
      <c r="A30">
        <f>Source!A188</f>
        <v>17</v>
      </c>
      <c r="C30">
        <v>3</v>
      </c>
      <c r="D30">
        <v>0</v>
      </c>
      <c r="E30">
        <f>SmtRes!AV128</f>
        <v>0</v>
      </c>
      <c r="F30" t="str">
        <f>SmtRes!I128</f>
        <v>9999990006</v>
      </c>
      <c r="G30" t="str">
        <f>SmtRes!K128</f>
        <v>Стоимость прочих материалов (ЭСН)</v>
      </c>
      <c r="H30" t="str">
        <f>SmtRes!O128</f>
        <v>руб.</v>
      </c>
      <c r="I30">
        <f>SmtRes!Y128*Source!I188</f>
        <v>0.28916999999999998</v>
      </c>
      <c r="J30">
        <f>SmtRes!AO128</f>
        <v>1</v>
      </c>
      <c r="K30">
        <f>ROUND(SmtRes!AE128, 6)</f>
        <v>1</v>
      </c>
      <c r="L30">
        <f>ROUND(I30*K30, 2)</f>
        <v>0.28999999999999998</v>
      </c>
      <c r="M30">
        <f>ROUND(SmtRes!AA128, 6)</f>
        <v>1</v>
      </c>
      <c r="N30">
        <f>ROUND(I30*M30, 2)</f>
        <v>0.28999999999999998</v>
      </c>
      <c r="O30">
        <f>SmtRes!X128</f>
        <v>-94250534</v>
      </c>
      <c r="P30">
        <v>-1341645062</v>
      </c>
      <c r="Q30">
        <v>-1341645062</v>
      </c>
    </row>
    <row r="31" spans="1:17" x14ac:dyDescent="0.2">
      <c r="A31">
        <f>Source!A188</f>
        <v>17</v>
      </c>
      <c r="C31">
        <v>3</v>
      </c>
      <c r="D31">
        <v>0</v>
      </c>
      <c r="E31">
        <f>SmtRes!AV126</f>
        <v>0</v>
      </c>
      <c r="F31" t="str">
        <f>SmtRes!I126</f>
        <v>1.3-2-6</v>
      </c>
      <c r="G31" t="str">
        <f>SmtRes!K126</f>
        <v>Растворы цементные, марка 150</v>
      </c>
      <c r="H31" t="str">
        <f>SmtRes!O126</f>
        <v>м3</v>
      </c>
      <c r="I31">
        <f>SmtRes!Y126*Source!I188</f>
        <v>0.10760999999999998</v>
      </c>
      <c r="J31">
        <f>SmtRes!AO126</f>
        <v>1</v>
      </c>
      <c r="K31">
        <f>ROUND(SmtRes!AE126, 6)</f>
        <v>478.96</v>
      </c>
      <c r="L31">
        <f>ROUND(I31*K31, 2)</f>
        <v>51.54</v>
      </c>
      <c r="M31">
        <f>ROUND(SmtRes!AA126, 6)</f>
        <v>2912.08</v>
      </c>
      <c r="N31">
        <f>ROUND(I31*M31, 2)</f>
        <v>313.37</v>
      </c>
      <c r="O31">
        <f>SmtRes!X126</f>
        <v>-1161195218</v>
      </c>
      <c r="P31">
        <v>78190390</v>
      </c>
      <c r="Q31">
        <v>-1660568809</v>
      </c>
    </row>
    <row r="32" spans="1:17" x14ac:dyDescent="0.2">
      <c r="A32">
        <f>Source!A190</f>
        <v>18</v>
      </c>
      <c r="C32">
        <v>3</v>
      </c>
      <c r="D32">
        <f>Source!BI190</f>
        <v>1</v>
      </c>
      <c r="E32">
        <f>Source!FS190</f>
        <v>0</v>
      </c>
      <c r="F32" t="str">
        <f>Source!F190</f>
        <v>1.5-1-192</v>
      </c>
      <c r="G32" t="str">
        <f>Source!G190</f>
        <v>Плиты бетонные тротуарные, толщина 70 мм, цвет серый</v>
      </c>
      <c r="H32" t="str">
        <f>Source!H190</f>
        <v>м2</v>
      </c>
      <c r="I32">
        <f>Source!I190</f>
        <v>5.202</v>
      </c>
      <c r="J32">
        <v>1</v>
      </c>
      <c r="K32">
        <f>ROUND(Source!AC190, 6)</f>
        <v>117.94</v>
      </c>
      <c r="L32">
        <f>ROUND(K32*I32, 2)</f>
        <v>613.52</v>
      </c>
      <c r="M32">
        <f>ROUND(Source!AC190*IF(Source!BC190&lt;&gt; 0, Source!BC190, 1), 6)</f>
        <v>459.96600000000001</v>
      </c>
      <c r="N32">
        <f>ROUND(M32*I32, 2)</f>
        <v>2392.7399999999998</v>
      </c>
      <c r="O32">
        <f>Source!GF190</f>
        <v>1313026270</v>
      </c>
      <c r="P32">
        <v>-1961533055</v>
      </c>
      <c r="Q32">
        <v>-1021088367</v>
      </c>
    </row>
    <row r="33" spans="1:17" x14ac:dyDescent="0.2">
      <c r="A33">
        <f>Source!A192</f>
        <v>17</v>
      </c>
      <c r="C33">
        <v>3</v>
      </c>
      <c r="D33">
        <v>0</v>
      </c>
      <c r="E33">
        <f>SmtRes!AV144</f>
        <v>0</v>
      </c>
      <c r="F33" t="str">
        <f>SmtRes!I144</f>
        <v>1.1-1-2480</v>
      </c>
      <c r="G33" t="str">
        <f>SmtRes!K144</f>
        <v>Грунтовка акриловая на латексной основе, марка "Грундирмиттель"</v>
      </c>
      <c r="H33" t="str">
        <f>SmtRes!O144</f>
        <v>т</v>
      </c>
      <c r="I33">
        <f>SmtRes!Y144*Source!I192</f>
        <v>1.7999999999999998E-4</v>
      </c>
      <c r="J33">
        <f>SmtRes!AO144</f>
        <v>1</v>
      </c>
      <c r="K33">
        <f>ROUND(SmtRes!AE144, 6)</f>
        <v>69883.649999999994</v>
      </c>
      <c r="L33">
        <f>ROUND(I33*K33, 2)</f>
        <v>12.58</v>
      </c>
      <c r="M33">
        <f>ROUND(SmtRes!AA144, 6)</f>
        <v>106223.15</v>
      </c>
      <c r="N33">
        <f>ROUND(I33*M33, 2)</f>
        <v>19.12</v>
      </c>
      <c r="O33">
        <f>SmtRes!X144</f>
        <v>353027985</v>
      </c>
      <c r="P33">
        <v>-1497170026</v>
      </c>
      <c r="Q33">
        <v>1463188514</v>
      </c>
    </row>
    <row r="34" spans="1:17" x14ac:dyDescent="0.2">
      <c r="A34">
        <f>Source!A192</f>
        <v>17</v>
      </c>
      <c r="C34">
        <v>3</v>
      </c>
      <c r="D34">
        <v>0</v>
      </c>
      <c r="E34">
        <f>SmtRes!AV142</f>
        <v>0</v>
      </c>
      <c r="F34" t="str">
        <f>SmtRes!I142</f>
        <v>1.1-1-118</v>
      </c>
      <c r="G34" t="str">
        <f>SmtRes!K142</f>
        <v>Вода</v>
      </c>
      <c r="H34" t="str">
        <f>SmtRes!O142</f>
        <v>м3</v>
      </c>
      <c r="I34">
        <f>SmtRes!Y142*Source!I192</f>
        <v>2.3939999999999999E-3</v>
      </c>
      <c r="J34">
        <f>SmtRes!AO142</f>
        <v>1</v>
      </c>
      <c r="K34">
        <f>ROUND(SmtRes!AE142, 6)</f>
        <v>7.07</v>
      </c>
      <c r="L34">
        <f>ROUND(I34*K34, 2)</f>
        <v>0.02</v>
      </c>
      <c r="M34">
        <f>ROUND(SmtRes!AA142, 6)</f>
        <v>29.98</v>
      </c>
      <c r="N34">
        <f>ROUND(I34*M34, 2)</f>
        <v>7.0000000000000007E-2</v>
      </c>
      <c r="O34">
        <f>SmtRes!X142</f>
        <v>-862991314</v>
      </c>
      <c r="P34">
        <v>209219300</v>
      </c>
      <c r="Q34">
        <v>2045990491</v>
      </c>
    </row>
    <row r="35" spans="1:17" x14ac:dyDescent="0.2">
      <c r="A35">
        <f>Source!A194</f>
        <v>18</v>
      </c>
      <c r="C35">
        <v>3</v>
      </c>
      <c r="D35">
        <f>Source!BI194</f>
        <v>1</v>
      </c>
      <c r="E35">
        <f>Source!FS194</f>
        <v>0</v>
      </c>
      <c r="F35" t="str">
        <f>Source!F194</f>
        <v>1.3-2-138</v>
      </c>
      <c r="G35" t="str">
        <f>Source!G194</f>
        <v>Смеси сухие для заполнения швов между плитками, цветные</v>
      </c>
      <c r="H35" t="str">
        <f>Source!H194</f>
        <v>т</v>
      </c>
      <c r="I35">
        <f>Source!I194</f>
        <v>2E-3</v>
      </c>
      <c r="J35">
        <v>1</v>
      </c>
      <c r="K35">
        <f>ROUND(Source!AC194, 6)</f>
        <v>27362.67</v>
      </c>
      <c r="L35">
        <f t="shared" ref="L35:L40" si="0">ROUND(K35*I35, 2)</f>
        <v>54.73</v>
      </c>
      <c r="M35">
        <f>ROUND(Source!AC194*IF(Source!BC194&lt;&gt; 0, Source!BC194, 1), 6)</f>
        <v>25994.536499999998</v>
      </c>
      <c r="N35">
        <f t="shared" ref="N35:N40" si="1">ROUND(M35*I35, 2)</f>
        <v>51.99</v>
      </c>
      <c r="O35">
        <f>Source!GF194</f>
        <v>1389983172</v>
      </c>
      <c r="P35">
        <v>-1353142151</v>
      </c>
      <c r="Q35">
        <v>561068362</v>
      </c>
    </row>
    <row r="36" spans="1:17" x14ac:dyDescent="0.2">
      <c r="A36">
        <f>Source!A196</f>
        <v>18</v>
      </c>
      <c r="C36">
        <v>3</v>
      </c>
      <c r="D36">
        <f>Source!BI196</f>
        <v>1</v>
      </c>
      <c r="E36">
        <f>Source!FS196</f>
        <v>0</v>
      </c>
      <c r="F36" t="str">
        <f>Source!F196</f>
        <v>1.3-2-168</v>
      </c>
      <c r="G36" t="str">
        <f>Source!G196</f>
        <v>Смеси сухие клеевые, высокоадгезионные, высокоэластичные, для внутренних и наружных работ, для укладки напольной, настенной и потолочной плитки из керамики, мозаики, натурального камня и керамогранита</v>
      </c>
      <c r="H36" t="str">
        <f>Source!H196</f>
        <v>т</v>
      </c>
      <c r="I36">
        <f>Source!I196</f>
        <v>8.4600000000000005E-3</v>
      </c>
      <c r="J36">
        <v>1</v>
      </c>
      <c r="K36">
        <f>ROUND(Source!AC196, 6)</f>
        <v>6529.05</v>
      </c>
      <c r="L36">
        <f t="shared" si="0"/>
        <v>55.24</v>
      </c>
      <c r="M36">
        <f>ROUND(Source!AC196*IF(Source!BC196&lt;&gt; 0, Source!BC196, 1), 6)</f>
        <v>7638.9885000000004</v>
      </c>
      <c r="N36">
        <f t="shared" si="1"/>
        <v>64.63</v>
      </c>
      <c r="O36">
        <f>Source!GF196</f>
        <v>-137175376</v>
      </c>
      <c r="P36">
        <v>1529335346</v>
      </c>
      <c r="Q36">
        <v>274111918</v>
      </c>
    </row>
    <row r="37" spans="1:17" x14ac:dyDescent="0.2">
      <c r="A37">
        <f>Source!A198</f>
        <v>18</v>
      </c>
      <c r="C37">
        <v>3</v>
      </c>
      <c r="D37">
        <f>Source!BI198</f>
        <v>1</v>
      </c>
      <c r="E37">
        <f>Source!FS198</f>
        <v>0</v>
      </c>
      <c r="F37" t="str">
        <f>Source!F198</f>
        <v>1.1-1-2398</v>
      </c>
      <c r="G37" t="str">
        <f>Source!G198</f>
        <v>Плитки керамические, типа керамогранит, неполированные, размер 30х30 см, толщина 8 мм, цвет: светло-серый, серый, светло-зеленый, бежевый</v>
      </c>
      <c r="H37" t="str">
        <f>Source!H198</f>
        <v>м2</v>
      </c>
      <c r="I37">
        <f>Source!I198</f>
        <v>1.8360000000000001</v>
      </c>
      <c r="J37">
        <v>1</v>
      </c>
      <c r="K37">
        <f>ROUND(Source!AC198, 6)</f>
        <v>92.02</v>
      </c>
      <c r="L37">
        <f t="shared" si="0"/>
        <v>168.95</v>
      </c>
      <c r="M37">
        <f>ROUND(Source!AC198*IF(Source!BC198&lt;&gt; 0, Source!BC198, 1), 6)</f>
        <v>403.04759999999999</v>
      </c>
      <c r="N37">
        <f t="shared" si="1"/>
        <v>740</v>
      </c>
      <c r="O37">
        <f>Source!GF198</f>
        <v>1213652254</v>
      </c>
      <c r="P37">
        <v>1282892280</v>
      </c>
      <c r="Q37">
        <v>2077047568</v>
      </c>
    </row>
    <row r="38" spans="1:17" x14ac:dyDescent="0.2">
      <c r="A38">
        <f>Source!A202</f>
        <v>18</v>
      </c>
      <c r="C38">
        <v>3</v>
      </c>
      <c r="D38">
        <f>Source!BI202</f>
        <v>1</v>
      </c>
      <c r="E38">
        <f>Source!FS202</f>
        <v>0</v>
      </c>
      <c r="F38" t="str">
        <f>Source!F202</f>
        <v>1.1-1-1328</v>
      </c>
      <c r="G38" t="str">
        <f>Source!G202</f>
        <v>Цемент общестроительный, портландцемент общего назначения, марка 300</v>
      </c>
      <c r="H38" t="str">
        <f>Source!H202</f>
        <v>т</v>
      </c>
      <c r="I38">
        <f>Source!I202</f>
        <v>2.2499999999999999E-2</v>
      </c>
      <c r="J38">
        <v>1</v>
      </c>
      <c r="K38">
        <f>ROUND(Source!AC202, 6)</f>
        <v>315.2</v>
      </c>
      <c r="L38">
        <f t="shared" si="0"/>
        <v>7.09</v>
      </c>
      <c r="M38">
        <f>ROUND(Source!AC202*IF(Source!BC202&lt;&gt; 0, Source!BC202, 1), 6)</f>
        <v>3356.88</v>
      </c>
      <c r="N38">
        <f t="shared" si="1"/>
        <v>75.53</v>
      </c>
      <c r="O38">
        <f>Source!GF202</f>
        <v>2075225388</v>
      </c>
      <c r="P38">
        <v>765918850</v>
      </c>
      <c r="Q38">
        <v>1226868324</v>
      </c>
    </row>
    <row r="39" spans="1:17" x14ac:dyDescent="0.2">
      <c r="A39">
        <f>Source!A204</f>
        <v>18</v>
      </c>
      <c r="C39">
        <v>3</v>
      </c>
      <c r="D39">
        <f>Source!BI204</f>
        <v>1</v>
      </c>
      <c r="E39">
        <f>Source!FS204</f>
        <v>0</v>
      </c>
      <c r="F39" t="str">
        <f>Source!F204</f>
        <v>цена поставщика</v>
      </c>
      <c r="G39" t="str">
        <f>Source!G204</f>
        <v>Ограждение пандуса из нержавеющей</v>
      </c>
      <c r="H39" t="str">
        <f>Source!H204</f>
        <v>ПМ</v>
      </c>
      <c r="I39">
        <f>Source!I204</f>
        <v>11.1</v>
      </c>
      <c r="J39">
        <v>1</v>
      </c>
      <c r="K39">
        <f>ROUND(Source!AC204, 6)</f>
        <v>710.7</v>
      </c>
      <c r="L39">
        <f t="shared" si="0"/>
        <v>7888.77</v>
      </c>
      <c r="M39">
        <f>ROUND(Source!AC204*IF(Source!BC204&lt;&gt; 0, Source!BC204, 1), 6)</f>
        <v>3716.9609999999998</v>
      </c>
      <c r="N39">
        <f t="shared" si="1"/>
        <v>41258.269999999997</v>
      </c>
      <c r="O39">
        <f>Source!GF204</f>
        <v>1550056831</v>
      </c>
      <c r="P39">
        <v>327562513</v>
      </c>
      <c r="Q39">
        <v>918097005</v>
      </c>
    </row>
    <row r="40" spans="1:17" x14ac:dyDescent="0.2">
      <c r="A40">
        <f>Source!A206</f>
        <v>18</v>
      </c>
      <c r="C40">
        <v>3</v>
      </c>
      <c r="D40">
        <f>Source!BI206</f>
        <v>1</v>
      </c>
      <c r="E40">
        <f>Source!FS206</f>
        <v>0</v>
      </c>
      <c r="F40" t="str">
        <f>Source!F206</f>
        <v>цена поставщика</v>
      </c>
      <c r="G40" t="str">
        <f>Source!G206</f>
        <v>Ограждения из нержавеющей стали лестниц</v>
      </c>
      <c r="H40" t="str">
        <f>Source!H206</f>
        <v>ПМ</v>
      </c>
      <c r="I40">
        <f>Source!I206</f>
        <v>3.9</v>
      </c>
      <c r="J40">
        <v>1</v>
      </c>
      <c r="K40">
        <f>ROUND(Source!AC206, 6)</f>
        <v>694.17</v>
      </c>
      <c r="L40">
        <f t="shared" si="0"/>
        <v>2707.26</v>
      </c>
      <c r="M40">
        <f>ROUND(Source!AC206*IF(Source!BC206&lt;&gt; 0, Source!BC206, 1), 6)</f>
        <v>3630.5091000000002</v>
      </c>
      <c r="N40">
        <f t="shared" si="1"/>
        <v>14158.99</v>
      </c>
      <c r="O40">
        <f>Source!GF206</f>
        <v>1342183003</v>
      </c>
      <c r="P40">
        <v>1645927506</v>
      </c>
      <c r="Q40">
        <v>735709410</v>
      </c>
    </row>
    <row r="41" spans="1:17" x14ac:dyDescent="0.2">
      <c r="A41">
        <f>Source!A208</f>
        <v>17</v>
      </c>
      <c r="C41">
        <v>3</v>
      </c>
      <c r="D41">
        <v>0</v>
      </c>
      <c r="E41">
        <f>SmtRes!AV168</f>
        <v>0</v>
      </c>
      <c r="F41" t="str">
        <f>SmtRes!I168</f>
        <v>9999990006</v>
      </c>
      <c r="G41" t="str">
        <f>SmtRes!K168</f>
        <v>Стоимость прочих материалов (ЭСН)</v>
      </c>
      <c r="H41" t="str">
        <f>SmtRes!O168</f>
        <v>руб.</v>
      </c>
      <c r="I41">
        <f>SmtRes!Y168*Source!I208</f>
        <v>4.3309999999999994E-2</v>
      </c>
      <c r="J41">
        <f>SmtRes!AO168</f>
        <v>1</v>
      </c>
      <c r="K41">
        <f>ROUND(SmtRes!AE168, 6)</f>
        <v>1</v>
      </c>
      <c r="L41">
        <f>ROUND(I41*K41, 2)</f>
        <v>0.04</v>
      </c>
      <c r="M41">
        <f>ROUND(SmtRes!AA168, 6)</f>
        <v>1</v>
      </c>
      <c r="N41">
        <f>ROUND(I41*M41, 2)</f>
        <v>0.04</v>
      </c>
      <c r="O41">
        <f>SmtRes!X168</f>
        <v>-94250534</v>
      </c>
      <c r="P41">
        <v>-1341645062</v>
      </c>
      <c r="Q41">
        <v>-1341645062</v>
      </c>
    </row>
    <row r="42" spans="1:17" x14ac:dyDescent="0.2">
      <c r="A42">
        <f>Source!A210</f>
        <v>18</v>
      </c>
      <c r="C42">
        <v>3</v>
      </c>
      <c r="D42">
        <f>Source!BI210</f>
        <v>1</v>
      </c>
      <c r="E42">
        <f>Source!FS210</f>
        <v>0</v>
      </c>
      <c r="F42" t="str">
        <f>Source!F210</f>
        <v>1.1-1-118</v>
      </c>
      <c r="G42" t="str">
        <f>Source!G210</f>
        <v>Вода</v>
      </c>
      <c r="H42" t="str">
        <f>Source!H210</f>
        <v>м3</v>
      </c>
      <c r="I42">
        <f>Source!I210</f>
        <v>1.503E-2</v>
      </c>
      <c r="J42">
        <v>1</v>
      </c>
      <c r="K42">
        <f>ROUND(Source!AC210, 6)</f>
        <v>7.07</v>
      </c>
      <c r="L42">
        <f>ROUND(K42*I42, 2)</f>
        <v>0.11</v>
      </c>
      <c r="M42">
        <f>ROUND(Source!AC210*IF(Source!BC210&lt;&gt; 0, Source!BC210, 1), 6)</f>
        <v>29.976800000000001</v>
      </c>
      <c r="N42">
        <f>ROUND(M42*I42, 2)</f>
        <v>0.45</v>
      </c>
      <c r="O42">
        <f>Source!GF210</f>
        <v>-862991314</v>
      </c>
      <c r="P42">
        <v>209219300</v>
      </c>
      <c r="Q42">
        <v>819754372</v>
      </c>
    </row>
    <row r="43" spans="1:17" x14ac:dyDescent="0.2">
      <c r="A43">
        <f>Source!A212</f>
        <v>18</v>
      </c>
      <c r="C43">
        <v>3</v>
      </c>
      <c r="D43">
        <f>Source!BI212</f>
        <v>1</v>
      </c>
      <c r="E43">
        <f>Source!FS212</f>
        <v>0</v>
      </c>
      <c r="F43" t="str">
        <f>Source!F212</f>
        <v>1.3-2-26</v>
      </c>
      <c r="G43" t="str">
        <f>Source!G212</f>
        <v>Смеси сухие штукатурные цементно-песчаные для внутренних и наружных работ, улучшенные с импортными добавками, В12,5 (М150), F50, крупность заполнителя не более 0,5 мм</v>
      </c>
      <c r="H43" t="str">
        <f>Source!H212</f>
        <v>т</v>
      </c>
      <c r="I43">
        <f>Source!I212</f>
        <v>8.5888000000000006E-2</v>
      </c>
      <c r="J43">
        <v>1</v>
      </c>
      <c r="K43">
        <f>ROUND(Source!AC212, 6)</f>
        <v>1823.55</v>
      </c>
      <c r="L43">
        <f>ROUND(K43*I43, 2)</f>
        <v>156.62</v>
      </c>
      <c r="M43">
        <f>ROUND(Source!AC212*IF(Source!BC212&lt;&gt; 0, Source!BC212, 1), 6)</f>
        <v>4412.991</v>
      </c>
      <c r="N43">
        <f>ROUND(M43*I43, 2)</f>
        <v>379.02</v>
      </c>
      <c r="O43">
        <f>Source!GF212</f>
        <v>1872927496</v>
      </c>
      <c r="P43">
        <v>2087319251</v>
      </c>
      <c r="Q43">
        <v>224496713</v>
      </c>
    </row>
    <row r="44" spans="1:17" x14ac:dyDescent="0.2">
      <c r="A44">
        <f>Source!A214</f>
        <v>18</v>
      </c>
      <c r="C44">
        <v>3</v>
      </c>
      <c r="D44">
        <f>Source!BI214</f>
        <v>1</v>
      </c>
      <c r="E44">
        <f>Source!FS214</f>
        <v>0</v>
      </c>
      <c r="F44" t="str">
        <f>Source!F214</f>
        <v>1.3-2-11</v>
      </c>
      <c r="G44" t="str">
        <f>Source!G214</f>
        <v>Растворы цементно-известковые, марка 25</v>
      </c>
      <c r="H44" t="str">
        <f>Source!H214</f>
        <v>м3</v>
      </c>
      <c r="I44">
        <f>Source!I214</f>
        <v>0.20984</v>
      </c>
      <c r="J44">
        <v>1</v>
      </c>
      <c r="K44">
        <f>ROUND(Source!AC214, 6)</f>
        <v>441.1</v>
      </c>
      <c r="L44">
        <f>ROUND(K44*I44, 2)</f>
        <v>92.56</v>
      </c>
      <c r="M44">
        <f>ROUND(Source!AC214*IF(Source!BC214&lt;&gt; 0, Source!BC214, 1), 6)</f>
        <v>2915.6709999999998</v>
      </c>
      <c r="N44">
        <f>ROUND(M44*I44, 2)</f>
        <v>611.82000000000005</v>
      </c>
      <c r="O44">
        <f>Source!GF214</f>
        <v>-2018362707</v>
      </c>
      <c r="P44">
        <v>-1699775078</v>
      </c>
      <c r="Q44">
        <v>1513715382</v>
      </c>
    </row>
    <row r="45" spans="1:17" x14ac:dyDescent="0.2">
      <c r="A45">
        <f>Source!A216</f>
        <v>17</v>
      </c>
      <c r="C45">
        <v>3</v>
      </c>
      <c r="D45">
        <v>0</v>
      </c>
      <c r="E45">
        <f>SmtRes!AV178</f>
        <v>0</v>
      </c>
      <c r="F45" t="str">
        <f>SmtRes!I178</f>
        <v>9999990006</v>
      </c>
      <c r="G45" t="str">
        <f>SmtRes!K178</f>
        <v>Стоимость прочих материалов (ЭСН)</v>
      </c>
      <c r="H45" t="str">
        <f>SmtRes!O178</f>
        <v>руб.</v>
      </c>
      <c r="I45">
        <f>SmtRes!Y178*Source!I216</f>
        <v>0.37148999999999999</v>
      </c>
      <c r="J45">
        <f>SmtRes!AO178</f>
        <v>1</v>
      </c>
      <c r="K45">
        <f>ROUND(SmtRes!AE178, 6)</f>
        <v>1</v>
      </c>
      <c r="L45">
        <f>ROUND(I45*K45, 2)</f>
        <v>0.37</v>
      </c>
      <c r="M45">
        <f>ROUND(SmtRes!AA178, 6)</f>
        <v>1</v>
      </c>
      <c r="N45">
        <f>ROUND(I45*M45, 2)</f>
        <v>0.37</v>
      </c>
      <c r="O45">
        <f>SmtRes!X178</f>
        <v>-94250534</v>
      </c>
      <c r="P45">
        <v>-1341645062</v>
      </c>
      <c r="Q45">
        <v>-1341645062</v>
      </c>
    </row>
    <row r="46" spans="1:17" x14ac:dyDescent="0.2">
      <c r="A46">
        <f>Source!A218</f>
        <v>18</v>
      </c>
      <c r="C46">
        <v>3</v>
      </c>
      <c r="D46">
        <f>Source!BI218</f>
        <v>1</v>
      </c>
      <c r="E46">
        <f>Source!FS218</f>
        <v>0</v>
      </c>
      <c r="F46" t="str">
        <f>Source!F218</f>
        <v>1.1-1-1487</v>
      </c>
      <c r="G46" t="str">
        <f>Source!G218</f>
        <v>Шпатлевка масляно-клеевая универсальная</v>
      </c>
      <c r="H46" t="str">
        <f>Source!H218</f>
        <v>т</v>
      </c>
      <c r="I46">
        <f>Source!I218</f>
        <v>3.1110000000000001E-3</v>
      </c>
      <c r="J46">
        <v>1</v>
      </c>
      <c r="K46">
        <f>ROUND(Source!AC218, 6)</f>
        <v>2278.84</v>
      </c>
      <c r="L46">
        <f>ROUND(K46*I46, 2)</f>
        <v>7.09</v>
      </c>
      <c r="M46">
        <f>ROUND(Source!AC218*IF(Source!BC218&lt;&gt; 0, Source!BC218, 1), 6)</f>
        <v>14311.1152</v>
      </c>
      <c r="N46">
        <f>ROUND(M46*I46, 2)</f>
        <v>44.52</v>
      </c>
      <c r="O46">
        <f>Source!GF218</f>
        <v>1793685401</v>
      </c>
      <c r="P46">
        <v>-509580385</v>
      </c>
      <c r="Q46">
        <v>-2104003906</v>
      </c>
    </row>
    <row r="47" spans="1:17" x14ac:dyDescent="0.2">
      <c r="A47">
        <f>Source!A220</f>
        <v>18</v>
      </c>
      <c r="C47">
        <v>3</v>
      </c>
      <c r="D47">
        <f>Source!BI220</f>
        <v>1</v>
      </c>
      <c r="E47">
        <f>Source!FS220</f>
        <v>0</v>
      </c>
      <c r="F47" t="str">
        <f>Source!F220</f>
        <v>1.1-1-438</v>
      </c>
      <c r="G47" t="str">
        <f>Source!G220</f>
        <v>Краски водно-дисперсионные поливинилацетатные, белые, марка ВД-ВА-17</v>
      </c>
      <c r="H47" t="str">
        <f>Source!H220</f>
        <v>т</v>
      </c>
      <c r="I47">
        <f>Source!I220</f>
        <v>3.8430000000000001E-3</v>
      </c>
      <c r="J47">
        <v>1</v>
      </c>
      <c r="K47">
        <f>ROUND(Source!AC220, 6)</f>
        <v>22652.13</v>
      </c>
      <c r="L47">
        <f>ROUND(K47*I47, 2)</f>
        <v>87.05</v>
      </c>
      <c r="M47">
        <f>ROUND(Source!AC220*IF(Source!BC220&lt;&gt; 0, Source!BC220, 1), 6)</f>
        <v>42132.961799999997</v>
      </c>
      <c r="N47">
        <f>ROUND(M47*I47, 2)</f>
        <v>161.91999999999999</v>
      </c>
      <c r="O47">
        <f>Source!GF220</f>
        <v>-908598485</v>
      </c>
      <c r="P47">
        <v>682084707</v>
      </c>
      <c r="Q47">
        <v>-1533386396</v>
      </c>
    </row>
    <row r="48" spans="1:17" x14ac:dyDescent="0.2">
      <c r="A48">
        <f>Source!A222</f>
        <v>17</v>
      </c>
      <c r="C48">
        <v>3</v>
      </c>
      <c r="D48">
        <v>0</v>
      </c>
      <c r="E48">
        <f>SmtRes!AV194</f>
        <v>0</v>
      </c>
      <c r="F48" t="str">
        <f>SmtRes!I194</f>
        <v>9999990006</v>
      </c>
      <c r="G48" t="str">
        <f>SmtRes!K194</f>
        <v>Стоимость прочих материалов (ЭСН)</v>
      </c>
      <c r="H48" t="str">
        <f>SmtRes!O194</f>
        <v>руб.</v>
      </c>
      <c r="I48">
        <f>SmtRes!Y194*Source!I222</f>
        <v>3.948</v>
      </c>
      <c r="J48">
        <f>SmtRes!AO194</f>
        <v>1</v>
      </c>
      <c r="K48">
        <f>ROUND(SmtRes!AE194, 6)</f>
        <v>1</v>
      </c>
      <c r="L48">
        <f>ROUND(I48*K48, 2)</f>
        <v>3.95</v>
      </c>
      <c r="M48">
        <f>ROUND(SmtRes!AA194, 6)</f>
        <v>1</v>
      </c>
      <c r="N48">
        <f>ROUND(I48*M48, 2)</f>
        <v>3.95</v>
      </c>
      <c r="O48">
        <f>SmtRes!X194</f>
        <v>-94250534</v>
      </c>
      <c r="P48">
        <v>-1341645062</v>
      </c>
      <c r="Q48">
        <v>-1341645062</v>
      </c>
    </row>
    <row r="49" spans="1:17" x14ac:dyDescent="0.2">
      <c r="A49">
        <f>Source!A222</f>
        <v>17</v>
      </c>
      <c r="C49">
        <v>3</v>
      </c>
      <c r="D49">
        <v>0</v>
      </c>
      <c r="E49">
        <f>SmtRes!AV191</f>
        <v>0</v>
      </c>
      <c r="F49" t="str">
        <f>SmtRes!I191</f>
        <v>1.1-1-1566</v>
      </c>
      <c r="G49" t="str">
        <f>SmtRes!K191</f>
        <v>Электроды, тип Э-42, 46, 50, диаметр 4 - 6 мм</v>
      </c>
      <c r="H49" t="str">
        <f>SmtRes!O191</f>
        <v>т</v>
      </c>
      <c r="I49">
        <f>SmtRes!Y191*Source!I222</f>
        <v>7.0000000000000007E-5</v>
      </c>
      <c r="J49">
        <f>SmtRes!AO191</f>
        <v>1</v>
      </c>
      <c r="K49">
        <f>ROUND(SmtRes!AE191, 6)</f>
        <v>7191.81</v>
      </c>
      <c r="L49">
        <f>ROUND(I49*K49, 2)</f>
        <v>0.5</v>
      </c>
      <c r="M49">
        <f>ROUND(SmtRes!AA191, 6)</f>
        <v>86373.64</v>
      </c>
      <c r="N49">
        <f>ROUND(I49*M49, 2)</f>
        <v>6.05</v>
      </c>
      <c r="O49">
        <f>SmtRes!X191</f>
        <v>1310716689</v>
      </c>
      <c r="P49">
        <v>-143943088</v>
      </c>
      <c r="Q49">
        <v>-161349360</v>
      </c>
    </row>
    <row r="50" spans="1:17" x14ac:dyDescent="0.2">
      <c r="A50">
        <f>Source!A224</f>
        <v>18</v>
      </c>
      <c r="C50">
        <v>3</v>
      </c>
      <c r="D50">
        <f>Source!BI224</f>
        <v>1</v>
      </c>
      <c r="E50">
        <f>Source!FS224</f>
        <v>0</v>
      </c>
      <c r="F50" t="str">
        <f>Source!F224</f>
        <v>1.7-2-261</v>
      </c>
      <c r="G50" t="str">
        <f>Source!G224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H50" t="str">
        <f>Source!H224</f>
        <v>шт.</v>
      </c>
      <c r="I50">
        <f>Source!I224</f>
        <v>3</v>
      </c>
      <c r="J50">
        <v>1</v>
      </c>
      <c r="K50">
        <f>ROUND(Source!AC224, 6)</f>
        <v>7495.77</v>
      </c>
      <c r="L50">
        <f>ROUND(K50*I50, 2)</f>
        <v>22487.31</v>
      </c>
      <c r="M50">
        <f>ROUND(Source!AC224*IF(Source!BC224&lt;&gt; 0, Source!BC224, 1), 6)</f>
        <v>14316.920700000001</v>
      </c>
      <c r="N50">
        <f>ROUND(M50*I50, 2)</f>
        <v>42950.76</v>
      </c>
      <c r="O50">
        <f>Source!GF224</f>
        <v>1452044937</v>
      </c>
      <c r="P50">
        <v>-154748732</v>
      </c>
      <c r="Q50">
        <v>1255915150</v>
      </c>
    </row>
    <row r="51" spans="1:17" x14ac:dyDescent="0.2">
      <c r="A51">
        <f>Source!A226</f>
        <v>18</v>
      </c>
      <c r="C51">
        <v>3</v>
      </c>
      <c r="D51">
        <f>Source!BI226</f>
        <v>1</v>
      </c>
      <c r="E51">
        <f>Source!FS226</f>
        <v>0</v>
      </c>
      <c r="F51" t="str">
        <f>Source!F226</f>
        <v>1.7-2-264</v>
      </c>
      <c r="G51" t="str">
        <f>Source!G226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H51" t="str">
        <f>Source!H226</f>
        <v>шт.</v>
      </c>
      <c r="I51">
        <f>Source!I226</f>
        <v>4</v>
      </c>
      <c r="J51">
        <v>1</v>
      </c>
      <c r="K51">
        <f>ROUND(Source!AC226, 6)</f>
        <v>739.17</v>
      </c>
      <c r="L51">
        <f>ROUND(K51*I51, 2)</f>
        <v>2956.68</v>
      </c>
      <c r="M51">
        <f>ROUND(Source!AC226*IF(Source!BC226&lt;&gt; 0, Source!BC226, 1), 6)</f>
        <v>2136.2013000000002</v>
      </c>
      <c r="N51">
        <f>ROUND(M51*I51, 2)</f>
        <v>8544.81</v>
      </c>
      <c r="O51">
        <f>Source!GF226</f>
        <v>-105742610</v>
      </c>
      <c r="P51">
        <v>-463569151</v>
      </c>
      <c r="Q51">
        <v>640726719</v>
      </c>
    </row>
    <row r="52" spans="1:17" x14ac:dyDescent="0.2">
      <c r="A52">
        <f>Source!A228</f>
        <v>17</v>
      </c>
      <c r="C52">
        <v>3</v>
      </c>
      <c r="D52">
        <v>0</v>
      </c>
      <c r="E52">
        <f>SmtRes!AV218</f>
        <v>0</v>
      </c>
      <c r="F52" t="str">
        <f>SmtRes!I218</f>
        <v>1.7-5-155</v>
      </c>
      <c r="G52" t="str">
        <f>SmtRes!K218</f>
        <v>Анкер-шпилька распорный, оцинкованный, для установки в бетон, "Hilti", HST M10х110/30</v>
      </c>
      <c r="H52" t="str">
        <f>SmtRes!O218</f>
        <v>шт.</v>
      </c>
      <c r="I52">
        <f>SmtRes!Y218*Source!I228</f>
        <v>18</v>
      </c>
      <c r="J52">
        <f>SmtRes!AO218</f>
        <v>1</v>
      </c>
      <c r="K52">
        <f>ROUND(SmtRes!AE218, 6)</f>
        <v>25.33</v>
      </c>
      <c r="L52">
        <f t="shared" ref="L52:L57" si="2">ROUND(I52*K52, 2)</f>
        <v>455.94</v>
      </c>
      <c r="M52">
        <f>ROUND(SmtRes!AA218, 6)</f>
        <v>135.77000000000001</v>
      </c>
      <c r="N52">
        <f t="shared" ref="N52:N57" si="3">ROUND(I52*M52, 2)</f>
        <v>2443.86</v>
      </c>
      <c r="O52">
        <f>SmtRes!X218</f>
        <v>-326044472</v>
      </c>
      <c r="P52">
        <v>129211222</v>
      </c>
      <c r="Q52">
        <v>-1083985014</v>
      </c>
    </row>
    <row r="53" spans="1:17" x14ac:dyDescent="0.2">
      <c r="A53">
        <f>Source!A228</f>
        <v>17</v>
      </c>
      <c r="C53">
        <v>3</v>
      </c>
      <c r="D53">
        <v>0</v>
      </c>
      <c r="E53">
        <f>SmtRes!AV217</f>
        <v>0</v>
      </c>
      <c r="F53" t="str">
        <f>SmtRes!I217</f>
        <v>1.7-3-122</v>
      </c>
      <c r="G53" t="str">
        <f>SmtRes!K217</f>
        <v>Бур с наконечником из твердого сплава, с хвостовиком SDS-plus, диаметр 10 мм, длина 260 мм</v>
      </c>
      <c r="H53" t="str">
        <f>SmtRes!O217</f>
        <v>шт.</v>
      </c>
      <c r="I53">
        <f>SmtRes!Y217*Source!I228</f>
        <v>0.18</v>
      </c>
      <c r="J53">
        <f>SmtRes!AO217</f>
        <v>1</v>
      </c>
      <c r="K53">
        <f>ROUND(SmtRes!AE217, 6)</f>
        <v>14.23</v>
      </c>
      <c r="L53">
        <f t="shared" si="2"/>
        <v>2.56</v>
      </c>
      <c r="M53">
        <f>ROUND(SmtRes!AA217, 6)</f>
        <v>86.52</v>
      </c>
      <c r="N53">
        <f t="shared" si="3"/>
        <v>15.57</v>
      </c>
      <c r="O53">
        <f>SmtRes!X217</f>
        <v>1529606530</v>
      </c>
      <c r="P53">
        <v>-830054629</v>
      </c>
      <c r="Q53">
        <v>1373197232</v>
      </c>
    </row>
    <row r="54" spans="1:17" x14ac:dyDescent="0.2">
      <c r="A54">
        <f>Source!A228</f>
        <v>17</v>
      </c>
      <c r="C54">
        <v>3</v>
      </c>
      <c r="D54">
        <v>0</v>
      </c>
      <c r="E54">
        <f>SmtRes!AV214</f>
        <v>0</v>
      </c>
      <c r="F54" t="str">
        <f>SmtRes!I214</f>
        <v>1.3-2-6</v>
      </c>
      <c r="G54" t="str">
        <f>SmtRes!K214</f>
        <v>Растворы цементные, марка 150</v>
      </c>
      <c r="H54" t="str">
        <f>SmtRes!O214</f>
        <v>м3</v>
      </c>
      <c r="I54">
        <f>SmtRes!Y214*Source!I228</f>
        <v>3.0000000000000001E-3</v>
      </c>
      <c r="J54">
        <f>SmtRes!AO214</f>
        <v>1</v>
      </c>
      <c r="K54">
        <f>ROUND(SmtRes!AE214, 6)</f>
        <v>478.96</v>
      </c>
      <c r="L54">
        <f t="shared" si="2"/>
        <v>1.44</v>
      </c>
      <c r="M54">
        <f>ROUND(SmtRes!AA214, 6)</f>
        <v>2912.08</v>
      </c>
      <c r="N54">
        <f t="shared" si="3"/>
        <v>8.74</v>
      </c>
      <c r="O54">
        <f>SmtRes!X214</f>
        <v>-1161195218</v>
      </c>
      <c r="P54">
        <v>78190390</v>
      </c>
      <c r="Q54">
        <v>-1660568809</v>
      </c>
    </row>
    <row r="55" spans="1:17" x14ac:dyDescent="0.2">
      <c r="A55">
        <f>Source!A228</f>
        <v>17</v>
      </c>
      <c r="C55">
        <v>3</v>
      </c>
      <c r="D55">
        <v>0</v>
      </c>
      <c r="E55">
        <f>SmtRes!AV213</f>
        <v>0</v>
      </c>
      <c r="F55" t="str">
        <f>SmtRes!I213</f>
        <v>1.1-1-79</v>
      </c>
      <c r="G55" t="str">
        <f>SmtRes!K213</f>
        <v>Бруски хвойных пород обрезные, длина 2-6,5 м, сорт III, толщина 50-60 мм</v>
      </c>
      <c r="H55" t="str">
        <f>SmtRes!O213</f>
        <v>м3</v>
      </c>
      <c r="I55">
        <f>SmtRes!Y213*Source!I228</f>
        <v>4.8000000000000001E-4</v>
      </c>
      <c r="J55">
        <f>SmtRes!AO213</f>
        <v>1</v>
      </c>
      <c r="K55">
        <f>ROUND(SmtRes!AE213, 6)</f>
        <v>2472.13</v>
      </c>
      <c r="L55">
        <f t="shared" si="2"/>
        <v>1.19</v>
      </c>
      <c r="M55">
        <f>ROUND(SmtRes!AA213, 6)</f>
        <v>6279.21</v>
      </c>
      <c r="N55">
        <f t="shared" si="3"/>
        <v>3.01</v>
      </c>
      <c r="O55">
        <f>SmtRes!X213</f>
        <v>1611452634</v>
      </c>
      <c r="P55">
        <v>358963788</v>
      </c>
      <c r="Q55">
        <v>626075820</v>
      </c>
    </row>
    <row r="56" spans="1:17" x14ac:dyDescent="0.2">
      <c r="A56">
        <f>Source!A228</f>
        <v>17</v>
      </c>
      <c r="C56">
        <v>3</v>
      </c>
      <c r="D56">
        <v>0</v>
      </c>
      <c r="E56">
        <f>SmtRes!AV212</f>
        <v>0</v>
      </c>
      <c r="F56" t="str">
        <f>SmtRes!I212</f>
        <v>1.1-1-3571</v>
      </c>
      <c r="G56" t="str">
        <f>SmtRes!K212</f>
        <v>Пена монтажная противопожарная, обеспечивающая акустическую и термическую изоляцию, предел огнестойкости ЕI 60</v>
      </c>
      <c r="H56" t="str">
        <f>SmtRes!O212</f>
        <v>л</v>
      </c>
      <c r="I56">
        <f>SmtRes!Y212*Source!I228</f>
        <v>1.8299999999999998</v>
      </c>
      <c r="J56">
        <f>SmtRes!AO212</f>
        <v>1</v>
      </c>
      <c r="K56">
        <f>ROUND(SmtRes!AE212, 6)</f>
        <v>125.73</v>
      </c>
      <c r="L56">
        <f t="shared" si="2"/>
        <v>230.09</v>
      </c>
      <c r="M56">
        <f>ROUND(SmtRes!AA212, 6)</f>
        <v>462.69</v>
      </c>
      <c r="N56">
        <f t="shared" si="3"/>
        <v>846.72</v>
      </c>
      <c r="O56">
        <f>SmtRes!X212</f>
        <v>2079983373</v>
      </c>
      <c r="P56">
        <v>1120809486</v>
      </c>
      <c r="Q56">
        <v>-2087000677</v>
      </c>
    </row>
    <row r="57" spans="1:17" x14ac:dyDescent="0.2">
      <c r="A57">
        <f>Source!A228</f>
        <v>17</v>
      </c>
      <c r="C57">
        <v>3</v>
      </c>
      <c r="D57">
        <v>0</v>
      </c>
      <c r="E57">
        <f>SmtRes!AV211</f>
        <v>0</v>
      </c>
      <c r="F57" t="str">
        <f>SmtRes!I211</f>
        <v>1.1-1-2470</v>
      </c>
      <c r="G57" t="str">
        <f>SmtRes!K211</f>
        <v>Герметик акриловый, марка "Illbruck"</v>
      </c>
      <c r="H57" t="str">
        <f>SmtRes!O211</f>
        <v>л</v>
      </c>
      <c r="I57">
        <f>SmtRes!Y211*Source!I228</f>
        <v>0.78</v>
      </c>
      <c r="J57">
        <f>SmtRes!AO211</f>
        <v>1</v>
      </c>
      <c r="K57">
        <f>ROUND(SmtRes!AE211, 6)</f>
        <v>177.8</v>
      </c>
      <c r="L57">
        <f t="shared" si="2"/>
        <v>138.68</v>
      </c>
      <c r="M57">
        <f>ROUND(SmtRes!AA211, 6)</f>
        <v>195.58</v>
      </c>
      <c r="N57">
        <f t="shared" si="3"/>
        <v>152.55000000000001</v>
      </c>
      <c r="O57">
        <f>SmtRes!X211</f>
        <v>1960333545</v>
      </c>
      <c r="P57">
        <v>-1847212044</v>
      </c>
      <c r="Q57">
        <v>-522810250</v>
      </c>
    </row>
    <row r="58" spans="1:17" x14ac:dyDescent="0.2">
      <c r="A58">
        <f>Source!A230</f>
        <v>18</v>
      </c>
      <c r="C58">
        <v>3</v>
      </c>
      <c r="D58">
        <f>Source!BI230</f>
        <v>1</v>
      </c>
      <c r="E58">
        <f>Source!FS230</f>
        <v>0</v>
      </c>
      <c r="F58" t="str">
        <f>Source!F230</f>
        <v>1.7-2-261</v>
      </c>
      <c r="G58" t="str">
        <f>Source!G230</f>
        <v>Блоки дверные металлические противопожарные, шлюзовые, остекленные антивандальным стекл., с заполнением минеральной ватой, окрашенные порошковыми красками, ДПМ-01/30 тип ДШМ 21-10, однопольные, размеры 984х2060 мм, с замком, без доводчика</v>
      </c>
      <c r="H58" t="str">
        <f>Source!H230</f>
        <v>шт.</v>
      </c>
      <c r="I58">
        <f>Source!I230</f>
        <v>3</v>
      </c>
      <c r="J58">
        <v>1</v>
      </c>
      <c r="K58">
        <f>ROUND(Source!AC230, 6)</f>
        <v>7495.77</v>
      </c>
      <c r="L58">
        <f>ROUND(K58*I58, 2)</f>
        <v>22487.31</v>
      </c>
      <c r="M58">
        <f>ROUND(Source!AC230*IF(Source!BC230&lt;&gt; 0, Source!BC230, 1), 6)</f>
        <v>14316.920700000001</v>
      </c>
      <c r="N58">
        <f>ROUND(M58*I58, 2)</f>
        <v>42950.76</v>
      </c>
      <c r="O58">
        <f>Source!GF230</f>
        <v>1452044937</v>
      </c>
      <c r="P58">
        <v>-154748732</v>
      </c>
      <c r="Q58">
        <v>1255915150</v>
      </c>
    </row>
    <row r="59" spans="1:17" x14ac:dyDescent="0.2">
      <c r="A59">
        <f>Source!A232</f>
        <v>18</v>
      </c>
      <c r="C59">
        <v>3</v>
      </c>
      <c r="D59">
        <f>Source!BI232</f>
        <v>1</v>
      </c>
      <c r="E59">
        <f>Source!FS232</f>
        <v>0</v>
      </c>
      <c r="F59" t="str">
        <f>Source!F232</f>
        <v>1.7-2-264</v>
      </c>
      <c r="G59" t="str">
        <f>Source!G232</f>
        <v>Фрамуги наддверные металлические противопожарные, с заполнением минеральной ватой, окрашенные порошковыми красками, ФПМ 04-10, размеры 984х371 мм (0,6*0,9)</v>
      </c>
      <c r="H59" t="str">
        <f>Source!H232</f>
        <v>шт.</v>
      </c>
      <c r="I59">
        <f>Source!I232</f>
        <v>6</v>
      </c>
      <c r="J59">
        <v>1</v>
      </c>
      <c r="K59">
        <f>ROUND(Source!AC232, 6)</f>
        <v>739.17</v>
      </c>
      <c r="L59">
        <f>ROUND(K59*I59, 2)</f>
        <v>4435.0200000000004</v>
      </c>
      <c r="M59">
        <f>ROUND(Source!AC232*IF(Source!BC232&lt;&gt; 0, Source!BC232, 1), 6)</f>
        <v>2136.2013000000002</v>
      </c>
      <c r="N59">
        <f>ROUND(M59*I59, 2)</f>
        <v>12817.21</v>
      </c>
      <c r="O59">
        <f>Source!GF232</f>
        <v>-105742610</v>
      </c>
      <c r="P59">
        <v>-463569151</v>
      </c>
      <c r="Q59">
        <v>640726719</v>
      </c>
    </row>
    <row r="60" spans="1:17" x14ac:dyDescent="0.2">
      <c r="A60">
        <f>Source!A234</f>
        <v>17</v>
      </c>
      <c r="C60">
        <v>3</v>
      </c>
      <c r="D60">
        <v>0</v>
      </c>
      <c r="E60">
        <f>SmtRes!AV231</f>
        <v>0</v>
      </c>
      <c r="F60" t="str">
        <f>SmtRes!I231</f>
        <v>1.1-1-2627</v>
      </c>
      <c r="G60" t="str">
        <f>SmtRes!K231</f>
        <v>Винты самонарезающие 5х40 мм для металла</v>
      </c>
      <c r="H60" t="str">
        <f>SmtRes!O231</f>
        <v>кг</v>
      </c>
      <c r="I60">
        <f>SmtRes!Y231*Source!I234</f>
        <v>0.06</v>
      </c>
      <c r="J60">
        <f>SmtRes!AO231</f>
        <v>1</v>
      </c>
      <c r="K60">
        <f>ROUND(SmtRes!AE231, 6)</f>
        <v>20.63</v>
      </c>
      <c r="L60">
        <f>ROUND(I60*K60, 2)</f>
        <v>1.24</v>
      </c>
      <c r="M60">
        <f>ROUND(SmtRes!AA231, 6)</f>
        <v>89.33</v>
      </c>
      <c r="N60">
        <f>ROUND(I60*M60, 2)</f>
        <v>5.36</v>
      </c>
      <c r="O60">
        <f>SmtRes!X231</f>
        <v>-1260154368</v>
      </c>
      <c r="P60">
        <v>458667026</v>
      </c>
      <c r="Q60">
        <v>1368987516</v>
      </c>
    </row>
    <row r="61" spans="1:17" x14ac:dyDescent="0.2">
      <c r="A61">
        <f>Source!A236</f>
        <v>18</v>
      </c>
      <c r="C61">
        <v>3</v>
      </c>
      <c r="D61">
        <f>Source!BI236</f>
        <v>1</v>
      </c>
      <c r="E61">
        <f>Source!FS236</f>
        <v>0</v>
      </c>
      <c r="F61" t="str">
        <f>Source!F236</f>
        <v>1.8-1-83</v>
      </c>
      <c r="G61" t="str">
        <f>Source!G236</f>
        <v>Доводчик дверной типа «ДОРМА» TS/83, масса двери до 150 кг</v>
      </c>
      <c r="H61" t="str">
        <f>Source!H236</f>
        <v>КОМПЛЕКТ</v>
      </c>
      <c r="I61">
        <f>Source!I236</f>
        <v>3</v>
      </c>
      <c r="J61">
        <v>1</v>
      </c>
      <c r="K61">
        <f>ROUND(Source!AC236, 6)</f>
        <v>1390.95</v>
      </c>
      <c r="L61">
        <f>ROUND(K61*I61, 2)</f>
        <v>4172.8500000000004</v>
      </c>
      <c r="M61">
        <f>ROUND(Source!AC236*IF(Source!BC236&lt;&gt; 0, Source!BC236, 1), 6)</f>
        <v>4993.5105000000003</v>
      </c>
      <c r="N61">
        <f>ROUND(M61*I61, 2)</f>
        <v>14980.53</v>
      </c>
      <c r="O61">
        <f>Source!GF236</f>
        <v>568915023</v>
      </c>
      <c r="P61">
        <v>810780757</v>
      </c>
      <c r="Q61">
        <v>-56668622</v>
      </c>
    </row>
    <row r="62" spans="1:17" x14ac:dyDescent="0.2">
      <c r="A62">
        <f>Source!A267</f>
        <v>5</v>
      </c>
      <c r="B62">
        <v>267</v>
      </c>
      <c r="G62" t="str">
        <f>Source!G267</f>
        <v>Обеспечение доступа МГН</v>
      </c>
    </row>
    <row r="63" spans="1:17" x14ac:dyDescent="0.2">
      <c r="A63">
        <f>Source!A272</f>
        <v>17</v>
      </c>
      <c r="C63">
        <v>3</v>
      </c>
      <c r="D63">
        <v>0</v>
      </c>
      <c r="E63">
        <f>SmtRes!AV243</f>
        <v>0</v>
      </c>
      <c r="F63" t="str">
        <f>SmtRes!I243</f>
        <v>1.1-1-3552</v>
      </c>
      <c r="G63" t="str">
        <f>SmtRes!K243</f>
        <v>Грунтовка акриловая концентрированная универсальная с высокой клеевой и проникающей способностью</v>
      </c>
      <c r="H63" t="str">
        <f>SmtRes!O243</f>
        <v>л</v>
      </c>
      <c r="I63">
        <f>SmtRes!Y243*Source!I272</f>
        <v>0.315</v>
      </c>
      <c r="J63">
        <f>SmtRes!AO243</f>
        <v>1</v>
      </c>
      <c r="K63">
        <f>ROUND(SmtRes!AE243, 6)</f>
        <v>40.17</v>
      </c>
      <c r="L63">
        <f>ROUND(I63*K63, 2)</f>
        <v>12.65</v>
      </c>
      <c r="M63">
        <f>ROUND(SmtRes!AA243, 6)</f>
        <v>51.42</v>
      </c>
      <c r="N63">
        <f>ROUND(I63*M63, 2)</f>
        <v>16.2</v>
      </c>
      <c r="O63">
        <f>SmtRes!X243</f>
        <v>-1353905028</v>
      </c>
      <c r="P63">
        <v>320684223</v>
      </c>
      <c r="Q63">
        <v>-1680077152</v>
      </c>
    </row>
    <row r="64" spans="1:17" x14ac:dyDescent="0.2">
      <c r="A64">
        <f>Source!A272</f>
        <v>17</v>
      </c>
      <c r="C64">
        <v>3</v>
      </c>
      <c r="D64">
        <v>0</v>
      </c>
      <c r="E64">
        <f>SmtRes!AV242</f>
        <v>0</v>
      </c>
      <c r="F64" t="str">
        <f>SmtRes!I242</f>
        <v>1.1-1-3379</v>
      </c>
      <c r="G64" t="str">
        <f>SmtRes!K242</f>
        <v>Клей акриловый универсальный высокопрочный для приклеивания напольных и тяжелых типов настенных покрытий "Полином-101"</v>
      </c>
      <c r="H64" t="str">
        <f>SmtRes!O242</f>
        <v>кг</v>
      </c>
      <c r="I64">
        <f>SmtRes!Y242*Source!I272</f>
        <v>1.1200000000000001</v>
      </c>
      <c r="J64">
        <f>SmtRes!AO242</f>
        <v>1</v>
      </c>
      <c r="K64">
        <f>ROUND(SmtRes!AE242, 6)</f>
        <v>25.43</v>
      </c>
      <c r="L64">
        <f>ROUND(I64*K64, 2)</f>
        <v>28.48</v>
      </c>
      <c r="M64">
        <f>ROUND(SmtRes!AA242, 6)</f>
        <v>59</v>
      </c>
      <c r="N64">
        <f>ROUND(I64*M64, 2)</f>
        <v>66.08</v>
      </c>
      <c r="O64">
        <f>SmtRes!X242</f>
        <v>-1950520048</v>
      </c>
      <c r="P64">
        <v>-45941751</v>
      </c>
      <c r="Q64">
        <v>1553772719</v>
      </c>
    </row>
    <row r="65" spans="1:17" x14ac:dyDescent="0.2">
      <c r="A65">
        <f>Source!A274</f>
        <v>18</v>
      </c>
      <c r="C65">
        <v>3</v>
      </c>
      <c r="D65">
        <f>Source!BI274</f>
        <v>1</v>
      </c>
      <c r="E65">
        <f>Source!FS274</f>
        <v>0</v>
      </c>
      <c r="F65" t="str">
        <f>Source!F274</f>
        <v>1.1-1-3574</v>
      </c>
      <c r="G65" t="str">
        <f>Source!G274</f>
        <v>Плитка тактильная поливинилхлоридная, размеры 300х300х4 мм</v>
      </c>
      <c r="H65" t="str">
        <f>Source!H274</f>
        <v>м2</v>
      </c>
      <c r="I65">
        <f>Source!I274</f>
        <v>3.15</v>
      </c>
      <c r="J65">
        <v>1</v>
      </c>
      <c r="K65">
        <f>ROUND(Source!AC274, 6)</f>
        <v>175.56</v>
      </c>
      <c r="L65">
        <f>ROUND(K65*I65, 2)</f>
        <v>553.01</v>
      </c>
      <c r="M65">
        <f>ROUND(Source!AC274*IF(Source!BC274&lt;&gt; 0, Source!BC274, 1), 6)</f>
        <v>1641.4860000000001</v>
      </c>
      <c r="N65">
        <f>ROUND(M65*I65, 2)</f>
        <v>5170.68</v>
      </c>
      <c r="O65">
        <f>Source!GF274</f>
        <v>1185441805</v>
      </c>
      <c r="P65">
        <v>-1545335160</v>
      </c>
      <c r="Q65">
        <v>1456529508</v>
      </c>
    </row>
    <row r="66" spans="1:17" x14ac:dyDescent="0.2">
      <c r="A66">
        <f>Source!A276</f>
        <v>17</v>
      </c>
      <c r="C66">
        <v>3</v>
      </c>
      <c r="D66">
        <v>0</v>
      </c>
      <c r="E66">
        <f>SmtRes!AV254</f>
        <v>0</v>
      </c>
      <c r="F66" t="str">
        <f>SmtRes!I254</f>
        <v>1.1-1-118</v>
      </c>
      <c r="G66" t="str">
        <f>SmtRes!K254</f>
        <v>Вода</v>
      </c>
      <c r="H66" t="str">
        <f>SmtRes!O254</f>
        <v>м3</v>
      </c>
      <c r="I66">
        <f>SmtRes!Y254*Source!I276</f>
        <v>2.0000000000000004E-2</v>
      </c>
      <c r="J66">
        <f>SmtRes!AO254</f>
        <v>1</v>
      </c>
      <c r="K66">
        <f>ROUND(SmtRes!AE254, 6)</f>
        <v>7.07</v>
      </c>
      <c r="L66">
        <f>ROUND(I66*K66, 2)</f>
        <v>0.14000000000000001</v>
      </c>
      <c r="M66">
        <f>ROUND(SmtRes!AA254, 6)</f>
        <v>29.98</v>
      </c>
      <c r="N66">
        <f>ROUND(I66*M66, 2)</f>
        <v>0.6</v>
      </c>
      <c r="O66">
        <f>SmtRes!X254</f>
        <v>-862991314</v>
      </c>
      <c r="P66">
        <v>209219300</v>
      </c>
      <c r="Q66">
        <v>2045990491</v>
      </c>
    </row>
    <row r="67" spans="1:17" x14ac:dyDescent="0.2">
      <c r="A67">
        <f>Source!A278</f>
        <v>18</v>
      </c>
      <c r="C67">
        <v>3</v>
      </c>
      <c r="D67">
        <f>Source!BI278</f>
        <v>1</v>
      </c>
      <c r="E67">
        <f>Source!FS278</f>
        <v>0</v>
      </c>
      <c r="F67" t="str">
        <f>Source!F278</f>
        <v>1.3-2-163</v>
      </c>
      <c r="G67" t="str">
        <f>Source!G278</f>
        <v>Смеси сухие цементно-песчаные, универсальные для общестроительных и штукатурных работ, марка М-150</v>
      </c>
      <c r="H67" t="str">
        <f>Source!H278</f>
        <v>т</v>
      </c>
      <c r="I67">
        <f>Source!I278</f>
        <v>0.1148</v>
      </c>
      <c r="J67">
        <v>1</v>
      </c>
      <c r="K67">
        <f>ROUND(Source!AC278, 6)</f>
        <v>575.97</v>
      </c>
      <c r="L67">
        <f>ROUND(K67*I67, 2)</f>
        <v>66.12</v>
      </c>
      <c r="M67">
        <f>ROUND(Source!AC278*IF(Source!BC278&lt;&gt; 0, Source!BC278, 1), 6)</f>
        <v>2937.4470000000001</v>
      </c>
      <c r="N67">
        <f>ROUND(M67*I67, 2)</f>
        <v>337.22</v>
      </c>
      <c r="O67">
        <f>Source!GF278</f>
        <v>597656424</v>
      </c>
      <c r="P67">
        <v>458440021</v>
      </c>
      <c r="Q67">
        <v>603493482</v>
      </c>
    </row>
    <row r="68" spans="1:17" x14ac:dyDescent="0.2">
      <c r="A68">
        <f>Source!A280</f>
        <v>18</v>
      </c>
      <c r="C68">
        <v>3</v>
      </c>
      <c r="D68">
        <f>Source!BI280</f>
        <v>1</v>
      </c>
      <c r="E68">
        <f>Source!FS280</f>
        <v>0</v>
      </c>
      <c r="F68" t="str">
        <f>Source!F280</f>
        <v>1.5-3-492</v>
      </c>
      <c r="G68" t="str">
        <f>Source!G280</f>
        <v>Плиты бетонные тротуарные тактильные, толщина 80 мм, цвет серый</v>
      </c>
      <c r="H68" t="str">
        <f>Source!H280</f>
        <v>м2</v>
      </c>
      <c r="I68">
        <f>Source!I280</f>
        <v>2.88</v>
      </c>
      <c r="J68">
        <v>1</v>
      </c>
      <c r="K68">
        <f>ROUND(Source!AC280, 6)</f>
        <v>227.22</v>
      </c>
      <c r="L68">
        <f>ROUND(K68*I68, 2)</f>
        <v>654.39</v>
      </c>
      <c r="M68">
        <f>ROUND(Source!AC280*IF(Source!BC280&lt;&gt; 0, Source!BC280, 1), 6)</f>
        <v>779.3646</v>
      </c>
      <c r="N68">
        <f>ROUND(M68*I68, 2)</f>
        <v>2244.5700000000002</v>
      </c>
      <c r="O68">
        <f>Source!GF280</f>
        <v>-113972751</v>
      </c>
      <c r="P68">
        <v>1999451525</v>
      </c>
      <c r="Q68">
        <v>-1167514469</v>
      </c>
    </row>
    <row r="69" spans="1:17" x14ac:dyDescent="0.2">
      <c r="A69">
        <f>Source!A282</f>
        <v>17</v>
      </c>
      <c r="C69">
        <v>3</v>
      </c>
      <c r="D69">
        <v>0</v>
      </c>
      <c r="E69">
        <f>SmtRes!AV263</f>
        <v>0</v>
      </c>
      <c r="F69" t="str">
        <f>SmtRes!I263</f>
        <v>9999990006</v>
      </c>
      <c r="G69" t="str">
        <f>SmtRes!K263</f>
        <v>Стоимость прочих материалов (ЭСН)</v>
      </c>
      <c r="H69" t="str">
        <f>SmtRes!O263</f>
        <v>руб.</v>
      </c>
      <c r="I69">
        <f>SmtRes!Y263*Source!I282</f>
        <v>0.12545999999999999</v>
      </c>
      <c r="J69">
        <f>SmtRes!AO263</f>
        <v>1</v>
      </c>
      <c r="K69">
        <f>ROUND(SmtRes!AE263, 6)</f>
        <v>1</v>
      </c>
      <c r="L69">
        <f>ROUND(I69*K69, 2)</f>
        <v>0.13</v>
      </c>
      <c r="M69">
        <f>ROUND(SmtRes!AA263, 6)</f>
        <v>1</v>
      </c>
      <c r="N69">
        <f>ROUND(I69*M69, 2)</f>
        <v>0.13</v>
      </c>
      <c r="O69">
        <f>SmtRes!X263</f>
        <v>-94250534</v>
      </c>
      <c r="P69">
        <v>-1341645062</v>
      </c>
      <c r="Q69">
        <v>-1341645062</v>
      </c>
    </row>
    <row r="70" spans="1:17" x14ac:dyDescent="0.2">
      <c r="A70">
        <f>Source!A284</f>
        <v>18</v>
      </c>
      <c r="C70">
        <v>3</v>
      </c>
      <c r="D70">
        <f>Source!BI284</f>
        <v>1</v>
      </c>
      <c r="E70">
        <f>Source!FS284</f>
        <v>0</v>
      </c>
      <c r="F70" t="str">
        <f>Source!F284</f>
        <v>цена поставщика</v>
      </c>
      <c r="G70" t="str">
        <f>Source!G284</f>
        <v>Цветная нескользящая лента Л-25, светонакопительная. 25мм</v>
      </c>
      <c r="H70" t="str">
        <f>Source!H284</f>
        <v>м</v>
      </c>
      <c r="I70">
        <f>Source!I284</f>
        <v>3.4</v>
      </c>
      <c r="J70">
        <v>1</v>
      </c>
      <c r="K70">
        <f>ROUND(Source!AC284, 6)</f>
        <v>20.329999999999998</v>
      </c>
      <c r="L70">
        <f>ROUND(K70*I70, 2)</f>
        <v>69.12</v>
      </c>
      <c r="M70">
        <f>ROUND(Source!AC284*IF(Source!BC284&lt;&gt; 0, Source!BC284, 1), 6)</f>
        <v>106.3259</v>
      </c>
      <c r="N70">
        <f>ROUND(M70*I70, 2)</f>
        <v>361.51</v>
      </c>
      <c r="O70">
        <f>Source!GF284</f>
        <v>-49586319</v>
      </c>
      <c r="P70">
        <v>-610715848</v>
      </c>
      <c r="Q70">
        <v>-666584264</v>
      </c>
    </row>
    <row r="71" spans="1:17" x14ac:dyDescent="0.2">
      <c r="A71">
        <f>Source!A286</f>
        <v>18</v>
      </c>
      <c r="C71">
        <v>3</v>
      </c>
      <c r="D71">
        <f>Source!BI286</f>
        <v>1</v>
      </c>
      <c r="E71">
        <f>Source!FS286</f>
        <v>0</v>
      </c>
      <c r="F71" t="str">
        <f>Source!F286</f>
        <v>1.1-1-389</v>
      </c>
      <c r="G71" t="str">
        <f>Source!G286</f>
        <v>Клей дисперсный, "АДМ-К"</v>
      </c>
      <c r="H71" t="str">
        <f>Source!H286</f>
        <v>т</v>
      </c>
      <c r="I71">
        <f>Source!I286</f>
        <v>5.9999999999999995E-5</v>
      </c>
      <c r="J71">
        <v>1</v>
      </c>
      <c r="K71">
        <f>ROUND(Source!AC286, 6)</f>
        <v>43326.77</v>
      </c>
      <c r="L71">
        <f>ROUND(K71*I71, 2)</f>
        <v>2.6</v>
      </c>
      <c r="M71">
        <f>ROUND(Source!AC286*IF(Source!BC286&lt;&gt; 0, Source!BC286, 1), 6)</f>
        <v>55891.533300000003</v>
      </c>
      <c r="N71">
        <f>ROUND(M71*I71, 2)</f>
        <v>3.35</v>
      </c>
      <c r="O71">
        <f>Source!GF286</f>
        <v>2110379699</v>
      </c>
      <c r="P71">
        <v>-1795942896</v>
      </c>
      <c r="Q71">
        <v>-943444006</v>
      </c>
    </row>
    <row r="72" spans="1:17" x14ac:dyDescent="0.2">
      <c r="A72">
        <f>Source!A288</f>
        <v>17</v>
      </c>
      <c r="C72">
        <v>3</v>
      </c>
      <c r="D72">
        <v>0</v>
      </c>
      <c r="E72">
        <f>SmtRes!AV271</f>
        <v>0</v>
      </c>
      <c r="F72" t="str">
        <f>SmtRes!I271</f>
        <v>1.1-1-1615</v>
      </c>
      <c r="G72" t="str">
        <f>SmtRes!K271</f>
        <v>Шурупы с потайной головкой, оцинкованные, длина 13-20 мм</v>
      </c>
      <c r="H72" t="str">
        <f>SmtRes!O271</f>
        <v>т</v>
      </c>
      <c r="I72">
        <f>SmtRes!Y271*Source!I288</f>
        <v>1E-4</v>
      </c>
      <c r="J72">
        <f>SmtRes!AO271</f>
        <v>1</v>
      </c>
      <c r="K72">
        <f>ROUND(SmtRes!AE271, 6)</f>
        <v>16744.32</v>
      </c>
      <c r="L72">
        <f>ROUND(I72*K72, 2)</f>
        <v>1.67</v>
      </c>
      <c r="M72">
        <f>ROUND(SmtRes!AA271, 6)</f>
        <v>135294.10999999999</v>
      </c>
      <c r="N72">
        <f>ROUND(I72*M72, 2)</f>
        <v>13.53</v>
      </c>
      <c r="O72">
        <f>SmtRes!X271</f>
        <v>1398464837</v>
      </c>
      <c r="P72">
        <v>1662078242</v>
      </c>
      <c r="Q72">
        <v>244535041</v>
      </c>
    </row>
    <row r="73" spans="1:17" x14ac:dyDescent="0.2">
      <c r="A73">
        <f>Source!A290</f>
        <v>18</v>
      </c>
      <c r="C73">
        <v>3</v>
      </c>
      <c r="D73">
        <f>Source!BI290</f>
        <v>1</v>
      </c>
      <c r="E73">
        <f>Source!FS290</f>
        <v>0</v>
      </c>
      <c r="F73" t="str">
        <f>Source!F290</f>
        <v>Цена поставщика</v>
      </c>
      <c r="G73" t="str">
        <f>Source!G290</f>
        <v>Таблички с шрифтом Брайля 270х50</v>
      </c>
      <c r="H73" t="str">
        <f>Source!H290</f>
        <v>шт.</v>
      </c>
      <c r="I73">
        <f>Source!I290</f>
        <v>2</v>
      </c>
      <c r="J73">
        <v>1</v>
      </c>
      <c r="K73">
        <f>ROUND(Source!AC290, 6)</f>
        <v>70.25</v>
      </c>
      <c r="L73">
        <f>ROUND(K73*I73, 2)</f>
        <v>140.5</v>
      </c>
      <c r="M73">
        <f>ROUND(Source!AC290*IF(Source!BC290&lt;&gt; 0, Source!BC290, 1), 6)</f>
        <v>367.40750000000003</v>
      </c>
      <c r="N73">
        <f>ROUND(M73*I73, 2)</f>
        <v>734.82</v>
      </c>
      <c r="O73">
        <f>Source!GF290</f>
        <v>1952853913</v>
      </c>
      <c r="P73">
        <v>-2031199735</v>
      </c>
      <c r="Q73">
        <v>-61956573</v>
      </c>
    </row>
    <row r="74" spans="1:17" x14ac:dyDescent="0.2">
      <c r="A74">
        <f>Source!A292</f>
        <v>18</v>
      </c>
      <c r="C74">
        <v>3</v>
      </c>
      <c r="D74">
        <f>Source!BI292</f>
        <v>1</v>
      </c>
      <c r="E74">
        <f>Source!FS292</f>
        <v>0</v>
      </c>
      <c r="F74" t="str">
        <f>Source!F292</f>
        <v>Цена поставщика</v>
      </c>
      <c r="G74" t="str">
        <f>Source!G292</f>
        <v>Пиктограмма СП-11 Направление движения, поворот. 200 x 200мм</v>
      </c>
      <c r="H74" t="str">
        <f>Source!H292</f>
        <v>шт.</v>
      </c>
      <c r="I74">
        <f>Source!I292</f>
        <v>7</v>
      </c>
      <c r="J74">
        <v>1</v>
      </c>
      <c r="K74">
        <f>ROUND(Source!AC292, 6)</f>
        <v>157.35</v>
      </c>
      <c r="L74">
        <f>ROUND(K74*I74, 2)</f>
        <v>1101.45</v>
      </c>
      <c r="M74">
        <f>ROUND(Source!AC292*IF(Source!BC292&lt;&gt; 0, Source!BC292, 1), 6)</f>
        <v>822.94050000000004</v>
      </c>
      <c r="N74">
        <f>ROUND(M74*I74, 2)</f>
        <v>5760.58</v>
      </c>
      <c r="O74">
        <f>Source!GF292</f>
        <v>-302561926</v>
      </c>
      <c r="P74">
        <v>-1716274062</v>
      </c>
      <c r="Q74">
        <v>-207052022</v>
      </c>
    </row>
    <row r="75" spans="1:17" x14ac:dyDescent="0.2">
      <c r="A75">
        <f>Source!A294</f>
        <v>18</v>
      </c>
      <c r="C75">
        <v>3</v>
      </c>
      <c r="D75">
        <f>Source!BI294</f>
        <v>1</v>
      </c>
      <c r="E75">
        <f>Source!FS294</f>
        <v>0</v>
      </c>
      <c r="F75" t="str">
        <f>Source!F294</f>
        <v>Цена поставщика</v>
      </c>
      <c r="G75" t="str">
        <f>Source!G294</f>
        <v>Маяк световой для дверных проемов (пара). 150 x 290 x 40мм</v>
      </c>
      <c r="H75" t="str">
        <f>Source!H294</f>
        <v>пара</v>
      </c>
      <c r="I75">
        <f>Source!I294</f>
        <v>1</v>
      </c>
      <c r="J75">
        <v>1</v>
      </c>
      <c r="K75">
        <f>ROUND(Source!AC294, 6)</f>
        <v>234.69</v>
      </c>
      <c r="L75">
        <f>ROUND(K75*I75, 2)</f>
        <v>234.69</v>
      </c>
      <c r="M75">
        <f>ROUND(Source!AC294*IF(Source!BC294&lt;&gt; 0, Source!BC294, 1), 6)</f>
        <v>1227.4286999999999</v>
      </c>
      <c r="N75">
        <f>ROUND(M75*I75, 2)</f>
        <v>1227.43</v>
      </c>
      <c r="O75">
        <f>Source!GF294</f>
        <v>217689376</v>
      </c>
      <c r="P75">
        <v>-1934298352</v>
      </c>
      <c r="Q75">
        <v>-1075102776</v>
      </c>
    </row>
    <row r="76" spans="1:17" x14ac:dyDescent="0.2">
      <c r="A76">
        <f>Source!A325</f>
        <v>5</v>
      </c>
      <c r="B76">
        <v>325</v>
      </c>
      <c r="G76" t="str">
        <f>Source!G325</f>
        <v>Конструктивные решения</v>
      </c>
    </row>
    <row r="77" spans="1:17" x14ac:dyDescent="0.2">
      <c r="A77">
        <f>Source!A330</f>
        <v>17</v>
      </c>
      <c r="C77">
        <v>3</v>
      </c>
      <c r="D77">
        <v>0</v>
      </c>
      <c r="E77">
        <f>SmtRes!AV289</f>
        <v>0</v>
      </c>
      <c r="F77" t="str">
        <f>SmtRes!I289</f>
        <v>1.1-1-118</v>
      </c>
      <c r="G77" t="str">
        <f>SmtRes!K289</f>
        <v>Вода</v>
      </c>
      <c r="H77" t="str">
        <f>SmtRes!O289</f>
        <v>м3</v>
      </c>
      <c r="I77">
        <f>SmtRes!Y289*Source!I330</f>
        <v>1.4999999999999999E-2</v>
      </c>
      <c r="J77">
        <f>SmtRes!AO289</f>
        <v>1</v>
      </c>
      <c r="K77">
        <f>ROUND(SmtRes!AE289, 6)</f>
        <v>7.07</v>
      </c>
      <c r="L77">
        <f>ROUND(I77*K77, 2)</f>
        <v>0.11</v>
      </c>
      <c r="M77">
        <f>ROUND(SmtRes!AA289, 6)</f>
        <v>29.98</v>
      </c>
      <c r="N77">
        <f>ROUND(I77*M77, 2)</f>
        <v>0.45</v>
      </c>
      <c r="O77">
        <f>SmtRes!X289</f>
        <v>-862991314</v>
      </c>
      <c r="P77">
        <v>209219300</v>
      </c>
      <c r="Q77">
        <v>2045990491</v>
      </c>
    </row>
    <row r="78" spans="1:17" x14ac:dyDescent="0.2">
      <c r="A78">
        <f>Source!A332</f>
        <v>18</v>
      </c>
      <c r="C78">
        <v>3</v>
      </c>
      <c r="D78">
        <f>Source!BI332</f>
        <v>1</v>
      </c>
      <c r="E78">
        <f>Source!FS332</f>
        <v>0</v>
      </c>
      <c r="F78" t="str">
        <f>Source!F332</f>
        <v>1.1-1-766</v>
      </c>
      <c r="G78" t="str">
        <f>Source!G332</f>
        <v>Песок для строительных работ, рядовой</v>
      </c>
      <c r="H78" t="str">
        <f>Source!H332</f>
        <v>м3</v>
      </c>
      <c r="I78">
        <f>Source!I332</f>
        <v>0.3</v>
      </c>
      <c r="J78">
        <v>1</v>
      </c>
      <c r="K78">
        <f>ROUND(Source!AC332, 6)</f>
        <v>104.99</v>
      </c>
      <c r="L78">
        <f>ROUND(K78*I78, 2)</f>
        <v>31.5</v>
      </c>
      <c r="M78">
        <f>ROUND(Source!AC332*IF(Source!BC332&lt;&gt; 0, Source!BC332, 1), 6)</f>
        <v>572.19550000000004</v>
      </c>
      <c r="N78">
        <f>ROUND(M78*I78, 2)</f>
        <v>171.66</v>
      </c>
      <c r="O78">
        <f>Source!GF332</f>
        <v>2069056849</v>
      </c>
      <c r="P78">
        <v>464578271</v>
      </c>
      <c r="Q78">
        <v>-1466799423</v>
      </c>
    </row>
    <row r="79" spans="1:17" x14ac:dyDescent="0.2">
      <c r="A79">
        <f>Source!A334</f>
        <v>17</v>
      </c>
      <c r="C79">
        <v>3</v>
      </c>
      <c r="D79">
        <v>0</v>
      </c>
      <c r="E79">
        <f>SmtRes!AV301</f>
        <v>0</v>
      </c>
      <c r="F79" t="str">
        <f>SmtRes!I301</f>
        <v>1.1-1-655</v>
      </c>
      <c r="G79" t="str">
        <f>SmtRes!K301</f>
        <v>Мешковина</v>
      </c>
      <c r="H79" t="str">
        <f>SmtRes!O301</f>
        <v>м2</v>
      </c>
      <c r="I79">
        <f>SmtRes!Y301*Source!I334</f>
        <v>0.2</v>
      </c>
      <c r="J79">
        <f>SmtRes!AO301</f>
        <v>1</v>
      </c>
      <c r="K79">
        <f>ROUND(SmtRes!AE301, 6)</f>
        <v>7.39</v>
      </c>
      <c r="L79">
        <f>ROUND(I79*K79, 2)</f>
        <v>1.48</v>
      </c>
      <c r="M79">
        <f>ROUND(SmtRes!AA301, 6)</f>
        <v>21.28</v>
      </c>
      <c r="N79">
        <f>ROUND(I79*M79, 2)</f>
        <v>4.26</v>
      </c>
      <c r="O79">
        <f>SmtRes!X301</f>
        <v>-1476054991</v>
      </c>
      <c r="P79">
        <v>-1815783264</v>
      </c>
      <c r="Q79">
        <v>-1302852585</v>
      </c>
    </row>
    <row r="80" spans="1:17" x14ac:dyDescent="0.2">
      <c r="A80">
        <f>Source!A334</f>
        <v>17</v>
      </c>
      <c r="C80">
        <v>3</v>
      </c>
      <c r="D80">
        <v>0</v>
      </c>
      <c r="E80">
        <f>SmtRes!AV300</f>
        <v>0</v>
      </c>
      <c r="F80" t="str">
        <f>SmtRes!I300</f>
        <v>1.1-1-118</v>
      </c>
      <c r="G80" t="str">
        <f>SmtRes!K300</f>
        <v>Вода</v>
      </c>
      <c r="H80" t="str">
        <f>SmtRes!O300</f>
        <v>м3</v>
      </c>
      <c r="I80">
        <f>SmtRes!Y300*Source!I334</f>
        <v>1.4E-3</v>
      </c>
      <c r="J80">
        <f>SmtRes!AO300</f>
        <v>1</v>
      </c>
      <c r="K80">
        <f>ROUND(SmtRes!AE300, 6)</f>
        <v>7.07</v>
      </c>
      <c r="L80">
        <f>ROUND(I80*K80, 2)</f>
        <v>0.01</v>
      </c>
      <c r="M80">
        <f>ROUND(SmtRes!AA300, 6)</f>
        <v>29.98</v>
      </c>
      <c r="N80">
        <f>ROUND(I80*M80, 2)</f>
        <v>0.04</v>
      </c>
      <c r="O80">
        <f>SmtRes!X300</f>
        <v>-862991314</v>
      </c>
      <c r="P80">
        <v>209219300</v>
      </c>
      <c r="Q80">
        <v>2045990491</v>
      </c>
    </row>
    <row r="81" spans="1:17" x14ac:dyDescent="0.2">
      <c r="A81">
        <f>Source!A336</f>
        <v>18</v>
      </c>
      <c r="C81">
        <v>3</v>
      </c>
      <c r="D81">
        <f>Source!BI336</f>
        <v>1</v>
      </c>
      <c r="E81">
        <f>Source!FS336</f>
        <v>0</v>
      </c>
      <c r="F81" t="str">
        <f>Source!F336</f>
        <v>1.3-1-64</v>
      </c>
      <c r="G81" t="str">
        <f>Source!G336</f>
        <v>Смеси бетонные, БСГ, песчаного бетона, класс прочности В7,5 (М100); П1, F50, W2</v>
      </c>
      <c r="H81" t="str">
        <f>Source!H336</f>
        <v>м3</v>
      </c>
      <c r="I81">
        <f>Source!I336</f>
        <v>8.1600000000000006E-2</v>
      </c>
      <c r="J81">
        <v>1</v>
      </c>
      <c r="K81">
        <f>ROUND(Source!AC336, 6)</f>
        <v>530.75</v>
      </c>
      <c r="L81">
        <f>ROUND(K81*I81, 2)</f>
        <v>43.31</v>
      </c>
      <c r="M81">
        <f>ROUND(Source!AC336*IF(Source!BC336&lt;&gt; 0, Source!BC336, 1), 6)</f>
        <v>2961.585</v>
      </c>
      <c r="N81">
        <f>ROUND(M81*I81, 2)</f>
        <v>241.67</v>
      </c>
      <c r="O81">
        <f>Source!GF336</f>
        <v>-1467732391</v>
      </c>
      <c r="P81">
        <v>207862434</v>
      </c>
      <c r="Q81">
        <v>-789261222</v>
      </c>
    </row>
    <row r="82" spans="1:17" x14ac:dyDescent="0.2">
      <c r="A82">
        <f>Source!A338</f>
        <v>17</v>
      </c>
      <c r="C82">
        <v>3</v>
      </c>
      <c r="D82">
        <v>0</v>
      </c>
      <c r="E82">
        <f>SmtRes!AV336</f>
        <v>0</v>
      </c>
      <c r="F82" t="str">
        <f>SmtRes!I336</f>
        <v>1.9-11-4</v>
      </c>
      <c r="G82" t="str">
        <f>SmtRes!K336</f>
        <v>Щиты деревянные для фундаментов, колонн, балок, перекрытий, стен, перегородок и других конструкций из досок, толщина 40 мм</v>
      </c>
      <c r="H82" t="str">
        <f>SmtRes!O336</f>
        <v>м2</v>
      </c>
      <c r="I82">
        <f>SmtRes!Y336*Source!I338</f>
        <v>4.3200000000000001E-3</v>
      </c>
      <c r="J82">
        <f>SmtRes!AO336</f>
        <v>1</v>
      </c>
      <c r="K82">
        <f>ROUND(SmtRes!AE336, 6)</f>
        <v>90.15</v>
      </c>
      <c r="L82">
        <f t="shared" ref="L82:L88" si="4">ROUND(I82*K82, 2)</f>
        <v>0.39</v>
      </c>
      <c r="M82">
        <f>ROUND(SmtRes!AA336, 6)</f>
        <v>445.34</v>
      </c>
      <c r="N82">
        <f t="shared" ref="N82:N88" si="5">ROUND(I82*M82, 2)</f>
        <v>1.92</v>
      </c>
      <c r="O82">
        <f>SmtRes!X336</f>
        <v>-153668504</v>
      </c>
      <c r="P82">
        <v>1816879954</v>
      </c>
      <c r="Q82">
        <v>1343511085</v>
      </c>
    </row>
    <row r="83" spans="1:17" x14ac:dyDescent="0.2">
      <c r="A83">
        <f>Source!A338</f>
        <v>17</v>
      </c>
      <c r="C83">
        <v>3</v>
      </c>
      <c r="D83">
        <v>0</v>
      </c>
      <c r="E83">
        <f>SmtRes!AV332</f>
        <v>0</v>
      </c>
      <c r="F83" t="str">
        <f>SmtRes!I332</f>
        <v>1.1-1-655</v>
      </c>
      <c r="G83" t="str">
        <f>SmtRes!K332</f>
        <v>Мешковина</v>
      </c>
      <c r="H83" t="str">
        <f>SmtRes!O332</f>
        <v>м2</v>
      </c>
      <c r="I83">
        <f>SmtRes!Y332*Source!I338</f>
        <v>3.5999999999999997E-2</v>
      </c>
      <c r="J83">
        <f>SmtRes!AO332</f>
        <v>1</v>
      </c>
      <c r="K83">
        <f>ROUND(SmtRes!AE332, 6)</f>
        <v>7.39</v>
      </c>
      <c r="L83">
        <f t="shared" si="4"/>
        <v>0.27</v>
      </c>
      <c r="M83">
        <f>ROUND(SmtRes!AA332, 6)</f>
        <v>21.28</v>
      </c>
      <c r="N83">
        <f t="shared" si="5"/>
        <v>0.77</v>
      </c>
      <c r="O83">
        <f>SmtRes!X332</f>
        <v>-1476054991</v>
      </c>
      <c r="P83">
        <v>-1815783264</v>
      </c>
      <c r="Q83">
        <v>-1302852585</v>
      </c>
    </row>
    <row r="84" spans="1:17" x14ac:dyDescent="0.2">
      <c r="A84">
        <f>Source!A338</f>
        <v>17</v>
      </c>
      <c r="C84">
        <v>3</v>
      </c>
      <c r="D84">
        <v>0</v>
      </c>
      <c r="E84">
        <f>SmtRes!AV331</f>
        <v>0</v>
      </c>
      <c r="F84" t="str">
        <f>SmtRes!I331</f>
        <v>1.1-1-256</v>
      </c>
      <c r="G84" t="str">
        <f>SmtRes!K331</f>
        <v>Известь негашеная комовая</v>
      </c>
      <c r="H84" t="str">
        <f>SmtRes!O331</f>
        <v>т</v>
      </c>
      <c r="I84">
        <f>SmtRes!Y331*Source!I338</f>
        <v>1.1999999999999999E-5</v>
      </c>
      <c r="J84">
        <f>SmtRes!AO331</f>
        <v>1</v>
      </c>
      <c r="K84">
        <f>ROUND(SmtRes!AE331, 6)</f>
        <v>1260.72</v>
      </c>
      <c r="L84">
        <f t="shared" si="4"/>
        <v>0.02</v>
      </c>
      <c r="M84">
        <f>ROUND(SmtRes!AA331, 6)</f>
        <v>3214.84</v>
      </c>
      <c r="N84">
        <f t="shared" si="5"/>
        <v>0.04</v>
      </c>
      <c r="O84">
        <f>SmtRes!X331</f>
        <v>-1753839253</v>
      </c>
      <c r="P84">
        <v>881612895</v>
      </c>
      <c r="Q84">
        <v>-257246261</v>
      </c>
    </row>
    <row r="85" spans="1:17" x14ac:dyDescent="0.2">
      <c r="A85">
        <f>Source!A338</f>
        <v>17</v>
      </c>
      <c r="C85">
        <v>3</v>
      </c>
      <c r="D85">
        <v>0</v>
      </c>
      <c r="E85">
        <f>SmtRes!AV330</f>
        <v>0</v>
      </c>
      <c r="F85" t="str">
        <f>SmtRes!I330</f>
        <v>1.1-1-227</v>
      </c>
      <c r="G85" t="str">
        <f>SmtRes!K330</f>
        <v>Доски хвойных пород, обрезные, длина 2-6,5 м, сорт III, толщина 40-60 мм</v>
      </c>
      <c r="H85" t="str">
        <f>SmtRes!O330</f>
        <v>м3</v>
      </c>
      <c r="I85">
        <f>SmtRes!Y330*Source!I338</f>
        <v>4.7999999999999994E-5</v>
      </c>
      <c r="J85">
        <f>SmtRes!AO330</f>
        <v>1</v>
      </c>
      <c r="K85">
        <f>ROUND(SmtRes!AE330, 6)</f>
        <v>1828.56</v>
      </c>
      <c r="L85">
        <f t="shared" si="4"/>
        <v>0.09</v>
      </c>
      <c r="M85">
        <f>ROUND(SmtRes!AA330, 6)</f>
        <v>5156.54</v>
      </c>
      <c r="N85">
        <f t="shared" si="5"/>
        <v>0.25</v>
      </c>
      <c r="O85">
        <f>SmtRes!X330</f>
        <v>-1939393675</v>
      </c>
      <c r="P85">
        <v>302549232</v>
      </c>
      <c r="Q85">
        <v>2109290276</v>
      </c>
    </row>
    <row r="86" spans="1:17" x14ac:dyDescent="0.2">
      <c r="A86">
        <f>Source!A338</f>
        <v>17</v>
      </c>
      <c r="C86">
        <v>3</v>
      </c>
      <c r="D86">
        <v>0</v>
      </c>
      <c r="E86">
        <f>SmtRes!AV329</f>
        <v>0</v>
      </c>
      <c r="F86" t="str">
        <f>SmtRes!I329</f>
        <v>1.1-1-1566</v>
      </c>
      <c r="G86" t="str">
        <f>SmtRes!K329</f>
        <v>Электроды, тип Э-42, 46, 50, диаметр 4 - 6 мм</v>
      </c>
      <c r="H86" t="str">
        <f>SmtRes!O329</f>
        <v>т</v>
      </c>
      <c r="I86">
        <f>SmtRes!Y329*Source!I338</f>
        <v>1.9199999999999998E-4</v>
      </c>
      <c r="J86">
        <f>SmtRes!AO329</f>
        <v>1</v>
      </c>
      <c r="K86">
        <f>ROUND(SmtRes!AE329, 6)</f>
        <v>7191.81</v>
      </c>
      <c r="L86">
        <f t="shared" si="4"/>
        <v>1.38</v>
      </c>
      <c r="M86">
        <f>ROUND(SmtRes!AA329, 6)</f>
        <v>86373.64</v>
      </c>
      <c r="N86">
        <f t="shared" si="5"/>
        <v>16.579999999999998</v>
      </c>
      <c r="O86">
        <f>SmtRes!X329</f>
        <v>1310716689</v>
      </c>
      <c r="P86">
        <v>-143943088</v>
      </c>
      <c r="Q86">
        <v>-161349360</v>
      </c>
    </row>
    <row r="87" spans="1:17" x14ac:dyDescent="0.2">
      <c r="A87">
        <f>Source!A338</f>
        <v>17</v>
      </c>
      <c r="C87">
        <v>3</v>
      </c>
      <c r="D87">
        <v>0</v>
      </c>
      <c r="E87">
        <f>SmtRes!AV328</f>
        <v>0</v>
      </c>
      <c r="F87" t="str">
        <f>SmtRes!I328</f>
        <v>1.1-1-132</v>
      </c>
      <c r="G87" t="str">
        <f>SmtRes!K328</f>
        <v>Гвозди строительные</v>
      </c>
      <c r="H87" t="str">
        <f>SmtRes!O328</f>
        <v>т</v>
      </c>
      <c r="I87">
        <f>SmtRes!Y328*Source!I338</f>
        <v>2.3999999999999999E-6</v>
      </c>
      <c r="J87">
        <f>SmtRes!AO328</f>
        <v>1</v>
      </c>
      <c r="K87">
        <f>ROUND(SmtRes!AE328, 6)</f>
        <v>6521.42</v>
      </c>
      <c r="L87">
        <f t="shared" si="4"/>
        <v>0.02</v>
      </c>
      <c r="M87">
        <f>ROUND(SmtRes!AA328, 6)</f>
        <v>61040.49</v>
      </c>
      <c r="N87">
        <f t="shared" si="5"/>
        <v>0.15</v>
      </c>
      <c r="O87">
        <f>SmtRes!X328</f>
        <v>563176784</v>
      </c>
      <c r="P87">
        <v>-676994890</v>
      </c>
      <c r="Q87">
        <v>-2146081827</v>
      </c>
    </row>
    <row r="88" spans="1:17" x14ac:dyDescent="0.2">
      <c r="A88">
        <f>Source!A338</f>
        <v>17</v>
      </c>
      <c r="C88">
        <v>3</v>
      </c>
      <c r="D88">
        <v>0</v>
      </c>
      <c r="E88">
        <f>SmtRes!AV327</f>
        <v>0</v>
      </c>
      <c r="F88" t="str">
        <f>SmtRes!I327</f>
        <v>1.1-1-118</v>
      </c>
      <c r="G88" t="str">
        <f>SmtRes!K327</f>
        <v>Вода</v>
      </c>
      <c r="H88" t="str">
        <f>SmtRes!O327</f>
        <v>м3</v>
      </c>
      <c r="I88">
        <f>SmtRes!Y327*Source!I338</f>
        <v>8.7599999999999993E-4</v>
      </c>
      <c r="J88">
        <f>SmtRes!AO327</f>
        <v>1</v>
      </c>
      <c r="K88">
        <f>ROUND(SmtRes!AE327, 6)</f>
        <v>7.07</v>
      </c>
      <c r="L88">
        <f t="shared" si="4"/>
        <v>0.01</v>
      </c>
      <c r="M88">
        <f>ROUND(SmtRes!AA327, 6)</f>
        <v>29.98</v>
      </c>
      <c r="N88">
        <f t="shared" si="5"/>
        <v>0.03</v>
      </c>
      <c r="O88">
        <f>SmtRes!X327</f>
        <v>-862991314</v>
      </c>
      <c r="P88">
        <v>209219300</v>
      </c>
      <c r="Q88">
        <v>2045990491</v>
      </c>
    </row>
    <row r="89" spans="1:17" x14ac:dyDescent="0.2">
      <c r="A89">
        <f>Source!A340</f>
        <v>18</v>
      </c>
      <c r="C89">
        <v>3</v>
      </c>
      <c r="D89">
        <f>Source!BI340</f>
        <v>1</v>
      </c>
      <c r="E89">
        <f>Source!FS340</f>
        <v>0</v>
      </c>
      <c r="F89" t="str">
        <f>Source!F340</f>
        <v>1.3-4-20</v>
      </c>
      <c r="G89" t="str">
        <f>Source!G340</f>
        <v>Арматурные заготовки (стержни, хомуты и т.п.), не собранные в каркасы или сетки, арматурная сталь периодического профиля, класс А-III, диаметр 8 мм</v>
      </c>
      <c r="H89" t="str">
        <f>Source!H340</f>
        <v>т</v>
      </c>
      <c r="I89">
        <f>Source!I340</f>
        <v>2E-3</v>
      </c>
      <c r="J89">
        <v>1</v>
      </c>
      <c r="K89">
        <f>ROUND(Source!AC340, 6)</f>
        <v>5752.41</v>
      </c>
      <c r="L89">
        <f>ROUND(K89*I89, 2)</f>
        <v>11.5</v>
      </c>
      <c r="M89">
        <f>ROUND(Source!AC340*IF(Source!BC340&lt;&gt; 0, Source!BC340, 1), 6)</f>
        <v>34687.032299999999</v>
      </c>
      <c r="N89">
        <f>ROUND(M89*I89, 2)</f>
        <v>69.37</v>
      </c>
      <c r="O89">
        <f>Source!GF340</f>
        <v>29731103</v>
      </c>
      <c r="P89">
        <v>1587285700</v>
      </c>
      <c r="Q89">
        <v>-452909362</v>
      </c>
    </row>
    <row r="90" spans="1:17" x14ac:dyDescent="0.2">
      <c r="A90">
        <f>Source!A342</f>
        <v>18</v>
      </c>
      <c r="C90">
        <v>3</v>
      </c>
      <c r="D90">
        <f>Source!BI342</f>
        <v>1</v>
      </c>
      <c r="E90">
        <f>Source!FS342</f>
        <v>0</v>
      </c>
      <c r="F90" t="str">
        <f>Source!F342</f>
        <v>1.3-4-22</v>
      </c>
      <c r="G90" t="str">
        <f>Source!G342</f>
        <v>Арматурные заготовки (стержни, хомуты и т.п.), не собранные в каркасы или сетки, арматурная сталь периодического профиля, класс А-III, диаметр 12-14 мм</v>
      </c>
      <c r="H90" t="str">
        <f>Source!H342</f>
        <v>т</v>
      </c>
      <c r="I90">
        <f>Source!I342</f>
        <v>4.0000000000000001E-3</v>
      </c>
      <c r="J90">
        <v>1</v>
      </c>
      <c r="K90">
        <f>ROUND(Source!AC342, 6)</f>
        <v>5752.41</v>
      </c>
      <c r="L90">
        <f>ROUND(K90*I90, 2)</f>
        <v>23.01</v>
      </c>
      <c r="M90">
        <f>ROUND(Source!AC342*IF(Source!BC342&lt;&gt; 0, Source!BC342, 1), 6)</f>
        <v>34687.032299999999</v>
      </c>
      <c r="N90">
        <f>ROUND(M90*I90, 2)</f>
        <v>138.75</v>
      </c>
      <c r="O90">
        <f>Source!GF342</f>
        <v>1786208556</v>
      </c>
      <c r="P90">
        <v>1842658051</v>
      </c>
      <c r="Q90">
        <v>-1873529497</v>
      </c>
    </row>
    <row r="91" spans="1:17" x14ac:dyDescent="0.2">
      <c r="A91">
        <f>Source!A344</f>
        <v>18</v>
      </c>
      <c r="C91">
        <v>3</v>
      </c>
      <c r="D91">
        <f>Source!BI344</f>
        <v>1</v>
      </c>
      <c r="E91">
        <f>Source!FS344</f>
        <v>0</v>
      </c>
      <c r="F91" t="str">
        <f>Source!F344</f>
        <v>1.3-1-39</v>
      </c>
      <c r="G91" t="str">
        <f>Source!G344</f>
        <v>Смеси бетонные, БСГ, тяжелого бетона на гранитном щебне, класс прочности В20 (М250); П3, фракция 5-20, F100, W2</v>
      </c>
      <c r="H91" t="str">
        <f>Source!H344</f>
        <v>м3</v>
      </c>
      <c r="I91">
        <f>Source!I344</f>
        <v>0.12180000000000001</v>
      </c>
      <c r="J91">
        <v>1</v>
      </c>
      <c r="K91">
        <f>ROUND(Source!AC344, 6)</f>
        <v>711.12</v>
      </c>
      <c r="L91">
        <f>ROUND(K91*I91, 2)</f>
        <v>86.61</v>
      </c>
      <c r="M91">
        <f>ROUND(Source!AC344*IF(Source!BC344&lt;&gt; 0, Source!BC344, 1), 6)</f>
        <v>3861.3816000000002</v>
      </c>
      <c r="N91">
        <f>ROUND(M91*I91, 2)</f>
        <v>470.32</v>
      </c>
      <c r="O91">
        <f>Source!GF344</f>
        <v>1796330771</v>
      </c>
      <c r="P91">
        <v>764652780</v>
      </c>
      <c r="Q91">
        <v>252884569</v>
      </c>
    </row>
    <row r="92" spans="1:17" x14ac:dyDescent="0.2">
      <c r="A92">
        <f>Source!A346</f>
        <v>17</v>
      </c>
      <c r="C92">
        <v>3</v>
      </c>
      <c r="D92">
        <v>0</v>
      </c>
      <c r="E92">
        <f>SmtRes!AV364</f>
        <v>0</v>
      </c>
      <c r="F92" t="str">
        <f>SmtRes!I364</f>
        <v>9999990006</v>
      </c>
      <c r="G92" t="str">
        <f>SmtRes!K364</f>
        <v>Стоимость прочих материалов (ЭСН)</v>
      </c>
      <c r="H92" t="str">
        <f>SmtRes!O364</f>
        <v>руб.</v>
      </c>
      <c r="I92">
        <f>SmtRes!Y364*Source!I346</f>
        <v>10.659599999999999</v>
      </c>
      <c r="J92">
        <f>SmtRes!AO364</f>
        <v>1</v>
      </c>
      <c r="K92">
        <f>ROUND(SmtRes!AE364, 6)</f>
        <v>1</v>
      </c>
      <c r="L92">
        <f>ROUND(I92*K92, 2)</f>
        <v>10.66</v>
      </c>
      <c r="M92">
        <f>ROUND(SmtRes!AA364, 6)</f>
        <v>1</v>
      </c>
      <c r="N92">
        <f>ROUND(I92*M92, 2)</f>
        <v>10.66</v>
      </c>
      <c r="O92">
        <f>SmtRes!X364</f>
        <v>-94250534</v>
      </c>
      <c r="P92">
        <v>-1341645062</v>
      </c>
      <c r="Q92">
        <v>-1341645062</v>
      </c>
    </row>
    <row r="93" spans="1:17" x14ac:dyDescent="0.2">
      <c r="A93">
        <f>Source!A346</f>
        <v>17</v>
      </c>
      <c r="C93">
        <v>3</v>
      </c>
      <c r="D93">
        <v>0</v>
      </c>
      <c r="E93">
        <f>SmtRes!AV363</f>
        <v>0</v>
      </c>
      <c r="F93" t="str">
        <f>SmtRes!I363</f>
        <v>1.6-1-271</v>
      </c>
      <c r="G93" t="str">
        <f>SmtRes!K363</f>
        <v>Отдельные конструктивные элементы с преобладанием горячекатаных профилей, средняя масса сборочной единицы от 0,11 до 0,5 т</v>
      </c>
      <c r="H93" t="str">
        <f>SmtRes!O363</f>
        <v>т</v>
      </c>
      <c r="I93">
        <f>SmtRes!Y363*Source!I346</f>
        <v>2.7E-4</v>
      </c>
      <c r="J93">
        <f>SmtRes!AO363</f>
        <v>1</v>
      </c>
      <c r="K93">
        <f>ROUND(SmtRes!AE363, 6)</f>
        <v>12654.07</v>
      </c>
      <c r="L93">
        <f>ROUND(I93*K93, 2)</f>
        <v>3.42</v>
      </c>
      <c r="M93">
        <f>ROUND(SmtRes!AA363, 6)</f>
        <v>65674.62</v>
      </c>
      <c r="N93">
        <f>ROUND(I93*M93, 2)</f>
        <v>17.73</v>
      </c>
      <c r="O93">
        <f>SmtRes!X363</f>
        <v>-2026157207</v>
      </c>
      <c r="P93">
        <v>-1856284949</v>
      </c>
      <c r="Q93">
        <v>46752021</v>
      </c>
    </row>
    <row r="94" spans="1:17" x14ac:dyDescent="0.2">
      <c r="A94">
        <f>Source!A346</f>
        <v>17</v>
      </c>
      <c r="C94">
        <v>3</v>
      </c>
      <c r="D94">
        <v>0</v>
      </c>
      <c r="E94">
        <f>SmtRes!AV359</f>
        <v>0</v>
      </c>
      <c r="F94" t="str">
        <f>SmtRes!I359</f>
        <v>1.1-1-1566</v>
      </c>
      <c r="G94" t="str">
        <f>SmtRes!K359</f>
        <v>Электроды, тип Э-42, 46, 50, диаметр 4 - 6 мм</v>
      </c>
      <c r="H94" t="str">
        <f>SmtRes!O359</f>
        <v>т</v>
      </c>
      <c r="I94">
        <f>SmtRes!Y359*Source!I346</f>
        <v>1.08E-3</v>
      </c>
      <c r="J94">
        <f>SmtRes!AO359</f>
        <v>1</v>
      </c>
      <c r="K94">
        <f>ROUND(SmtRes!AE359, 6)</f>
        <v>7191.81</v>
      </c>
      <c r="L94">
        <f>ROUND(I94*K94, 2)</f>
        <v>7.77</v>
      </c>
      <c r="M94">
        <f>ROUND(SmtRes!AA359, 6)</f>
        <v>86373.64</v>
      </c>
      <c r="N94">
        <f>ROUND(I94*M94, 2)</f>
        <v>93.28</v>
      </c>
      <c r="O94">
        <f>SmtRes!X359</f>
        <v>1310716689</v>
      </c>
      <c r="P94">
        <v>-143943088</v>
      </c>
      <c r="Q94">
        <v>-161349360</v>
      </c>
    </row>
    <row r="95" spans="1:17" x14ac:dyDescent="0.2">
      <c r="A95">
        <f>Source!A348</f>
        <v>18</v>
      </c>
      <c r="C95">
        <v>3</v>
      </c>
      <c r="D95">
        <f>Source!BI348</f>
        <v>1</v>
      </c>
      <c r="E95">
        <f>Source!FS348</f>
        <v>0</v>
      </c>
      <c r="F95" t="str">
        <f>Source!F348</f>
        <v>1.1-1-60</v>
      </c>
      <c r="G95" t="str">
        <f>Source!G348</f>
        <v>Болты строительные с гайками с шестигранной головкой, диаметр резьбы 6 мм</v>
      </c>
      <c r="H95" t="str">
        <f>Source!H348</f>
        <v>т</v>
      </c>
      <c r="I95">
        <f>Source!I348</f>
        <v>2.2741999999999998E-2</v>
      </c>
      <c r="J95">
        <v>1</v>
      </c>
      <c r="K95">
        <f>ROUND(Source!AC348, 6)</f>
        <v>22533.279999999999</v>
      </c>
      <c r="L95">
        <f>ROUND(K95*I95, 2)</f>
        <v>512.45000000000005</v>
      </c>
      <c r="M95">
        <f>ROUND(Source!AC348*IF(Source!BC348&lt;&gt; 0, Source!BC348, 1), 6)</f>
        <v>93738.444799999997</v>
      </c>
      <c r="N95">
        <f>ROUND(M95*I95, 2)</f>
        <v>2131.8000000000002</v>
      </c>
      <c r="O95">
        <f>Source!GF348</f>
        <v>1013095188</v>
      </c>
      <c r="P95">
        <v>-674189768</v>
      </c>
      <c r="Q95">
        <v>520618720</v>
      </c>
    </row>
    <row r="96" spans="1:17" x14ac:dyDescent="0.2">
      <c r="A96">
        <f>Source!A350</f>
        <v>18</v>
      </c>
      <c r="C96">
        <v>3</v>
      </c>
      <c r="D96">
        <f>Source!BI350</f>
        <v>1</v>
      </c>
      <c r="E96">
        <f>Source!FS350</f>
        <v>0</v>
      </c>
      <c r="F96" t="str">
        <f>Source!F350</f>
        <v>1.1-1-2284</v>
      </c>
      <c r="G96" t="str">
        <f>Source!G350</f>
        <v>Профили стальные электросварные квадратного сечения трубчатые, размер стороны 60 мм, толщина стенки 3 мм</v>
      </c>
      <c r="H96" t="str">
        <f>Source!H350</f>
        <v>т</v>
      </c>
      <c r="I96">
        <f>Source!I350</f>
        <v>0.09</v>
      </c>
      <c r="J96">
        <v>1</v>
      </c>
      <c r="K96">
        <f>ROUND(Source!AC350, 6)</f>
        <v>11355</v>
      </c>
      <c r="L96">
        <f>ROUND(K96*I96, 2)</f>
        <v>1021.95</v>
      </c>
      <c r="M96">
        <f>ROUND(Source!AC350*IF(Source!BC350&lt;&gt; 0, Source!BC350, 1), 6)</f>
        <v>35427.599999999999</v>
      </c>
      <c r="N96">
        <f>ROUND(M96*I96, 2)</f>
        <v>3188.48</v>
      </c>
      <c r="O96">
        <f>Source!GF350</f>
        <v>1654847958</v>
      </c>
      <c r="P96">
        <v>-1462073516</v>
      </c>
      <c r="Q96">
        <v>975481145</v>
      </c>
    </row>
    <row r="97" spans="1:17" x14ac:dyDescent="0.2">
      <c r="A97">
        <f>Source!A352</f>
        <v>18</v>
      </c>
      <c r="C97">
        <v>3</v>
      </c>
      <c r="D97">
        <f>Source!BI352</f>
        <v>1</v>
      </c>
      <c r="E97">
        <f>Source!FS352</f>
        <v>0</v>
      </c>
      <c r="F97" t="str">
        <f>Source!F352</f>
        <v>1.1-1-1112</v>
      </c>
      <c r="G97" t="str">
        <f>Source!G352</f>
        <v>Сталь угловая равнополочная общего назначения, марка Ст0, ширина полки более 70 мм</v>
      </c>
      <c r="H97" t="str">
        <f>Source!H352</f>
        <v>т</v>
      </c>
      <c r="I97">
        <f>Source!I352</f>
        <v>0.08</v>
      </c>
      <c r="J97">
        <v>1</v>
      </c>
      <c r="K97">
        <f>ROUND(Source!AC352, 6)</f>
        <v>8914.6</v>
      </c>
      <c r="L97">
        <f>ROUND(K97*I97, 2)</f>
        <v>713.17</v>
      </c>
      <c r="M97">
        <f>ROUND(Source!AC352*IF(Source!BC352&lt;&gt; 0, Source!BC352, 1), 6)</f>
        <v>24426.004000000001</v>
      </c>
      <c r="N97">
        <f>ROUND(M97*I97, 2)</f>
        <v>1954.08</v>
      </c>
      <c r="O97">
        <f>Source!GF352</f>
        <v>-776206429</v>
      </c>
      <c r="P97">
        <v>-452953292</v>
      </c>
      <c r="Q97">
        <v>1439660157</v>
      </c>
    </row>
    <row r="98" spans="1:17" x14ac:dyDescent="0.2">
      <c r="A98">
        <f>Source!A354</f>
        <v>18</v>
      </c>
      <c r="C98">
        <v>3</v>
      </c>
      <c r="D98">
        <f>Source!BI354</f>
        <v>1</v>
      </c>
      <c r="E98">
        <f>Source!FS354</f>
        <v>0</v>
      </c>
      <c r="F98" t="str">
        <f>Source!F354</f>
        <v>1.1-1-1104</v>
      </c>
      <c r="G98" t="str">
        <f>Source!G354</f>
        <v>Сталь толстолистовая, толщина более 4 мм, общего назначения, марка Ст1сп-Ст6сп</v>
      </c>
      <c r="H98" t="str">
        <f>Source!H354</f>
        <v>т</v>
      </c>
      <c r="I98">
        <f>Source!I354</f>
        <v>0.02</v>
      </c>
      <c r="J98">
        <v>1</v>
      </c>
      <c r="K98">
        <f>ROUND(Source!AC354, 6)</f>
        <v>7075.07</v>
      </c>
      <c r="L98">
        <f>ROUND(K98*I98, 2)</f>
        <v>141.5</v>
      </c>
      <c r="M98">
        <f>ROUND(Source!AC354*IF(Source!BC354&lt;&gt; 0, Source!BC354, 1), 6)</f>
        <v>39691.142699999997</v>
      </c>
      <c r="N98">
        <f>ROUND(M98*I98, 2)</f>
        <v>793.82</v>
      </c>
      <c r="O98">
        <f>Source!GF354</f>
        <v>-1406854911</v>
      </c>
      <c r="P98">
        <v>-801103185</v>
      </c>
      <c r="Q98">
        <v>466956492</v>
      </c>
    </row>
    <row r="99" spans="1:17" x14ac:dyDescent="0.2">
      <c r="A99">
        <f>Source!A356</f>
        <v>18</v>
      </c>
      <c r="C99">
        <v>3</v>
      </c>
      <c r="D99">
        <f>Source!BI356</f>
        <v>1</v>
      </c>
      <c r="E99">
        <f>Source!FS356</f>
        <v>0</v>
      </c>
      <c r="F99" t="str">
        <f>Source!F356</f>
        <v>1.6-1-216</v>
      </c>
      <c r="G99" t="str">
        <f>Source!G356</f>
        <v>Площадки с настилом из листовой, рифленой, просечной или круглой стали, каркасами и элементами жесткости из прокатных и гнутых профилей, прямоугольные и трапециевидные</v>
      </c>
      <c r="H99" t="str">
        <f>Source!H356</f>
        <v>т</v>
      </c>
      <c r="I99">
        <f>Source!I356</f>
        <v>0.08</v>
      </c>
      <c r="J99">
        <v>1</v>
      </c>
      <c r="K99">
        <f>ROUND(Source!AC356, 6)</f>
        <v>17021.419999999998</v>
      </c>
      <c r="L99">
        <f>ROUND(K99*I99, 2)</f>
        <v>1361.71</v>
      </c>
      <c r="M99">
        <f>ROUND(Source!AC356*IF(Source!BC356&lt;&gt; 0, Source!BC356, 1), 6)</f>
        <v>87490.098800000007</v>
      </c>
      <c r="N99">
        <f>ROUND(M99*I99, 2)</f>
        <v>6999.21</v>
      </c>
      <c r="O99">
        <f>Source!GF356</f>
        <v>-390362327</v>
      </c>
      <c r="P99">
        <v>1725023988</v>
      </c>
      <c r="Q99">
        <v>1319168430</v>
      </c>
    </row>
    <row r="100" spans="1:17" x14ac:dyDescent="0.2">
      <c r="A100">
        <f>Source!A387</f>
        <v>5</v>
      </c>
      <c r="B100">
        <v>387</v>
      </c>
      <c r="G100" t="str">
        <f>Source!G387</f>
        <v>Сети связи</v>
      </c>
    </row>
    <row r="101" spans="1:17" x14ac:dyDescent="0.2">
      <c r="A101">
        <f>Source!A392</f>
        <v>17</v>
      </c>
      <c r="C101">
        <v>3</v>
      </c>
      <c r="D101">
        <v>0</v>
      </c>
      <c r="E101">
        <f>SmtRes!AV368</f>
        <v>0</v>
      </c>
      <c r="F101" t="str">
        <f>SmtRes!I368</f>
        <v>9999990002</v>
      </c>
      <c r="G101" t="str">
        <f>SmtRes!K368</f>
        <v>Масса оборудования</v>
      </c>
      <c r="H101" t="str">
        <f>SmtRes!O368</f>
        <v>т</v>
      </c>
      <c r="I101">
        <f>SmtRes!Y368*Source!I392</f>
        <v>2E-3</v>
      </c>
      <c r="J101">
        <f>SmtRes!AO368</f>
        <v>1</v>
      </c>
      <c r="K101">
        <f>ROUND(SmtRes!AE368, 6)</f>
        <v>0</v>
      </c>
      <c r="L101">
        <f>ROUND(I101*K101, 2)</f>
        <v>0</v>
      </c>
      <c r="M101">
        <f>ROUND(SmtRes!AA368, 6)</f>
        <v>0</v>
      </c>
      <c r="N101">
        <f>ROUND(I101*M101, 2)</f>
        <v>0</v>
      </c>
      <c r="O101">
        <f>SmtRes!X368</f>
        <v>-783086922</v>
      </c>
      <c r="P101">
        <v>1479202730</v>
      </c>
      <c r="Q101">
        <v>1479202730</v>
      </c>
    </row>
    <row r="102" spans="1:17" x14ac:dyDescent="0.2">
      <c r="A102">
        <f>Source!A402</f>
        <v>18</v>
      </c>
      <c r="C102">
        <v>3</v>
      </c>
      <c r="D102">
        <f>Source!BI402</f>
        <v>2</v>
      </c>
      <c r="E102">
        <f>Source!FS402</f>
        <v>0</v>
      </c>
      <c r="F102" t="str">
        <f>Source!F402</f>
        <v>цена поставщика</v>
      </c>
      <c r="G102" t="str">
        <f>Source!G402</f>
        <v>Штольц 150*250 тр.60*30 стойка</v>
      </c>
      <c r="H102" t="str">
        <f>Source!H402</f>
        <v>шт.</v>
      </c>
      <c r="I102">
        <f>Source!I402</f>
        <v>1</v>
      </c>
      <c r="J102">
        <v>1</v>
      </c>
      <c r="K102">
        <f>ROUND(Source!AC402, 6)</f>
        <v>1268.68</v>
      </c>
      <c r="L102">
        <f t="shared" ref="L102:L107" si="6">ROUND(K102*I102, 2)</f>
        <v>1268.68</v>
      </c>
      <c r="M102">
        <f>ROUND(Source!AC402*IF(Source!BC402&lt;&gt; 0, Source!BC402, 1), 6)</f>
        <v>6635.1963999999998</v>
      </c>
      <c r="N102">
        <f t="shared" ref="N102:N107" si="7">ROUND(M102*I102, 2)</f>
        <v>6635.2</v>
      </c>
      <c r="O102">
        <f>Source!GF402</f>
        <v>-1586814249</v>
      </c>
      <c r="P102">
        <v>-1291691140</v>
      </c>
      <c r="Q102">
        <v>81426303</v>
      </c>
    </row>
    <row r="103" spans="1:17" x14ac:dyDescent="0.2">
      <c r="A103">
        <f>Source!A406</f>
        <v>18</v>
      </c>
      <c r="C103">
        <v>3</v>
      </c>
      <c r="D103">
        <f>Source!BI406</f>
        <v>2</v>
      </c>
      <c r="E103">
        <f>Source!FS406</f>
        <v>0</v>
      </c>
      <c r="F103" t="str">
        <f>Source!F406</f>
        <v>1.12-5-371</v>
      </c>
      <c r="G103" t="str">
        <f>Source!G406</f>
        <v>Трубы электротехнические гофрированные, поливинилхлоридные, негорючие, с зондом, наружный диаметр 16 мм</v>
      </c>
      <c r="H103" t="str">
        <f>Source!H406</f>
        <v>м</v>
      </c>
      <c r="I103">
        <f>Source!I406</f>
        <v>5.0999999999999996</v>
      </c>
      <c r="J103">
        <v>1</v>
      </c>
      <c r="K103">
        <f>ROUND(Source!AC406, 6)</f>
        <v>2.67</v>
      </c>
      <c r="L103">
        <f t="shared" si="6"/>
        <v>13.62</v>
      </c>
      <c r="M103">
        <f>ROUND(Source!AC406*IF(Source!BC406&lt;&gt; 0, Source!BC406, 1), 6)</f>
        <v>16.7409</v>
      </c>
      <c r="N103">
        <f t="shared" si="7"/>
        <v>85.38</v>
      </c>
      <c r="O103">
        <f>Source!GF406</f>
        <v>1807865182</v>
      </c>
      <c r="P103">
        <v>-576101314</v>
      </c>
      <c r="Q103">
        <v>1711006542</v>
      </c>
    </row>
    <row r="104" spans="1:17" x14ac:dyDescent="0.2">
      <c r="A104">
        <f>Source!A408</f>
        <v>18</v>
      </c>
      <c r="C104">
        <v>3</v>
      </c>
      <c r="D104">
        <f>Source!BI408</f>
        <v>2</v>
      </c>
      <c r="E104">
        <f>Source!FS408</f>
        <v>0</v>
      </c>
      <c r="F104" t="str">
        <f>Source!F408</f>
        <v>1.21-5-1135</v>
      </c>
      <c r="G104" t="str">
        <f>Source!G408</f>
        <v>Держатели пластиковые с защелкой для крепления труб, рукавов и гибких вводов диаметром 16 мм</v>
      </c>
      <c r="H104" t="str">
        <f>Source!H408</f>
        <v>100 шт.</v>
      </c>
      <c r="I104">
        <f>Source!I408</f>
        <v>0.05</v>
      </c>
      <c r="J104">
        <v>1</v>
      </c>
      <c r="K104">
        <f>ROUND(Source!AC408, 6)</f>
        <v>135.68</v>
      </c>
      <c r="L104">
        <f t="shared" si="6"/>
        <v>6.78</v>
      </c>
      <c r="M104">
        <f>ROUND(Source!AC408*IF(Source!BC408&lt;&gt; 0, Source!BC408, 1), 6)</f>
        <v>172.31360000000001</v>
      </c>
      <c r="N104">
        <f t="shared" si="7"/>
        <v>8.6199999999999992</v>
      </c>
      <c r="O104">
        <f>Source!GF408</f>
        <v>-975574283</v>
      </c>
      <c r="P104">
        <v>1663467072</v>
      </c>
      <c r="Q104">
        <v>-326546088</v>
      </c>
    </row>
    <row r="105" spans="1:17" x14ac:dyDescent="0.2">
      <c r="A105">
        <f>Source!A412</f>
        <v>18</v>
      </c>
      <c r="C105">
        <v>3</v>
      </c>
      <c r="D105">
        <f>Source!BI412</f>
        <v>2</v>
      </c>
      <c r="E105">
        <f>Source!FS412</f>
        <v>0</v>
      </c>
      <c r="F105" t="str">
        <f>Source!F412</f>
        <v>цена поставщика</v>
      </c>
      <c r="G105" t="str">
        <f>Source!G412</f>
        <v>КПВСВнг(А)-FRLSLTx 2х2х0,5</v>
      </c>
      <c r="H105" t="str">
        <f>Source!H412</f>
        <v>км</v>
      </c>
      <c r="I105">
        <f>Source!I412</f>
        <v>5.1000000000000004E-3</v>
      </c>
      <c r="J105">
        <v>1</v>
      </c>
      <c r="K105">
        <f>ROUND(Source!AC412, 6)</f>
        <v>15582.46</v>
      </c>
      <c r="L105">
        <f t="shared" si="6"/>
        <v>79.47</v>
      </c>
      <c r="M105">
        <f>ROUND(Source!AC412*IF(Source!BC412&lt;&gt; 0, Source!BC412, 1), 6)</f>
        <v>81496.265799999994</v>
      </c>
      <c r="N105">
        <f t="shared" si="7"/>
        <v>415.63</v>
      </c>
      <c r="O105">
        <f>Source!GF412</f>
        <v>-649410947</v>
      </c>
      <c r="P105">
        <v>-1524664178</v>
      </c>
      <c r="Q105">
        <v>1173024037</v>
      </c>
    </row>
    <row r="106" spans="1:17" x14ac:dyDescent="0.2">
      <c r="A106">
        <f>Source!A416</f>
        <v>18</v>
      </c>
      <c r="C106">
        <v>3</v>
      </c>
      <c r="D106">
        <f>Source!BI416</f>
        <v>2</v>
      </c>
      <c r="E106">
        <f>Source!FS416</f>
        <v>0</v>
      </c>
      <c r="F106" t="str">
        <f>Source!F416</f>
        <v>1.23-8-415</v>
      </c>
      <c r="G106" t="str">
        <f>Source!G416</f>
        <v>Кабели силовые с медными жилами, напряжение 1000 В, марка ВВГнг(А)-LS, число жил и сечение 3х1,5 мм2</v>
      </c>
      <c r="H106" t="str">
        <f>Source!H416</f>
        <v>км</v>
      </c>
      <c r="I106">
        <f>Source!I416</f>
        <v>7.0000000000000001E-3</v>
      </c>
      <c r="J106">
        <v>1</v>
      </c>
      <c r="K106">
        <f>ROUND(Source!AC416, 6)</f>
        <v>7649.72</v>
      </c>
      <c r="L106">
        <f t="shared" si="6"/>
        <v>53.55</v>
      </c>
      <c r="M106">
        <f>ROUND(Source!AC416*IF(Source!BC416&lt;&gt; 0, Source!BC416, 1), 6)</f>
        <v>26697.522799999999</v>
      </c>
      <c r="N106">
        <f t="shared" si="7"/>
        <v>186.88</v>
      </c>
      <c r="O106">
        <f>Source!GF416</f>
        <v>516804880</v>
      </c>
      <c r="P106">
        <v>-1785002254</v>
      </c>
      <c r="Q106">
        <v>-572395991</v>
      </c>
    </row>
    <row r="107" spans="1:17" x14ac:dyDescent="0.2">
      <c r="A107">
        <f>Source!A418</f>
        <v>18</v>
      </c>
      <c r="C107">
        <v>3</v>
      </c>
      <c r="D107">
        <f>Source!BI418</f>
        <v>2</v>
      </c>
      <c r="E107">
        <f>Source!FS418</f>
        <v>0</v>
      </c>
      <c r="F107" t="str">
        <f>Source!F418</f>
        <v>цена поставщика</v>
      </c>
      <c r="G107" t="str">
        <f>Source!G418</f>
        <v>КПВСВнг(А)-FRLSLTx 2х2х0,5</v>
      </c>
      <c r="H107" t="str">
        <f>Source!H418</f>
        <v>км</v>
      </c>
      <c r="I107">
        <f>Source!I418</f>
        <v>4.5999999999999999E-2</v>
      </c>
      <c r="J107">
        <v>1</v>
      </c>
      <c r="K107">
        <f>ROUND(Source!AC418, 6)</f>
        <v>15582.46</v>
      </c>
      <c r="L107">
        <f t="shared" si="6"/>
        <v>716.79</v>
      </c>
      <c r="M107">
        <f>ROUND(Source!AC418*IF(Source!BC418&lt;&gt; 0, Source!BC418, 1), 6)</f>
        <v>81496.265799999994</v>
      </c>
      <c r="N107">
        <f t="shared" si="7"/>
        <v>3748.83</v>
      </c>
      <c r="O107">
        <f>Source!GF418</f>
        <v>-649410947</v>
      </c>
      <c r="P107">
        <v>-1524664178</v>
      </c>
      <c r="Q107">
        <v>1173024037</v>
      </c>
    </row>
    <row r="108" spans="1:17" x14ac:dyDescent="0.2">
      <c r="A108">
        <f>Source!A449</f>
        <v>5</v>
      </c>
      <c r="B108">
        <v>449</v>
      </c>
      <c r="G108" t="str">
        <f>Source!G449</f>
        <v>Электромонтажные работы</v>
      </c>
    </row>
    <row r="109" spans="1:17" x14ac:dyDescent="0.2">
      <c r="A109">
        <f>Source!A456</f>
        <v>18</v>
      </c>
      <c r="C109">
        <v>3</v>
      </c>
      <c r="D109">
        <f>Source!BI456</f>
        <v>2</v>
      </c>
      <c r="E109">
        <f>Source!FS456</f>
        <v>0</v>
      </c>
      <c r="F109" t="str">
        <f>Source!F456</f>
        <v>1.1-1-2828</v>
      </c>
      <c r="G109" t="str">
        <f>Source!G456</f>
        <v>Кабель-каналы, размер 16х16 мм, короба с направляющими</v>
      </c>
      <c r="H109" t="str">
        <f>Source!H456</f>
        <v>м</v>
      </c>
      <c r="I109">
        <f>Source!I456</f>
        <v>30</v>
      </c>
      <c r="J109">
        <v>1</v>
      </c>
      <c r="K109">
        <f>ROUND(Source!AC456, 6)</f>
        <v>1.82</v>
      </c>
      <c r="L109">
        <f t="shared" ref="L109:L117" si="8">ROUND(K109*I109, 2)</f>
        <v>54.6</v>
      </c>
      <c r="M109">
        <f>ROUND(Source!AC456*IF(Source!BC456&lt;&gt; 0, Source!BC456, 1), 6)</f>
        <v>8.7360000000000007</v>
      </c>
      <c r="N109">
        <f t="shared" ref="N109:N117" si="9">ROUND(M109*I109, 2)</f>
        <v>262.08</v>
      </c>
      <c r="O109">
        <f>Source!GF456</f>
        <v>-1610361876</v>
      </c>
      <c r="P109">
        <v>108000659</v>
      </c>
      <c r="Q109">
        <v>1810875154</v>
      </c>
    </row>
    <row r="110" spans="1:17" x14ac:dyDescent="0.2">
      <c r="A110">
        <f>Source!A458</f>
        <v>18</v>
      </c>
      <c r="C110">
        <v>3</v>
      </c>
      <c r="D110">
        <f>Source!BI458</f>
        <v>2</v>
      </c>
      <c r="E110">
        <f>Source!FS458</f>
        <v>0</v>
      </c>
      <c r="F110" t="str">
        <f>Source!F458</f>
        <v>1.21-5-696</v>
      </c>
      <c r="G110" t="str">
        <f>Source!G458</f>
        <v>Коробки для протяжки проводов, тип У-409</v>
      </c>
      <c r="H110" t="str">
        <f>Source!H458</f>
        <v>шт.</v>
      </c>
      <c r="I110">
        <f>Source!I458</f>
        <v>2</v>
      </c>
      <c r="J110">
        <v>1</v>
      </c>
      <c r="K110">
        <f>ROUND(Source!AC458, 6)</f>
        <v>28.2</v>
      </c>
      <c r="L110">
        <f t="shared" si="8"/>
        <v>56.4</v>
      </c>
      <c r="M110">
        <f>ROUND(Source!AC458*IF(Source!BC458&lt;&gt; 0, Source!BC458, 1), 6)</f>
        <v>94.188000000000002</v>
      </c>
      <c r="N110">
        <f t="shared" si="9"/>
        <v>188.38</v>
      </c>
      <c r="O110">
        <f>Source!GF458</f>
        <v>-1904154504</v>
      </c>
      <c r="P110">
        <v>539665973</v>
      </c>
      <c r="Q110">
        <v>1320243520</v>
      </c>
    </row>
    <row r="111" spans="1:17" x14ac:dyDescent="0.2">
      <c r="A111">
        <f>Source!A462</f>
        <v>18</v>
      </c>
      <c r="C111">
        <v>3</v>
      </c>
      <c r="D111">
        <f>Source!BI462</f>
        <v>2</v>
      </c>
      <c r="E111">
        <f>Source!FS462</f>
        <v>0</v>
      </c>
      <c r="F111" t="str">
        <f>Source!F462</f>
        <v>1.23-8-389</v>
      </c>
      <c r="G111" t="str">
        <f>Source!G462</f>
        <v>Кабели силовые с медными жилами, напряжение 660 В, марка ВВГнг(А)-LS, число жил и сечение 3х1,5 мм2</v>
      </c>
      <c r="H111" t="str">
        <f>Source!H462</f>
        <v>км</v>
      </c>
      <c r="I111">
        <f>Source!I462</f>
        <v>3.1E-2</v>
      </c>
      <c r="J111">
        <v>1</v>
      </c>
      <c r="K111">
        <f>ROUND(Source!AC462, 6)</f>
        <v>6747.27</v>
      </c>
      <c r="L111">
        <f t="shared" si="8"/>
        <v>209.17</v>
      </c>
      <c r="M111">
        <f>ROUND(Source!AC462*IF(Source!BC462&lt;&gt; 0, Source!BC462, 1), 6)</f>
        <v>24222.6993</v>
      </c>
      <c r="N111">
        <f t="shared" si="9"/>
        <v>750.9</v>
      </c>
      <c r="O111">
        <f>Source!GF462</f>
        <v>235493699</v>
      </c>
      <c r="P111">
        <v>1572088394</v>
      </c>
      <c r="Q111">
        <v>1095028645</v>
      </c>
    </row>
    <row r="112" spans="1:17" x14ac:dyDescent="0.2">
      <c r="A112">
        <f>Source!A464</f>
        <v>18</v>
      </c>
      <c r="C112">
        <v>3</v>
      </c>
      <c r="D112">
        <f>Source!BI464</f>
        <v>2</v>
      </c>
      <c r="E112">
        <f>Source!FS464</f>
        <v>0</v>
      </c>
      <c r="F112" t="str">
        <f>Source!F464</f>
        <v>1.23-8-625</v>
      </c>
      <c r="G112" t="str">
        <f>Source!G464</f>
        <v>Кабели силовые с медными жилами огнестойкие, с изоляцией и оболочкой из поливинилхлоридных композиций пониженной пожароопасности, с низким дымо- и газовыделением, напряжение 1000 В, марка ВВГнг-FRLS, число жил и сечение 3х1,5 мм2 ( ВВгнг(А)-FRLSLTx-0,66)</v>
      </c>
      <c r="H112" t="str">
        <f>Source!H464</f>
        <v>км</v>
      </c>
      <c r="I112">
        <f>Source!I464</f>
        <v>6.2E-2</v>
      </c>
      <c r="J112">
        <v>1</v>
      </c>
      <c r="K112">
        <f>ROUND(Source!AC464, 6)</f>
        <v>16446.900000000001</v>
      </c>
      <c r="L112">
        <f t="shared" si="8"/>
        <v>1019.71</v>
      </c>
      <c r="M112">
        <f>ROUND(Source!AC464*IF(Source!BC464&lt;&gt; 0, Source!BC464, 1), 6)</f>
        <v>53452.425000000003</v>
      </c>
      <c r="N112">
        <f t="shared" si="9"/>
        <v>3314.05</v>
      </c>
      <c r="O112">
        <f>Source!GF464</f>
        <v>998669148</v>
      </c>
      <c r="P112">
        <v>-1347739195</v>
      </c>
      <c r="Q112">
        <v>603367181</v>
      </c>
    </row>
    <row r="113" spans="1:17" x14ac:dyDescent="0.2">
      <c r="A113">
        <f>Source!A468</f>
        <v>18</v>
      </c>
      <c r="C113">
        <v>3</v>
      </c>
      <c r="D113">
        <f>Source!BI468</f>
        <v>2</v>
      </c>
      <c r="E113">
        <f>Source!FS468</f>
        <v>0</v>
      </c>
      <c r="F113" t="str">
        <f>Source!F468</f>
        <v>1.21-5-1266</v>
      </c>
      <c r="G113" t="str">
        <f>Source!G468</f>
        <v>Выключатели скрытой установки, серия "Селена", напряжение 250 В, номинальный ток 10 А, типа С110-395, одноклавишный, со светоиндикацией (16А,220В,ip20)</v>
      </c>
      <c r="H113" t="str">
        <f>Source!H468</f>
        <v>шт.</v>
      </c>
      <c r="I113">
        <f>Source!I468</f>
        <v>2</v>
      </c>
      <c r="J113">
        <v>1</v>
      </c>
      <c r="K113">
        <f>ROUND(Source!AC468, 6)</f>
        <v>13.57</v>
      </c>
      <c r="L113">
        <f t="shared" si="8"/>
        <v>27.14</v>
      </c>
      <c r="M113">
        <f>ROUND(Source!AC468*IF(Source!BC468&lt;&gt; 0, Source!BC468, 1), 6)</f>
        <v>65.271699999999996</v>
      </c>
      <c r="N113">
        <f t="shared" si="9"/>
        <v>130.54</v>
      </c>
      <c r="O113">
        <f>Source!GF468</f>
        <v>-1203482581</v>
      </c>
      <c r="P113">
        <v>-1377505073</v>
      </c>
      <c r="Q113">
        <v>1087357201</v>
      </c>
    </row>
    <row r="114" spans="1:17" x14ac:dyDescent="0.2">
      <c r="A114">
        <f>Source!A470</f>
        <v>18</v>
      </c>
      <c r="C114">
        <v>3</v>
      </c>
      <c r="D114">
        <f>Source!BI470</f>
        <v>2</v>
      </c>
      <c r="E114">
        <f>Source!FS470</f>
        <v>0</v>
      </c>
      <c r="F114" t="str">
        <f>Source!F470</f>
        <v>1.21-5-192</v>
      </c>
      <c r="G114" t="str">
        <f>Source!G470</f>
        <v>Коробки для установки выключателей, переключателей и штепсельных розеток при скрытой электропроводке, тип КУВ-1М УХЛЗ</v>
      </c>
      <c r="H114" t="str">
        <f>Source!H470</f>
        <v>1000 шт.</v>
      </c>
      <c r="I114">
        <f>Source!I470</f>
        <v>2E-3</v>
      </c>
      <c r="J114">
        <v>1</v>
      </c>
      <c r="K114">
        <f>ROUND(Source!AC470, 6)</f>
        <v>3907.01</v>
      </c>
      <c r="L114">
        <f t="shared" si="8"/>
        <v>7.81</v>
      </c>
      <c r="M114">
        <f>ROUND(Source!AC470*IF(Source!BC470&lt;&gt; 0, Source!BC470, 1), 6)</f>
        <v>7735.8797999999997</v>
      </c>
      <c r="N114">
        <f t="shared" si="9"/>
        <v>15.47</v>
      </c>
      <c r="O114">
        <f>Source!GF470</f>
        <v>-985284414</v>
      </c>
      <c r="P114">
        <v>-975679094</v>
      </c>
      <c r="Q114">
        <v>1327521621</v>
      </c>
    </row>
    <row r="115" spans="1:17" x14ac:dyDescent="0.2">
      <c r="A115">
        <f>Source!A474</f>
        <v>18</v>
      </c>
      <c r="C115">
        <v>3</v>
      </c>
      <c r="D115">
        <f>Source!BI474</f>
        <v>2</v>
      </c>
      <c r="E115">
        <f>Source!FS474</f>
        <v>0</v>
      </c>
      <c r="F115" t="str">
        <f>Source!F474</f>
        <v>1.22-1-106</v>
      </c>
      <c r="G115" t="str">
        <f>Source!G474</f>
        <v>Светильники с лампами накаливания, потолочные, степень защиты IP40, с опаловым рассеивателем, артикул RKL 2х60</v>
      </c>
      <c r="H115" t="str">
        <f>Source!H474</f>
        <v>шт.</v>
      </c>
      <c r="I115">
        <f>Source!I474</f>
        <v>2</v>
      </c>
      <c r="J115">
        <v>1</v>
      </c>
      <c r="K115">
        <f>ROUND(Source!AC474, 6)</f>
        <v>481.23</v>
      </c>
      <c r="L115">
        <f t="shared" si="8"/>
        <v>962.46</v>
      </c>
      <c r="M115">
        <f>ROUND(Source!AC474*IF(Source!BC474&lt;&gt; 0, Source!BC474, 1), 6)</f>
        <v>1871.9847</v>
      </c>
      <c r="N115">
        <f t="shared" si="9"/>
        <v>3743.97</v>
      </c>
      <c r="O115">
        <f>Source!GF474</f>
        <v>-780789268</v>
      </c>
      <c r="P115">
        <v>832923720</v>
      </c>
      <c r="Q115">
        <v>-2049050124</v>
      </c>
    </row>
    <row r="116" spans="1:17" x14ac:dyDescent="0.2">
      <c r="A116">
        <f>Source!A478</f>
        <v>18</v>
      </c>
      <c r="C116">
        <v>3</v>
      </c>
      <c r="D116">
        <f>Source!BI478</f>
        <v>2</v>
      </c>
      <c r="E116">
        <f>Source!FS478</f>
        <v>0</v>
      </c>
      <c r="F116" t="str">
        <f>Source!F478</f>
        <v>1.22-3-203</v>
      </c>
      <c r="G116" t="str">
        <f>Source!G478</f>
        <v>Светильник консольный потолочный светодиодный, кривая силы света широкая осевая, мощность 80 Вт, степень защиты IP65, габаритные размеры 425х221х155 мм, для наружной установки</v>
      </c>
      <c r="H116" t="str">
        <f>Source!H478</f>
        <v>шт.</v>
      </c>
      <c r="I116">
        <f>Source!I478</f>
        <v>1</v>
      </c>
      <c r="J116">
        <v>1</v>
      </c>
      <c r="K116">
        <f>ROUND(Source!AC478, 6)</f>
        <v>4721.68</v>
      </c>
      <c r="L116">
        <f t="shared" si="8"/>
        <v>4721.68</v>
      </c>
      <c r="M116">
        <f>ROUND(Source!AC478*IF(Source!BC478&lt;&gt; 0, Source!BC478, 1), 6)</f>
        <v>10907.0808</v>
      </c>
      <c r="N116">
        <f t="shared" si="9"/>
        <v>10907.08</v>
      </c>
      <c r="O116">
        <f>Source!GF478</f>
        <v>88848191</v>
      </c>
      <c r="P116">
        <v>556317315</v>
      </c>
      <c r="Q116">
        <v>355552412</v>
      </c>
    </row>
    <row r="117" spans="1:17" x14ac:dyDescent="0.2">
      <c r="A117">
        <f>Source!A480</f>
        <v>18</v>
      </c>
      <c r="C117">
        <v>3</v>
      </c>
      <c r="D117">
        <f>Source!BI480</f>
        <v>2</v>
      </c>
      <c r="E117">
        <f>Source!FS480</f>
        <v>0</v>
      </c>
      <c r="F117" t="str">
        <f>Source!F480</f>
        <v>1.21-5-1007</v>
      </c>
      <c r="G117" t="str">
        <f>Source!G480</f>
        <v>Фотовыключатели, тип ФР-7Н УХЛ, фотореле</v>
      </c>
      <c r="H117" t="str">
        <f>Source!H480</f>
        <v>шт.</v>
      </c>
      <c r="I117">
        <f>Source!I480</f>
        <v>1</v>
      </c>
      <c r="J117">
        <v>1</v>
      </c>
      <c r="K117">
        <f>ROUND(Source!AC480, 6)</f>
        <v>193.54</v>
      </c>
      <c r="L117">
        <f t="shared" si="8"/>
        <v>193.54</v>
      </c>
      <c r="M117">
        <f>ROUND(Source!AC480*IF(Source!BC480&lt;&gt; 0, Source!BC480, 1), 6)</f>
        <v>1006.408</v>
      </c>
      <c r="N117">
        <f t="shared" si="9"/>
        <v>1006.41</v>
      </c>
      <c r="O117">
        <f>Source!GF480</f>
        <v>754547905</v>
      </c>
      <c r="P117">
        <v>-579973189</v>
      </c>
      <c r="Q117">
        <v>1132645061</v>
      </c>
    </row>
    <row r="118" spans="1:17" x14ac:dyDescent="0.2">
      <c r="A118">
        <f>Source!A540</f>
        <v>4</v>
      </c>
      <c r="B118">
        <v>540</v>
      </c>
      <c r="G118" t="str">
        <f>Source!G540</f>
        <v>Оборудование</v>
      </c>
    </row>
    <row r="119" spans="1:17" x14ac:dyDescent="0.2">
      <c r="A119">
        <f>Source!A545</f>
        <v>17</v>
      </c>
      <c r="C119">
        <v>5</v>
      </c>
      <c r="D119">
        <f>Source!BI545</f>
        <v>3</v>
      </c>
      <c r="E119">
        <f>Source!FS545</f>
        <v>0</v>
      </c>
      <c r="F119" t="str">
        <f>Source!F545</f>
        <v>цена поставщиеп</v>
      </c>
      <c r="G119" t="str">
        <f>Source!G545</f>
        <v>Тактильно-звуковая мнемосхема для помещения</v>
      </c>
      <c r="H119" t="str">
        <f>Source!H545</f>
        <v>шт.</v>
      </c>
      <c r="I119">
        <f>Source!I545</f>
        <v>1</v>
      </c>
      <c r="J119">
        <v>1</v>
      </c>
      <c r="K119">
        <f>ROUND(Source!AC545, 6)</f>
        <v>46264.97</v>
      </c>
      <c r="L119">
        <f>ROUND(K119*I119, 2)</f>
        <v>46264.97</v>
      </c>
      <c r="M119">
        <f>ROUND(Source!AC545*IF(Source!BC545&lt;&gt; 0, Source!BC545, 1), 6)</f>
        <v>192924.92490000001</v>
      </c>
      <c r="N119">
        <f>ROUND(M119*I119, 2)</f>
        <v>192924.92</v>
      </c>
      <c r="O119">
        <f>Source!GF545</f>
        <v>-646818213</v>
      </c>
      <c r="P119">
        <v>-1387373796</v>
      </c>
      <c r="Q119">
        <v>2086674124</v>
      </c>
    </row>
    <row r="120" spans="1:17" x14ac:dyDescent="0.2">
      <c r="A120">
        <f>Source!A547</f>
        <v>17</v>
      </c>
      <c r="C120">
        <v>5</v>
      </c>
      <c r="D120">
        <f>Source!BI547</f>
        <v>3</v>
      </c>
      <c r="E120">
        <f>Source!FS547</f>
        <v>0</v>
      </c>
      <c r="F120" t="str">
        <f>Source!F547</f>
        <v>цена поставщика</v>
      </c>
      <c r="G120" t="str">
        <f>Source!G547</f>
        <v>GC-0611W2 Сигнальная лампа</v>
      </c>
      <c r="H120" t="str">
        <f>Source!H547</f>
        <v>шт.</v>
      </c>
      <c r="I120">
        <f>Source!I547</f>
        <v>1</v>
      </c>
      <c r="J120">
        <v>1</v>
      </c>
      <c r="K120">
        <f>ROUND(Source!AC547, 6)</f>
        <v>463.71</v>
      </c>
      <c r="L120">
        <f>ROUND(K120*I120, 2)</f>
        <v>463.71</v>
      </c>
      <c r="M120">
        <f>ROUND(Source!AC547*IF(Source!BC547&lt;&gt; 0, Source!BC547, 1), 6)</f>
        <v>1933.6706999999999</v>
      </c>
      <c r="N120">
        <f>ROUND(M120*I120, 2)</f>
        <v>1933.67</v>
      </c>
      <c r="O120">
        <f>Source!GF547</f>
        <v>881521822</v>
      </c>
      <c r="P120">
        <v>-471946273</v>
      </c>
      <c r="Q120">
        <v>-134010781</v>
      </c>
    </row>
    <row r="121" spans="1:17" x14ac:dyDescent="0.2">
      <c r="A121">
        <f>Source!A549</f>
        <v>17</v>
      </c>
      <c r="C121">
        <v>5</v>
      </c>
      <c r="D121">
        <f>Source!BI549</f>
        <v>3</v>
      </c>
      <c r="E121">
        <f>Source!FS549</f>
        <v>0</v>
      </c>
      <c r="F121" t="str">
        <f>Source!F549</f>
        <v>цена поставщика</v>
      </c>
      <c r="G121" t="str">
        <f>Source!G549</f>
        <v>MP-413W8 Влагозащищенная радиокнопка вызова</v>
      </c>
      <c r="H121" t="str">
        <f>Source!H549</f>
        <v>шт.</v>
      </c>
      <c r="I121">
        <f>Source!I549</f>
        <v>2</v>
      </c>
      <c r="J121">
        <v>1</v>
      </c>
      <c r="K121">
        <f>ROUND(Source!AC549, 6)</f>
        <v>620.25</v>
      </c>
      <c r="L121">
        <f>ROUND(K121*I121, 2)</f>
        <v>1240.5</v>
      </c>
      <c r="M121">
        <f>ROUND(Source!AC549*IF(Source!BC549&lt;&gt; 0, Source!BC549, 1), 6)</f>
        <v>2586.4425000000001</v>
      </c>
      <c r="N121">
        <f>ROUND(M121*I121, 2)</f>
        <v>5172.8900000000003</v>
      </c>
      <c r="O121">
        <f>Source!GF549</f>
        <v>-733173380</v>
      </c>
      <c r="P121">
        <v>-1354831574</v>
      </c>
      <c r="Q121">
        <v>-1124013166</v>
      </c>
    </row>
    <row r="122" spans="1:17" x14ac:dyDescent="0.2">
      <c r="A122">
        <f>Source!A551</f>
        <v>17</v>
      </c>
      <c r="C122">
        <v>5</v>
      </c>
      <c r="D122">
        <f>Source!BI551</f>
        <v>3</v>
      </c>
      <c r="E122">
        <f>Source!FS551</f>
        <v>0</v>
      </c>
      <c r="F122" t="str">
        <f>Source!F551</f>
        <v>цена поставщика</v>
      </c>
      <c r="G122" t="str">
        <f>Source!G551</f>
        <v>MP-821W1 приемник</v>
      </c>
      <c r="H122" t="str">
        <f>Source!H551</f>
        <v>шт.</v>
      </c>
      <c r="I122">
        <f>Source!I551</f>
        <v>1</v>
      </c>
      <c r="J122">
        <v>1</v>
      </c>
      <c r="K122">
        <f>ROUND(Source!AC551, 6)</f>
        <v>751.93</v>
      </c>
      <c r="L122">
        <f>ROUND(K122*I122, 2)</f>
        <v>751.93</v>
      </c>
      <c r="M122">
        <f>ROUND(Source!AC551*IF(Source!BC551&lt;&gt; 0, Source!BC551, 1), 6)</f>
        <v>3135.5481</v>
      </c>
      <c r="N122">
        <f>ROUND(M122*I122, 2)</f>
        <v>3135.55</v>
      </c>
      <c r="O122">
        <f>Source!GF551</f>
        <v>-1710009892</v>
      </c>
      <c r="P122">
        <v>1688340008</v>
      </c>
      <c r="Q122">
        <v>624230467</v>
      </c>
    </row>
    <row r="123" spans="1:17" x14ac:dyDescent="0.2">
      <c r="A123">
        <f>Source!A553</f>
        <v>17</v>
      </c>
      <c r="C123">
        <v>5</v>
      </c>
      <c r="D123">
        <f>Source!BI553</f>
        <v>3</v>
      </c>
      <c r="E123">
        <f>Source!FS553</f>
        <v>0</v>
      </c>
      <c r="F123" t="str">
        <f>Source!F553</f>
        <v>цена поставщика</v>
      </c>
      <c r="G123" t="str">
        <f>Source!G553</f>
        <v>Свето-звуковой маяк "Привод-3", датчик температуры, пульт управления, активация по датчику движения, радиомодуль</v>
      </c>
      <c r="H123" t="str">
        <f>Source!H553</f>
        <v>шт.</v>
      </c>
      <c r="I123">
        <f>Source!I553</f>
        <v>1</v>
      </c>
      <c r="J123">
        <v>1</v>
      </c>
      <c r="K123">
        <f>ROUND(Source!AC553, 6)</f>
        <v>10679.5</v>
      </c>
      <c r="L123">
        <f>ROUND(K123*I123, 2)</f>
        <v>10679.5</v>
      </c>
      <c r="M123">
        <f>ROUND(Source!AC553*IF(Source!BC553&lt;&gt; 0, Source!BC553, 1), 6)</f>
        <v>44533.514999999999</v>
      </c>
      <c r="N123">
        <f>ROUND(M123*I123, 2)</f>
        <v>44533.52</v>
      </c>
      <c r="O123">
        <f>Source!GF553</f>
        <v>-499424729</v>
      </c>
      <c r="P123">
        <v>589155021</v>
      </c>
      <c r="Q123">
        <v>-87655615</v>
      </c>
    </row>
    <row r="124" spans="1:17" x14ac:dyDescent="0.2">
      <c r="A124">
        <f>Source!A584</f>
        <v>4</v>
      </c>
      <c r="B124">
        <v>584</v>
      </c>
      <c r="G124" t="str">
        <f>Source!G584</f>
        <v>Прочие работы</v>
      </c>
    </row>
    <row r="125" spans="1:17" x14ac:dyDescent="0.2">
      <c r="A125">
        <v>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Q168"/>
  <sheetViews>
    <sheetView workbookViewId="0"/>
  </sheetViews>
  <sheetFormatPr defaultRowHeight="12.75" x14ac:dyDescent="0.2"/>
  <cols>
    <col min="1" max="1" width="12.7109375" customWidth="1"/>
    <col min="2" max="2" width="40.7109375" customWidth="1"/>
    <col min="3" max="6" width="12.7109375" customWidth="1"/>
    <col min="15" max="15" width="103.7109375" hidden="1" customWidth="1"/>
    <col min="16" max="17" width="0" hidden="1" customWidth="1"/>
  </cols>
  <sheetData>
    <row r="2" spans="1:17" ht="16.5" x14ac:dyDescent="0.2">
      <c r="A2" s="81" t="s">
        <v>955</v>
      </c>
      <c r="B2" s="82"/>
      <c r="C2" s="82"/>
      <c r="D2" s="82"/>
      <c r="E2" s="82"/>
      <c r="F2" s="82"/>
    </row>
    <row r="3" spans="1:17" ht="16.5" x14ac:dyDescent="0.2">
      <c r="A3" s="81" t="str">
        <f>CONCATENATE("Объект: ",IF(Source!G653&lt;&gt;"Новый объект", Source!G653, ""))</f>
        <v>Объект: Общестроительные работы ДГП №150 ф2</v>
      </c>
      <c r="B3" s="82"/>
      <c r="C3" s="82"/>
      <c r="D3" s="82"/>
      <c r="E3" s="82"/>
      <c r="F3" s="82"/>
      <c r="O3" s="51" t="s">
        <v>956</v>
      </c>
    </row>
    <row r="4" spans="1:17" x14ac:dyDescent="0.2">
      <c r="A4" s="85" t="s">
        <v>957</v>
      </c>
      <c r="B4" s="85" t="s">
        <v>958</v>
      </c>
      <c r="C4" s="85" t="s">
        <v>881</v>
      </c>
      <c r="D4" s="85" t="s">
        <v>959</v>
      </c>
      <c r="E4" s="88" t="s">
        <v>960</v>
      </c>
      <c r="F4" s="89"/>
    </row>
    <row r="5" spans="1:17" x14ac:dyDescent="0.2">
      <c r="A5" s="86"/>
      <c r="B5" s="86"/>
      <c r="C5" s="86"/>
      <c r="D5" s="86"/>
      <c r="E5" s="90"/>
      <c r="F5" s="91"/>
    </row>
    <row r="6" spans="1:17" ht="14.25" x14ac:dyDescent="0.2">
      <c r="A6" s="87"/>
      <c r="B6" s="87"/>
      <c r="C6" s="87"/>
      <c r="D6" s="87"/>
      <c r="E6" s="21" t="s">
        <v>961</v>
      </c>
      <c r="F6" s="21" t="s">
        <v>962</v>
      </c>
    </row>
    <row r="7" spans="1:17" ht="14.25" x14ac:dyDescent="0.2">
      <c r="A7" s="21">
        <v>1</v>
      </c>
      <c r="B7" s="21">
        <v>2</v>
      </c>
      <c r="C7" s="21">
        <v>3</v>
      </c>
      <c r="D7" s="21">
        <v>4</v>
      </c>
      <c r="E7" s="21">
        <v>5</v>
      </c>
      <c r="F7" s="21">
        <v>6</v>
      </c>
    </row>
    <row r="8" spans="1:17" ht="16.5" x14ac:dyDescent="0.2">
      <c r="A8" s="81" t="str">
        <f>CONCATENATE("Локальная смета: ",IF(Source!G22&lt;&gt;"Новая локальная смета", Source!G22, ""))</f>
        <v>Локальная смета: Смета на общестроительные работы</v>
      </c>
      <c r="B8" s="82"/>
      <c r="C8" s="82"/>
      <c r="D8" s="82"/>
      <c r="E8" s="82"/>
      <c r="F8" s="82"/>
    </row>
    <row r="9" spans="1:17" ht="16.5" x14ac:dyDescent="0.2">
      <c r="A9" s="81" t="str">
        <f>CONCATENATE("Раздел: ",IF(Source!G26&lt;&gt;"Новый раздел", Source!G26, ""))</f>
        <v>Раздел: Наружные работы</v>
      </c>
      <c r="B9" s="82"/>
      <c r="C9" s="82"/>
      <c r="D9" s="82"/>
      <c r="E9" s="82"/>
      <c r="F9" s="82"/>
    </row>
    <row r="10" spans="1:17" ht="14.25" x14ac:dyDescent="0.2">
      <c r="A10" s="83" t="s">
        <v>963</v>
      </c>
      <c r="B10" s="84"/>
      <c r="C10" s="84"/>
      <c r="D10" s="84"/>
      <c r="E10" s="84"/>
      <c r="F10" s="84"/>
    </row>
    <row r="11" spans="1:17" ht="14.25" x14ac:dyDescent="0.2">
      <c r="A11" s="52" t="s">
        <v>273</v>
      </c>
      <c r="B11" s="44" t="s">
        <v>274</v>
      </c>
      <c r="C11" s="44" t="s">
        <v>80</v>
      </c>
      <c r="D11" s="45">
        <f>ROUND(SUMIF(RV_DATA!Q8:'RV_DATA'!Q16, 2045990491, RV_DATA!I8:'RV_DATA'!I16), 6)</f>
        <v>1.3160000000000001</v>
      </c>
      <c r="E11" s="53">
        <f>ROUND(SmtRes!AA59, 6)</f>
        <v>29.98</v>
      </c>
      <c r="F11" s="53">
        <f>ROUND(SUMIF(RV_DATA!Q8:'RV_DATA'!Q16, 2045990491, RV_DATA!N8:'RV_DATA'!N16), 6)</f>
        <v>39.450000000000003</v>
      </c>
      <c r="Q11">
        <v>3</v>
      </c>
    </row>
    <row r="12" spans="1:17" ht="28.5" x14ac:dyDescent="0.2">
      <c r="A12" s="52" t="s">
        <v>666</v>
      </c>
      <c r="B12" s="44" t="s">
        <v>668</v>
      </c>
      <c r="C12" s="44" t="s">
        <v>29</v>
      </c>
      <c r="D12" s="45">
        <f>ROUND(SUMIF(RV_DATA!Q8:'RV_DATA'!Q16, -161349360, RV_DATA!I8:'RV_DATA'!I16), 6)</f>
        <v>1.56E-4</v>
      </c>
      <c r="E12" s="53">
        <f>ROUND(SmtRes!AA71, 6)</f>
        <v>86373.64</v>
      </c>
      <c r="F12" s="53">
        <f>ROUND(SUMIF(RV_DATA!Q8:'RV_DATA'!Q16, -161349360, RV_DATA!N8:'RV_DATA'!N16), 6)</f>
        <v>13.5</v>
      </c>
      <c r="Q12">
        <v>3</v>
      </c>
    </row>
    <row r="13" spans="1:17" ht="14.25" x14ac:dyDescent="0.2">
      <c r="A13" s="52" t="s">
        <v>654</v>
      </c>
      <c r="B13" s="44" t="s">
        <v>656</v>
      </c>
      <c r="C13" s="44" t="s">
        <v>29</v>
      </c>
      <c r="D13" s="45">
        <f>ROUND(SUMIF(RV_DATA!Q8:'RV_DATA'!Q16, -412094702, RV_DATA!I8:'RV_DATA'!I16), 6)</f>
        <v>7.7640000000000001E-3</v>
      </c>
      <c r="E13" s="53">
        <f>ROUND(SmtRes!AA41, 6)</f>
        <v>12955</v>
      </c>
      <c r="F13" s="53">
        <f>ROUND(SUMIF(RV_DATA!Q8:'RV_DATA'!Q16, -412094702, RV_DATA!N8:'RV_DATA'!N16), 6)</f>
        <v>100.58</v>
      </c>
      <c r="Q13">
        <v>3</v>
      </c>
    </row>
    <row r="14" spans="1:17" ht="28.5" x14ac:dyDescent="0.2">
      <c r="A14" s="52" t="s">
        <v>59</v>
      </c>
      <c r="B14" s="44" t="s">
        <v>60</v>
      </c>
      <c r="C14" s="44" t="s">
        <v>29</v>
      </c>
      <c r="D14" s="45">
        <f>ROUND(SUMIF(RV_DATA!Q8:'RV_DATA'!Q16, -240098630, RV_DATA!I8:'RV_DATA'!I16), 6)</f>
        <v>3.7189559999999999</v>
      </c>
      <c r="E14" s="53">
        <f>ROUND(Source!AC41*IF(Source!BC41&lt;&gt; 0, Source!BC41, 1), 6)</f>
        <v>2580.5300000000002</v>
      </c>
      <c r="F14" s="53">
        <f>ROUND(SUMIF(RV_DATA!Q8:'RV_DATA'!Q16, -240098630, RV_DATA!N8:'RV_DATA'!N16), 6)</f>
        <v>9596.8799999999992</v>
      </c>
      <c r="Q14">
        <v>3</v>
      </c>
    </row>
    <row r="15" spans="1:17" ht="14.25" x14ac:dyDescent="0.2">
      <c r="A15" s="52" t="s">
        <v>78</v>
      </c>
      <c r="B15" s="44" t="s">
        <v>79</v>
      </c>
      <c r="C15" s="44" t="s">
        <v>80</v>
      </c>
      <c r="D15" s="45">
        <f>ROUND(SUMIF(RV_DATA!Q8:'RV_DATA'!Q16, -530123611, RV_DATA!I8:'RV_DATA'!I16), 6)</f>
        <v>1.974</v>
      </c>
      <c r="E15" s="53">
        <f>ROUND(Source!AC49*IF(Source!BC49&lt;&gt; 0, Source!BC49, 1), 6)</f>
        <v>682.80600000000004</v>
      </c>
      <c r="F15" s="53">
        <f>ROUND(SUMIF(RV_DATA!Q8:'RV_DATA'!Q16, -530123611, RV_DATA!N8:'RV_DATA'!N16), 6)</f>
        <v>1347.86</v>
      </c>
      <c r="Q15">
        <v>3</v>
      </c>
    </row>
    <row r="16" spans="1:17" ht="28.5" x14ac:dyDescent="0.2">
      <c r="A16" s="52" t="s">
        <v>87</v>
      </c>
      <c r="B16" s="44" t="s">
        <v>88</v>
      </c>
      <c r="C16" s="44" t="s">
        <v>89</v>
      </c>
      <c r="D16" s="45">
        <f>ROUND(SUMIF(RV_DATA!Q8:'RV_DATA'!Q16, -1119444336, RV_DATA!I8:'RV_DATA'!I16), 6)</f>
        <v>0.52639999999999998</v>
      </c>
      <c r="E16" s="53">
        <f>ROUND(Source!AC53*IF(Source!BC53&lt;&gt; 0, Source!BC53, 1), 6)</f>
        <v>139.03200000000001</v>
      </c>
      <c r="F16" s="53">
        <f>ROUND(SUMIF(RV_DATA!Q8:'RV_DATA'!Q16, -1119444336, RV_DATA!N8:'RV_DATA'!N16), 6)</f>
        <v>73.19</v>
      </c>
      <c r="Q16">
        <v>3</v>
      </c>
    </row>
    <row r="17" spans="1:17" ht="42.75" x14ac:dyDescent="0.2">
      <c r="A17" s="52" t="s">
        <v>99</v>
      </c>
      <c r="B17" s="44" t="s">
        <v>100</v>
      </c>
      <c r="C17" s="44" t="s">
        <v>101</v>
      </c>
      <c r="D17" s="45">
        <f>ROUND(SUMIF(RV_DATA!Q8:'RV_DATA'!Q16, -648000254, RV_DATA!I8:'RV_DATA'!I16), 6)</f>
        <v>5.21</v>
      </c>
      <c r="E17" s="53">
        <f>ROUND(Source!AC57*IF(Source!BC57&lt;&gt; 0, Source!BC57, 1), 6)</f>
        <v>634.61580000000004</v>
      </c>
      <c r="F17" s="53">
        <f>ROUND(SUMIF(RV_DATA!Q8:'RV_DATA'!Q16, -648000254, RV_DATA!N8:'RV_DATA'!N16), 6)</f>
        <v>3306.35</v>
      </c>
      <c r="Q17">
        <v>3</v>
      </c>
    </row>
    <row r="18" spans="1:17" ht="14.25" x14ac:dyDescent="0.2">
      <c r="A18" s="52" t="s">
        <v>27</v>
      </c>
      <c r="B18" s="44" t="s">
        <v>28</v>
      </c>
      <c r="C18" s="44" t="s">
        <v>29</v>
      </c>
      <c r="D18" s="45">
        <f>ROUND(SUMIF(RV_DATA!Q8:'RV_DATA'!Q16, -1963567268, RV_DATA!I8:'RV_DATA'!I16), 6)</f>
        <v>3.0000000000000001E-3</v>
      </c>
      <c r="E18" s="53">
        <f>ROUND(Source!AC31*IF(Source!BC31&lt;&gt; 0, Source!BC31, 1), 6)</f>
        <v>0</v>
      </c>
      <c r="F18" s="53">
        <f>ROUND(SUMIF(RV_DATA!Q8:'RV_DATA'!Q16, -1963567268, RV_DATA!N8:'RV_DATA'!N16), 6)</f>
        <v>0</v>
      </c>
      <c r="Q18">
        <v>3</v>
      </c>
    </row>
    <row r="19" spans="1:17" ht="15" x14ac:dyDescent="0.25">
      <c r="A19" s="76" t="s">
        <v>964</v>
      </c>
      <c r="B19" s="76"/>
      <c r="C19" s="76"/>
      <c r="D19" s="76"/>
      <c r="E19" s="77">
        <f>SUMIF(Q11:Q18, 3, F11:F18)</f>
        <v>14477.810000000001</v>
      </c>
      <c r="F19" s="76"/>
    </row>
    <row r="20" spans="1:17" ht="16.5" x14ac:dyDescent="0.2">
      <c r="A20" s="81" t="str">
        <f>CONCATENATE("Раздел: ",IF(Source!G94&lt;&gt;"Новый раздел", Source!G94, ""))</f>
        <v>Раздел: Демонтажные работы</v>
      </c>
      <c r="B20" s="82"/>
      <c r="C20" s="82"/>
      <c r="D20" s="82"/>
      <c r="E20" s="82"/>
      <c r="F20" s="82"/>
    </row>
    <row r="21" spans="1:17" ht="16.5" x14ac:dyDescent="0.2">
      <c r="A21" s="81" t="str">
        <f>CONCATENATE("Подраздел: ",IF(Source!G98&lt;&gt;"Новый подраздел", Source!G98, ""))</f>
        <v>Подраздел: Входная группа</v>
      </c>
      <c r="B21" s="82"/>
      <c r="C21" s="82"/>
      <c r="D21" s="82"/>
      <c r="E21" s="82"/>
      <c r="F21" s="82"/>
    </row>
    <row r="22" spans="1:17" ht="14.25" x14ac:dyDescent="0.2">
      <c r="A22" s="83" t="s">
        <v>963</v>
      </c>
      <c r="B22" s="84"/>
      <c r="C22" s="84"/>
      <c r="D22" s="84"/>
      <c r="E22" s="84"/>
      <c r="F22" s="84"/>
    </row>
    <row r="23" spans="1:17" ht="28.5" x14ac:dyDescent="0.2">
      <c r="A23" s="52" t="s">
        <v>666</v>
      </c>
      <c r="B23" s="44" t="s">
        <v>668</v>
      </c>
      <c r="C23" s="44" t="s">
        <v>29</v>
      </c>
      <c r="D23" s="45">
        <f>ROUND(SUMIF(RV_DATA!Q19:'RV_DATA'!Q25, -161349360, RV_DATA!I19:'RV_DATA'!I25), 6)</f>
        <v>4.1999999999999998E-5</v>
      </c>
      <c r="E23" s="53">
        <f>ROUND(SmtRes!AA88, 6)</f>
        <v>86373.64</v>
      </c>
      <c r="F23" s="53">
        <f>ROUND(SUMIF(RV_DATA!Q19:'RV_DATA'!Q25, -161349360, RV_DATA!N19:'RV_DATA'!N25), 6)</f>
        <v>3.63</v>
      </c>
      <c r="Q23">
        <v>3</v>
      </c>
    </row>
    <row r="24" spans="1:17" ht="14.25" x14ac:dyDescent="0.2">
      <c r="A24" s="52" t="s">
        <v>677</v>
      </c>
      <c r="B24" s="44" t="s">
        <v>679</v>
      </c>
      <c r="C24" s="44" t="s">
        <v>29</v>
      </c>
      <c r="D24" s="45">
        <f>ROUND(SUMIF(RV_DATA!Q19:'RV_DATA'!Q25, 1023048722, RV_DATA!I19:'RV_DATA'!I25), 6)</f>
        <v>9.0000000000000006E-5</v>
      </c>
      <c r="E24" s="53">
        <f>ROUND(SmtRes!AA108, 6)</f>
        <v>46993.32</v>
      </c>
      <c r="F24" s="53">
        <f>ROUND(SUMIF(RV_DATA!Q19:'RV_DATA'!Q25, 1023048722, RV_DATA!N19:'RV_DATA'!N25), 6)</f>
        <v>4.2300000000000004</v>
      </c>
      <c r="Q24">
        <v>3</v>
      </c>
    </row>
    <row r="25" spans="1:17" ht="42.75" x14ac:dyDescent="0.2">
      <c r="A25" s="52" t="s">
        <v>680</v>
      </c>
      <c r="B25" s="44" t="s">
        <v>682</v>
      </c>
      <c r="C25" s="44" t="s">
        <v>29</v>
      </c>
      <c r="D25" s="45">
        <f>ROUND(SUMIF(RV_DATA!Q19:'RV_DATA'!Q25, 1919735130, RV_DATA!I19:'RV_DATA'!I25), 6)</f>
        <v>1.08E-3</v>
      </c>
      <c r="E25" s="53">
        <f>ROUND(SmtRes!AA109, 6)</f>
        <v>40055.949999999997</v>
      </c>
      <c r="F25" s="53">
        <f>ROUND(SUMIF(RV_DATA!Q19:'RV_DATA'!Q25, 1919735130, RV_DATA!N19:'RV_DATA'!N25), 6)</f>
        <v>43.26</v>
      </c>
      <c r="Q25">
        <v>3</v>
      </c>
    </row>
    <row r="26" spans="1:17" ht="14.25" x14ac:dyDescent="0.2">
      <c r="A26" s="52" t="s">
        <v>27</v>
      </c>
      <c r="B26" s="44" t="s">
        <v>50</v>
      </c>
      <c r="C26" s="44" t="s">
        <v>29</v>
      </c>
      <c r="D26" s="45">
        <f>ROUND(SUMIF(RV_DATA!Q19:'RV_DATA'!Q25, 557837154, RV_DATA!I19:'RV_DATA'!I25), 6)</f>
        <v>0.16</v>
      </c>
      <c r="E26" s="53">
        <f>ROUND(Source!AC103*IF(Source!BC103&lt;&gt; 0, Source!BC103, 1), 6)</f>
        <v>0</v>
      </c>
      <c r="F26" s="53">
        <f>ROUND(SUMIF(RV_DATA!Q19:'RV_DATA'!Q25, 557837154, RV_DATA!N19:'RV_DATA'!N25), 6)</f>
        <v>0</v>
      </c>
      <c r="Q26">
        <v>3</v>
      </c>
    </row>
    <row r="27" spans="1:17" ht="14.25" x14ac:dyDescent="0.2">
      <c r="A27" s="52" t="s">
        <v>675</v>
      </c>
      <c r="B27" s="44" t="s">
        <v>676</v>
      </c>
      <c r="C27" s="44" t="s">
        <v>632</v>
      </c>
      <c r="D27" s="45">
        <f>ROUND(SUMIF(RV_DATA!Q19:'RV_DATA'!Q25, -1341645062, RV_DATA!I19:'RV_DATA'!I25), 6)</f>
        <v>2.3687999999999998</v>
      </c>
      <c r="E27" s="53">
        <f>ROUND(SmtRes!AA90, 6)</f>
        <v>1</v>
      </c>
      <c r="F27" s="53">
        <f>ROUND(SUMIF(RV_DATA!Q19:'RV_DATA'!Q25, -1341645062, RV_DATA!N19:'RV_DATA'!N25), 6)</f>
        <v>2.37</v>
      </c>
      <c r="Q27">
        <v>3</v>
      </c>
    </row>
    <row r="28" spans="1:17" ht="15" x14ac:dyDescent="0.25">
      <c r="A28" s="76" t="s">
        <v>964</v>
      </c>
      <c r="B28" s="76"/>
      <c r="C28" s="76"/>
      <c r="D28" s="76"/>
      <c r="E28" s="77">
        <f>SUMIF(Q23:Q27, 3, F23:F27)</f>
        <v>53.489999999999995</v>
      </c>
      <c r="F28" s="76"/>
    </row>
    <row r="30" spans="1:17" ht="16.5" x14ac:dyDescent="0.2">
      <c r="A30" s="78" t="str">
        <f>CONCATENATE("Итого по разделу: ",IF(Source!G146&lt;&gt;"Новый раздел", Source!G146, ""))</f>
        <v>Итого по разделу: Демонтажные работы</v>
      </c>
      <c r="B30" s="79"/>
      <c r="C30" s="79"/>
      <c r="D30" s="79"/>
      <c r="E30" s="79"/>
      <c r="F30" s="80"/>
    </row>
    <row r="31" spans="1:17" ht="15" x14ac:dyDescent="0.25">
      <c r="A31" s="76" t="s">
        <v>964</v>
      </c>
      <c r="B31" s="76"/>
      <c r="C31" s="76"/>
      <c r="D31" s="76"/>
      <c r="E31" s="77">
        <f>SUMIF(Q20:Q30, 3, F20:F30)</f>
        <v>53.489999999999995</v>
      </c>
      <c r="F31" s="76"/>
    </row>
    <row r="32" spans="1:17" ht="14.25" hidden="1" customHeight="1" x14ac:dyDescent="0.25">
      <c r="A32" s="76" t="s">
        <v>965</v>
      </c>
      <c r="B32" s="76"/>
      <c r="C32" s="76"/>
      <c r="D32" s="76"/>
      <c r="E32" s="77">
        <f>SUMIF(Q20:Q31, 4, F20:F31)</f>
        <v>0</v>
      </c>
      <c r="F32" s="76"/>
    </row>
    <row r="33" spans="1:17" ht="14.25" hidden="1" customHeight="1" x14ac:dyDescent="0.25">
      <c r="A33" s="76" t="s">
        <v>966</v>
      </c>
      <c r="B33" s="76"/>
      <c r="C33" s="76"/>
      <c r="D33" s="76"/>
      <c r="E33" s="77">
        <f>SUMIF(Q20:Q32, 5, F20:F32)</f>
        <v>0</v>
      </c>
      <c r="F33" s="76"/>
    </row>
    <row r="34" spans="1:17" ht="14.25" hidden="1" customHeight="1" x14ac:dyDescent="0.25">
      <c r="A34" s="76" t="s">
        <v>967</v>
      </c>
      <c r="B34" s="76"/>
      <c r="C34" s="76"/>
      <c r="D34" s="76"/>
      <c r="E34" s="77">
        <f>SUMIF(Q20:Q33, 6, F20:F33)</f>
        <v>0</v>
      </c>
      <c r="F34" s="76"/>
    </row>
    <row r="36" spans="1:17" ht="16.5" x14ac:dyDescent="0.2">
      <c r="A36" s="81" t="str">
        <f>CONCATENATE("Раздел: ",IF(Source!G177&lt;&gt;"Новый раздел", Source!G177, ""))</f>
        <v>Раздел: Монтажные работы</v>
      </c>
      <c r="B36" s="82"/>
      <c r="C36" s="82"/>
      <c r="D36" s="82"/>
      <c r="E36" s="82"/>
      <c r="F36" s="82"/>
    </row>
    <row r="37" spans="1:17" ht="16.5" x14ac:dyDescent="0.2">
      <c r="A37" s="81" t="str">
        <f>CONCATENATE("Подраздел: ",IF(Source!G181&lt;&gt;"Новый подраздел", Source!G181, ""))</f>
        <v>Подраздел: Входная группа</v>
      </c>
      <c r="B37" s="82"/>
      <c r="C37" s="82"/>
      <c r="D37" s="82"/>
      <c r="E37" s="82"/>
      <c r="F37" s="82"/>
    </row>
    <row r="38" spans="1:17" ht="14.25" x14ac:dyDescent="0.2">
      <c r="A38" s="83" t="s">
        <v>963</v>
      </c>
      <c r="B38" s="84"/>
      <c r="C38" s="84"/>
      <c r="D38" s="84"/>
      <c r="E38" s="84"/>
      <c r="F38" s="84"/>
    </row>
    <row r="39" spans="1:17" ht="14.25" x14ac:dyDescent="0.2">
      <c r="A39" s="52" t="s">
        <v>273</v>
      </c>
      <c r="B39" s="44" t="s">
        <v>274</v>
      </c>
      <c r="C39" s="44" t="s">
        <v>80</v>
      </c>
      <c r="D39" s="45">
        <f>ROUND(SUMIF(RV_DATA!Q28:'RV_DATA'!Q61, 2045990491, RV_DATA!I28:'RV_DATA'!I61), 6)</f>
        <v>0.180894</v>
      </c>
      <c r="E39" s="53">
        <f>ROUND(SmtRes!AA117, 6)</f>
        <v>29.98</v>
      </c>
      <c r="F39" s="53">
        <f>ROUND(SUMIF(RV_DATA!Q28:'RV_DATA'!Q61, 2045990491, RV_DATA!N28:'RV_DATA'!N61), 6)</f>
        <v>5.42</v>
      </c>
      <c r="Q39">
        <v>3</v>
      </c>
    </row>
    <row r="40" spans="1:17" ht="14.25" x14ac:dyDescent="0.2">
      <c r="A40" s="52" t="s">
        <v>273</v>
      </c>
      <c r="B40" s="44" t="s">
        <v>274</v>
      </c>
      <c r="C40" s="44" t="s">
        <v>80</v>
      </c>
      <c r="D40" s="45">
        <f>ROUND(SUMIF(RV_DATA!Q28:'RV_DATA'!Q61, 819754372, RV_DATA!I28:'RV_DATA'!I61), 6)</f>
        <v>1.503E-2</v>
      </c>
      <c r="E40" s="53">
        <f>ROUND(Source!AC210*IF(Source!BC210&lt;&gt; 0, Source!BC210, 1), 6)</f>
        <v>29.976800000000001</v>
      </c>
      <c r="F40" s="53">
        <f>ROUND(SUMIF(RV_DATA!Q28:'RV_DATA'!Q61, 819754372, RV_DATA!N28:'RV_DATA'!N61), 6)</f>
        <v>0.45</v>
      </c>
      <c r="Q40">
        <v>3</v>
      </c>
    </row>
    <row r="41" spans="1:17" ht="42.75" x14ac:dyDescent="0.2">
      <c r="A41" s="52" t="s">
        <v>254</v>
      </c>
      <c r="B41" s="44" t="s">
        <v>255</v>
      </c>
      <c r="C41" s="44" t="s">
        <v>29</v>
      </c>
      <c r="D41" s="45">
        <f>ROUND(SUMIF(RV_DATA!Q28:'RV_DATA'!Q61, 1226868324, RV_DATA!I28:'RV_DATA'!I61), 6)</f>
        <v>2.2499999999999999E-2</v>
      </c>
      <c r="E41" s="53">
        <f>ROUND(Source!AC202*IF(Source!BC202&lt;&gt; 0, Source!BC202, 1), 6)</f>
        <v>3356.88</v>
      </c>
      <c r="F41" s="53">
        <f>ROUND(SUMIF(RV_DATA!Q28:'RV_DATA'!Q61, 1226868324, RV_DATA!N28:'RV_DATA'!N61), 6)</f>
        <v>75.53</v>
      </c>
      <c r="Q41">
        <v>3</v>
      </c>
    </row>
    <row r="42" spans="1:17" ht="28.5" x14ac:dyDescent="0.2">
      <c r="A42" s="52" t="s">
        <v>292</v>
      </c>
      <c r="B42" s="44" t="s">
        <v>293</v>
      </c>
      <c r="C42" s="44" t="s">
        <v>29</v>
      </c>
      <c r="D42" s="45">
        <f>ROUND(SUMIF(RV_DATA!Q28:'RV_DATA'!Q61, -2104003906, RV_DATA!I28:'RV_DATA'!I61), 6)</f>
        <v>3.1110000000000001E-3</v>
      </c>
      <c r="E42" s="53">
        <f>ROUND(Source!AC218*IF(Source!BC218&lt;&gt; 0, Source!BC218, 1), 6)</f>
        <v>14311.1152</v>
      </c>
      <c r="F42" s="53">
        <f>ROUND(SUMIF(RV_DATA!Q28:'RV_DATA'!Q61, -2104003906, RV_DATA!N28:'RV_DATA'!N61), 6)</f>
        <v>44.52</v>
      </c>
      <c r="Q42">
        <v>3</v>
      </c>
    </row>
    <row r="43" spans="1:17" ht="28.5" x14ac:dyDescent="0.2">
      <c r="A43" s="52" t="s">
        <v>666</v>
      </c>
      <c r="B43" s="44" t="s">
        <v>668</v>
      </c>
      <c r="C43" s="44" t="s">
        <v>29</v>
      </c>
      <c r="D43" s="45">
        <f>ROUND(SUMIF(RV_DATA!Q28:'RV_DATA'!Q61, -161349360, RV_DATA!I28:'RV_DATA'!I61), 6)</f>
        <v>6.9999999999999994E-5</v>
      </c>
      <c r="E43" s="53">
        <f>ROUND(SmtRes!AA191, 6)</f>
        <v>86373.64</v>
      </c>
      <c r="F43" s="53">
        <f>ROUND(SUMIF(RV_DATA!Q28:'RV_DATA'!Q61, -161349360, RV_DATA!N28:'RV_DATA'!N61), 6)</f>
        <v>6.05</v>
      </c>
      <c r="Q43">
        <v>3</v>
      </c>
    </row>
    <row r="44" spans="1:17" ht="71.25" x14ac:dyDescent="0.2">
      <c r="A44" s="52" t="s">
        <v>243</v>
      </c>
      <c r="B44" s="44" t="s">
        <v>244</v>
      </c>
      <c r="C44" s="44" t="s">
        <v>101</v>
      </c>
      <c r="D44" s="45">
        <f>ROUND(SUMIF(RV_DATA!Q28:'RV_DATA'!Q61, 2077047568, RV_DATA!I28:'RV_DATA'!I61), 6)</f>
        <v>1.8360000000000001</v>
      </c>
      <c r="E44" s="53">
        <f>ROUND(Source!AC198*IF(Source!BC198&lt;&gt; 0, Source!BC198, 1), 6)</f>
        <v>403.04759999999999</v>
      </c>
      <c r="F44" s="53">
        <f>ROUND(SUMIF(RV_DATA!Q28:'RV_DATA'!Q61, 2077047568, RV_DATA!N28:'RV_DATA'!N61), 6)</f>
        <v>740</v>
      </c>
      <c r="Q44">
        <v>3</v>
      </c>
    </row>
    <row r="45" spans="1:17" ht="14.25" x14ac:dyDescent="0.2">
      <c r="A45" s="52" t="s">
        <v>701</v>
      </c>
      <c r="B45" s="44" t="s">
        <v>703</v>
      </c>
      <c r="C45" s="44" t="s">
        <v>704</v>
      </c>
      <c r="D45" s="45">
        <f>ROUND(SUMIF(RV_DATA!Q28:'RV_DATA'!Q61, -522810250, RV_DATA!I28:'RV_DATA'!I61), 6)</f>
        <v>0.78</v>
      </c>
      <c r="E45" s="53">
        <f>ROUND(SmtRes!AA211, 6)</f>
        <v>195.58</v>
      </c>
      <c r="F45" s="53">
        <f>ROUND(SUMIF(RV_DATA!Q28:'RV_DATA'!Q61, -522810250, RV_DATA!N28:'RV_DATA'!N61), 6)</f>
        <v>152.55000000000001</v>
      </c>
      <c r="Q45">
        <v>3</v>
      </c>
    </row>
    <row r="46" spans="1:17" ht="28.5" x14ac:dyDescent="0.2">
      <c r="A46" s="52" t="s">
        <v>692</v>
      </c>
      <c r="B46" s="44" t="s">
        <v>694</v>
      </c>
      <c r="C46" s="44" t="s">
        <v>29</v>
      </c>
      <c r="D46" s="45">
        <f>ROUND(SUMIF(RV_DATA!Q28:'RV_DATA'!Q61, 1463188514, RV_DATA!I28:'RV_DATA'!I61), 6)</f>
        <v>1.8000000000000001E-4</v>
      </c>
      <c r="E46" s="53">
        <f>ROUND(SmtRes!AA144, 6)</f>
        <v>106223.15</v>
      </c>
      <c r="F46" s="53">
        <f>ROUND(SUMIF(RV_DATA!Q28:'RV_DATA'!Q61, 1463188514, RV_DATA!N28:'RV_DATA'!N61), 6)</f>
        <v>19.12</v>
      </c>
      <c r="Q46">
        <v>3</v>
      </c>
    </row>
    <row r="47" spans="1:17" ht="28.5" x14ac:dyDescent="0.2">
      <c r="A47" s="52" t="s">
        <v>723</v>
      </c>
      <c r="B47" s="44" t="s">
        <v>725</v>
      </c>
      <c r="C47" s="44" t="s">
        <v>89</v>
      </c>
      <c r="D47" s="45">
        <f>ROUND(SUMIF(RV_DATA!Q28:'RV_DATA'!Q61, 1368987516, RV_DATA!I28:'RV_DATA'!I61), 6)</f>
        <v>0.06</v>
      </c>
      <c r="E47" s="53">
        <f>ROUND(SmtRes!AA231, 6)</f>
        <v>89.33</v>
      </c>
      <c r="F47" s="53">
        <f>ROUND(SUMIF(RV_DATA!Q28:'RV_DATA'!Q61, 1368987516, RV_DATA!N28:'RV_DATA'!N61), 6)</f>
        <v>5.36</v>
      </c>
      <c r="Q47">
        <v>3</v>
      </c>
    </row>
    <row r="48" spans="1:17" ht="57" x14ac:dyDescent="0.2">
      <c r="A48" s="52" t="s">
        <v>705</v>
      </c>
      <c r="B48" s="44" t="s">
        <v>707</v>
      </c>
      <c r="C48" s="44" t="s">
        <v>704</v>
      </c>
      <c r="D48" s="45">
        <f>ROUND(SUMIF(RV_DATA!Q28:'RV_DATA'!Q61, -2087000677, RV_DATA!I28:'RV_DATA'!I61), 6)</f>
        <v>1.83</v>
      </c>
      <c r="E48" s="53">
        <f>ROUND(SmtRes!AA212, 6)</f>
        <v>462.69</v>
      </c>
      <c r="F48" s="53">
        <f>ROUND(SUMIF(RV_DATA!Q28:'RV_DATA'!Q61, -2087000677, RV_DATA!N28:'RV_DATA'!N61), 6)</f>
        <v>846.72</v>
      </c>
      <c r="Q48">
        <v>3</v>
      </c>
    </row>
    <row r="49" spans="1:17" ht="42.75" x14ac:dyDescent="0.2">
      <c r="A49" s="52" t="s">
        <v>296</v>
      </c>
      <c r="B49" s="44" t="s">
        <v>297</v>
      </c>
      <c r="C49" s="44" t="s">
        <v>29</v>
      </c>
      <c r="D49" s="45">
        <f>ROUND(SUMIF(RV_DATA!Q28:'RV_DATA'!Q61, -1533386396, RV_DATA!I28:'RV_DATA'!I61), 6)</f>
        <v>3.8430000000000001E-3</v>
      </c>
      <c r="E49" s="53">
        <f>ROUND(Source!AC220*IF(Source!BC220&lt;&gt; 0, Source!BC220, 1), 6)</f>
        <v>42132.961799999997</v>
      </c>
      <c r="F49" s="53">
        <f>ROUND(SUMIF(RV_DATA!Q28:'RV_DATA'!Q61, -1533386396, RV_DATA!N28:'RV_DATA'!N61), 6)</f>
        <v>161.91999999999999</v>
      </c>
      <c r="Q49">
        <v>3</v>
      </c>
    </row>
    <row r="50" spans="1:17" ht="42.75" x14ac:dyDescent="0.2">
      <c r="A50" s="52" t="s">
        <v>708</v>
      </c>
      <c r="B50" s="44" t="s">
        <v>710</v>
      </c>
      <c r="C50" s="44" t="s">
        <v>80</v>
      </c>
      <c r="D50" s="45">
        <f>ROUND(SUMIF(RV_DATA!Q28:'RV_DATA'!Q61, 626075820, RV_DATA!I28:'RV_DATA'!I61), 6)</f>
        <v>4.8000000000000001E-4</v>
      </c>
      <c r="E50" s="53">
        <f>ROUND(SmtRes!AA213, 6)</f>
        <v>6279.21</v>
      </c>
      <c r="F50" s="53">
        <f>ROUND(SUMIF(RV_DATA!Q28:'RV_DATA'!Q61, 626075820, RV_DATA!N28:'RV_DATA'!N61), 6)</f>
        <v>3.01</v>
      </c>
      <c r="Q50">
        <v>3</v>
      </c>
    </row>
    <row r="51" spans="1:17" ht="28.5" x14ac:dyDescent="0.2">
      <c r="A51" s="52" t="s">
        <v>281</v>
      </c>
      <c r="B51" s="44" t="s">
        <v>282</v>
      </c>
      <c r="C51" s="44" t="s">
        <v>80</v>
      </c>
      <c r="D51" s="45">
        <f>ROUND(SUMIF(RV_DATA!Q28:'RV_DATA'!Q61, 1513715382, RV_DATA!I28:'RV_DATA'!I61), 6)</f>
        <v>0.20984</v>
      </c>
      <c r="E51" s="53">
        <f>ROUND(Source!AC214*IF(Source!BC214&lt;&gt; 0, Source!BC214, 1), 6)</f>
        <v>2915.6709999999998</v>
      </c>
      <c r="F51" s="53">
        <f>ROUND(SUMIF(RV_DATA!Q28:'RV_DATA'!Q61, 1513715382, RV_DATA!N28:'RV_DATA'!N61), 6)</f>
        <v>611.82000000000005</v>
      </c>
      <c r="Q51">
        <v>3</v>
      </c>
    </row>
    <row r="52" spans="1:17" ht="28.5" x14ac:dyDescent="0.2">
      <c r="A52" s="52" t="s">
        <v>235</v>
      </c>
      <c r="B52" s="44" t="s">
        <v>236</v>
      </c>
      <c r="C52" s="44" t="s">
        <v>29</v>
      </c>
      <c r="D52" s="45">
        <f>ROUND(SUMIF(RV_DATA!Q28:'RV_DATA'!Q61, 561068362, RV_DATA!I28:'RV_DATA'!I61), 6)</f>
        <v>2E-3</v>
      </c>
      <c r="E52" s="53">
        <f>ROUND(Source!AC194*IF(Source!BC194&lt;&gt; 0, Source!BC194, 1), 6)</f>
        <v>25994.536499999998</v>
      </c>
      <c r="F52" s="53">
        <f>ROUND(SUMIF(RV_DATA!Q28:'RV_DATA'!Q61, 561068362, RV_DATA!N28:'RV_DATA'!N61), 6)</f>
        <v>51.99</v>
      </c>
      <c r="Q52">
        <v>3</v>
      </c>
    </row>
    <row r="53" spans="1:17" ht="99.75" x14ac:dyDescent="0.2">
      <c r="A53" s="52" t="s">
        <v>239</v>
      </c>
      <c r="B53" s="44" t="s">
        <v>240</v>
      </c>
      <c r="C53" s="44" t="s">
        <v>29</v>
      </c>
      <c r="D53" s="45">
        <f>ROUND(SUMIF(RV_DATA!Q28:'RV_DATA'!Q61, 274111918, RV_DATA!I28:'RV_DATA'!I61), 6)</f>
        <v>8.4600000000000005E-3</v>
      </c>
      <c r="E53" s="53">
        <f>ROUND(Source!AC196*IF(Source!BC196&lt;&gt; 0, Source!BC196, 1), 6)</f>
        <v>7638.9885000000004</v>
      </c>
      <c r="F53" s="53">
        <f>ROUND(SUMIF(RV_DATA!Q28:'RV_DATA'!Q61, 274111918, RV_DATA!N28:'RV_DATA'!N61), 6)</f>
        <v>64.63</v>
      </c>
      <c r="Q53">
        <v>3</v>
      </c>
    </row>
    <row r="54" spans="1:17" ht="85.5" x14ac:dyDescent="0.2">
      <c r="A54" s="52" t="s">
        <v>277</v>
      </c>
      <c r="B54" s="44" t="s">
        <v>278</v>
      </c>
      <c r="C54" s="44" t="s">
        <v>29</v>
      </c>
      <c r="D54" s="45">
        <f>ROUND(SUMIF(RV_DATA!Q28:'RV_DATA'!Q61, 224496713, RV_DATA!I28:'RV_DATA'!I61), 6)</f>
        <v>8.5888000000000006E-2</v>
      </c>
      <c r="E54" s="53">
        <f>ROUND(Source!AC212*IF(Source!BC212&lt;&gt; 0, Source!BC212, 1), 6)</f>
        <v>4412.991</v>
      </c>
      <c r="F54" s="53">
        <f>ROUND(SUMIF(RV_DATA!Q28:'RV_DATA'!Q61, 224496713, RV_DATA!N28:'RV_DATA'!N61), 6)</f>
        <v>379.02</v>
      </c>
      <c r="Q54">
        <v>3</v>
      </c>
    </row>
    <row r="55" spans="1:17" ht="14.25" x14ac:dyDescent="0.2">
      <c r="A55" s="52" t="s">
        <v>214</v>
      </c>
      <c r="B55" s="44" t="s">
        <v>215</v>
      </c>
      <c r="C55" s="44" t="s">
        <v>80</v>
      </c>
      <c r="D55" s="45">
        <f>ROUND(SUMIF(RV_DATA!Q28:'RV_DATA'!Q61, -1297412162, RV_DATA!I28:'RV_DATA'!I61), 6)</f>
        <v>0.10403999999999999</v>
      </c>
      <c r="E55" s="53">
        <f>ROUND(Source!AC186*IF(Source!BC186&lt;&gt; 0, Source!BC186, 1), 6)</f>
        <v>2912.0767999999998</v>
      </c>
      <c r="F55" s="53">
        <f>ROUND(SUMIF(RV_DATA!Q28:'RV_DATA'!Q61, -1297412162, RV_DATA!N28:'RV_DATA'!N61), 6)</f>
        <v>302.97000000000003</v>
      </c>
      <c r="Q55">
        <v>3</v>
      </c>
    </row>
    <row r="56" spans="1:17" ht="14.25" x14ac:dyDescent="0.2">
      <c r="A56" s="52" t="s">
        <v>214</v>
      </c>
      <c r="B56" s="44" t="s">
        <v>215</v>
      </c>
      <c r="C56" s="44" t="s">
        <v>80</v>
      </c>
      <c r="D56" s="45">
        <f>ROUND(SUMIF(RV_DATA!Q28:'RV_DATA'!Q61, -1660568809, RV_DATA!I28:'RV_DATA'!I61), 6)</f>
        <v>0.11061</v>
      </c>
      <c r="E56" s="53">
        <f>ROUND(SmtRes!AA126, 6)</f>
        <v>2912.08</v>
      </c>
      <c r="F56" s="53">
        <f>ROUND(SUMIF(RV_DATA!Q28:'RV_DATA'!Q61, -1660568809, RV_DATA!N28:'RV_DATA'!N61), 6)</f>
        <v>322.11</v>
      </c>
      <c r="Q56">
        <v>3</v>
      </c>
    </row>
    <row r="57" spans="1:17" ht="28.5" x14ac:dyDescent="0.2">
      <c r="A57" s="52" t="s">
        <v>224</v>
      </c>
      <c r="B57" s="44" t="s">
        <v>225</v>
      </c>
      <c r="C57" s="44" t="s">
        <v>101</v>
      </c>
      <c r="D57" s="45">
        <f>ROUND(SUMIF(RV_DATA!Q28:'RV_DATA'!Q61, -1021088367, RV_DATA!I28:'RV_DATA'!I61), 6)</f>
        <v>5.202</v>
      </c>
      <c r="E57" s="53">
        <f>ROUND(Source!AC190*IF(Source!BC190&lt;&gt; 0, Source!BC190, 1), 6)</f>
        <v>459.96600000000001</v>
      </c>
      <c r="F57" s="53">
        <f>ROUND(SUMIF(RV_DATA!Q28:'RV_DATA'!Q61, -1021088367, RV_DATA!N28:'RV_DATA'!N61), 6)</f>
        <v>2392.7399999999998</v>
      </c>
      <c r="Q57">
        <v>3</v>
      </c>
    </row>
    <row r="58" spans="1:17" ht="114" x14ac:dyDescent="0.2">
      <c r="A58" s="52" t="s">
        <v>302</v>
      </c>
      <c r="B58" s="44" t="s">
        <v>303</v>
      </c>
      <c r="C58" s="44" t="s">
        <v>304</v>
      </c>
      <c r="D58" s="45">
        <f>ROUND(SUMIF(RV_DATA!Q28:'RV_DATA'!Q61, 1255915150, RV_DATA!I28:'RV_DATA'!I61), 6)</f>
        <v>6</v>
      </c>
      <c r="E58" s="53">
        <f>ROUND(Source!AC224*IF(Source!BC224&lt;&gt; 0, Source!BC224, 1), 6)</f>
        <v>14316.920700000001</v>
      </c>
      <c r="F58" s="53">
        <f>ROUND(SUMIF(RV_DATA!Q28:'RV_DATA'!Q61, 1255915150, RV_DATA!N28:'RV_DATA'!N61), 6)</f>
        <v>85901.52</v>
      </c>
      <c r="Q58">
        <v>3</v>
      </c>
    </row>
    <row r="59" spans="1:17" ht="71.25" x14ac:dyDescent="0.2">
      <c r="A59" s="52" t="s">
        <v>307</v>
      </c>
      <c r="B59" s="44" t="s">
        <v>308</v>
      </c>
      <c r="C59" s="44" t="s">
        <v>304</v>
      </c>
      <c r="D59" s="45">
        <f>ROUND(SUMIF(RV_DATA!Q28:'RV_DATA'!Q61, 640726719, RV_DATA!I28:'RV_DATA'!I61), 6)</f>
        <v>10</v>
      </c>
      <c r="E59" s="53">
        <f>ROUND(Source!AC226*IF(Source!BC226&lt;&gt; 0, Source!BC226, 1), 6)</f>
        <v>2136.2013000000002</v>
      </c>
      <c r="F59" s="53">
        <f>ROUND(SUMIF(RV_DATA!Q28:'RV_DATA'!Q61, 640726719, RV_DATA!N28:'RV_DATA'!N61), 6)</f>
        <v>21362.02</v>
      </c>
      <c r="Q59">
        <v>3</v>
      </c>
    </row>
    <row r="60" spans="1:17" ht="42.75" x14ac:dyDescent="0.2">
      <c r="A60" s="52" t="s">
        <v>711</v>
      </c>
      <c r="B60" s="44" t="s">
        <v>713</v>
      </c>
      <c r="C60" s="44" t="s">
        <v>304</v>
      </c>
      <c r="D60" s="45">
        <f>ROUND(SUMIF(RV_DATA!Q28:'RV_DATA'!Q61, 1373197232, RV_DATA!I28:'RV_DATA'!I61), 6)</f>
        <v>0.18</v>
      </c>
      <c r="E60" s="53">
        <f>ROUND(SmtRes!AA217, 6)</f>
        <v>86.52</v>
      </c>
      <c r="F60" s="53">
        <f>ROUND(SUMIF(RV_DATA!Q28:'RV_DATA'!Q61, 1373197232, RV_DATA!N28:'RV_DATA'!N61), 6)</f>
        <v>15.57</v>
      </c>
      <c r="Q60">
        <v>3</v>
      </c>
    </row>
    <row r="61" spans="1:17" ht="42.75" x14ac:dyDescent="0.2">
      <c r="A61" s="52" t="s">
        <v>714</v>
      </c>
      <c r="B61" s="44" t="s">
        <v>716</v>
      </c>
      <c r="C61" s="44" t="s">
        <v>304</v>
      </c>
      <c r="D61" s="45">
        <f>ROUND(SUMIF(RV_DATA!Q28:'RV_DATA'!Q61, -1083985014, RV_DATA!I28:'RV_DATA'!I61), 6)</f>
        <v>18</v>
      </c>
      <c r="E61" s="53">
        <f>ROUND(SmtRes!AA218, 6)</f>
        <v>135.77000000000001</v>
      </c>
      <c r="F61" s="53">
        <f>ROUND(SUMIF(RV_DATA!Q28:'RV_DATA'!Q61, -1083985014, RV_DATA!N28:'RV_DATA'!N61), 6)</f>
        <v>2443.86</v>
      </c>
      <c r="Q61">
        <v>3</v>
      </c>
    </row>
    <row r="62" spans="1:17" ht="28.5" x14ac:dyDescent="0.2">
      <c r="A62" s="52" t="s">
        <v>329</v>
      </c>
      <c r="B62" s="44" t="s">
        <v>330</v>
      </c>
      <c r="C62" s="44" t="s">
        <v>331</v>
      </c>
      <c r="D62" s="45">
        <f>ROUND(SUMIF(RV_DATA!Q28:'RV_DATA'!Q61, -56668622, RV_DATA!I28:'RV_DATA'!I61), 6)</f>
        <v>3</v>
      </c>
      <c r="E62" s="53">
        <f>ROUND(Source!AC236*IF(Source!BC236&lt;&gt; 0, Source!BC236, 1), 6)</f>
        <v>4993.5105000000003</v>
      </c>
      <c r="F62" s="53">
        <f>ROUND(SUMIF(RV_DATA!Q28:'RV_DATA'!Q61, -56668622, RV_DATA!N28:'RV_DATA'!N61), 6)</f>
        <v>14980.53</v>
      </c>
      <c r="Q62">
        <v>3</v>
      </c>
    </row>
    <row r="63" spans="1:17" ht="14.25" x14ac:dyDescent="0.2">
      <c r="A63" s="52" t="s">
        <v>675</v>
      </c>
      <c r="B63" s="44" t="s">
        <v>676</v>
      </c>
      <c r="C63" s="44" t="s">
        <v>632</v>
      </c>
      <c r="D63" s="45">
        <f>ROUND(SUMIF(RV_DATA!Q28:'RV_DATA'!Q61, -1341645062, RV_DATA!I28:'RV_DATA'!I61), 6)</f>
        <v>4.6519700000000004</v>
      </c>
      <c r="E63" s="53">
        <f>ROUND(SmtRes!AA128, 6)</f>
        <v>1</v>
      </c>
      <c r="F63" s="53">
        <f>ROUND(SUMIF(RV_DATA!Q28:'RV_DATA'!Q61, -1341645062, RV_DATA!N28:'RV_DATA'!N61), 6)</f>
        <v>4.6500000000000004</v>
      </c>
      <c r="Q63">
        <v>3</v>
      </c>
    </row>
    <row r="64" spans="1:17" ht="28.5" x14ac:dyDescent="0.2">
      <c r="A64" s="52" t="s">
        <v>258</v>
      </c>
      <c r="B64" s="44" t="s">
        <v>259</v>
      </c>
      <c r="C64" s="44" t="s">
        <v>260</v>
      </c>
      <c r="D64" s="45">
        <f>ROUND(SUMIF(RV_DATA!Q28:'RV_DATA'!Q61, 918097005, RV_DATA!I28:'RV_DATA'!I61), 6)</f>
        <v>11.1</v>
      </c>
      <c r="E64" s="53">
        <f>ROUND(Source!AC204*IF(Source!BC204&lt;&gt; 0, Source!BC204, 1), 6)</f>
        <v>3716.9609999999998</v>
      </c>
      <c r="F64" s="53">
        <f>ROUND(SUMIF(RV_DATA!Q28:'RV_DATA'!Q61, 918097005, RV_DATA!N28:'RV_DATA'!N61), 6)</f>
        <v>41258.269999999997</v>
      </c>
      <c r="Q64">
        <v>3</v>
      </c>
    </row>
    <row r="65" spans="1:17" ht="28.5" x14ac:dyDescent="0.2">
      <c r="A65" s="52" t="s">
        <v>258</v>
      </c>
      <c r="B65" s="44" t="s">
        <v>263</v>
      </c>
      <c r="C65" s="44" t="s">
        <v>260</v>
      </c>
      <c r="D65" s="45">
        <f>ROUND(SUMIF(RV_DATA!Q28:'RV_DATA'!Q61, 735709410, RV_DATA!I28:'RV_DATA'!I61), 6)</f>
        <v>3.9</v>
      </c>
      <c r="E65" s="53">
        <f>ROUND(Source!AC206*IF(Source!BC206&lt;&gt; 0, Source!BC206, 1), 6)</f>
        <v>3630.5091000000002</v>
      </c>
      <c r="F65" s="53">
        <f>ROUND(SUMIF(RV_DATA!Q28:'RV_DATA'!Q61, 735709410, RV_DATA!N28:'RV_DATA'!N61), 6)</f>
        <v>14158.99</v>
      </c>
      <c r="Q65">
        <v>3</v>
      </c>
    </row>
    <row r="66" spans="1:17" ht="15" x14ac:dyDescent="0.25">
      <c r="A66" s="76" t="s">
        <v>964</v>
      </c>
      <c r="B66" s="76"/>
      <c r="C66" s="76"/>
      <c r="D66" s="76"/>
      <c r="E66" s="77">
        <f>SUMIF(Q39:Q65, 3, F39:F65)</f>
        <v>186311.34</v>
      </c>
      <c r="F66" s="76"/>
    </row>
    <row r="67" spans="1:17" ht="16.5" x14ac:dyDescent="0.2">
      <c r="A67" s="81" t="str">
        <f>CONCATENATE("Подраздел: ",IF(Source!G269&lt;&gt;"Новый подраздел", Source!G269, ""))</f>
        <v>Подраздел: Обеспечение доступа МГН</v>
      </c>
      <c r="B67" s="82"/>
      <c r="C67" s="82"/>
      <c r="D67" s="82"/>
      <c r="E67" s="82"/>
      <c r="F67" s="82"/>
    </row>
    <row r="68" spans="1:17" ht="14.25" x14ac:dyDescent="0.2">
      <c r="A68" s="83" t="s">
        <v>963</v>
      </c>
      <c r="B68" s="84"/>
      <c r="C68" s="84"/>
      <c r="D68" s="84"/>
      <c r="E68" s="84"/>
      <c r="F68" s="84"/>
    </row>
    <row r="69" spans="1:17" ht="14.25" x14ac:dyDescent="0.2">
      <c r="A69" s="52" t="s">
        <v>273</v>
      </c>
      <c r="B69" s="44" t="s">
        <v>274</v>
      </c>
      <c r="C69" s="44" t="s">
        <v>80</v>
      </c>
      <c r="D69" s="45">
        <f>ROUND(SUMIF(RV_DATA!Q63:'RV_DATA'!Q75, 2045990491, RV_DATA!I63:'RV_DATA'!I75), 6)</f>
        <v>0.02</v>
      </c>
      <c r="E69" s="53">
        <f>ROUND(SmtRes!AA254, 6)</f>
        <v>29.98</v>
      </c>
      <c r="F69" s="53">
        <f>ROUND(SUMIF(RV_DATA!Q63:'RV_DATA'!Q75, 2045990491, RV_DATA!N63:'RV_DATA'!N75), 6)</f>
        <v>0.6</v>
      </c>
      <c r="Q69">
        <v>3</v>
      </c>
    </row>
    <row r="70" spans="1:17" ht="28.5" x14ac:dyDescent="0.2">
      <c r="A70" s="52" t="s">
        <v>738</v>
      </c>
      <c r="B70" s="44" t="s">
        <v>740</v>
      </c>
      <c r="C70" s="44" t="s">
        <v>29</v>
      </c>
      <c r="D70" s="45">
        <f>ROUND(SUMIF(RV_DATA!Q63:'RV_DATA'!Q75, 244535041, RV_DATA!I63:'RV_DATA'!I75), 6)</f>
        <v>1E-4</v>
      </c>
      <c r="E70" s="53">
        <f>ROUND(SmtRes!AA271, 6)</f>
        <v>135294.10999999999</v>
      </c>
      <c r="F70" s="53">
        <f>ROUND(SUMIF(RV_DATA!Q63:'RV_DATA'!Q75, 244535041, RV_DATA!N63:'RV_DATA'!N75), 6)</f>
        <v>13.53</v>
      </c>
      <c r="Q70">
        <v>3</v>
      </c>
    </row>
    <row r="71" spans="1:17" ht="57" x14ac:dyDescent="0.2">
      <c r="A71" s="52" t="s">
        <v>729</v>
      </c>
      <c r="B71" s="44" t="s">
        <v>731</v>
      </c>
      <c r="C71" s="44" t="s">
        <v>89</v>
      </c>
      <c r="D71" s="45">
        <f>ROUND(SUMIF(RV_DATA!Q63:'RV_DATA'!Q75, 1553772719, RV_DATA!I63:'RV_DATA'!I75), 6)</f>
        <v>1.1200000000000001</v>
      </c>
      <c r="E71" s="53">
        <f>ROUND(SmtRes!AA242, 6)</f>
        <v>59</v>
      </c>
      <c r="F71" s="53">
        <f>ROUND(SUMIF(RV_DATA!Q63:'RV_DATA'!Q75, 1553772719, RV_DATA!N63:'RV_DATA'!N75), 6)</f>
        <v>66.08</v>
      </c>
      <c r="Q71">
        <v>3</v>
      </c>
    </row>
    <row r="72" spans="1:17" ht="57" x14ac:dyDescent="0.2">
      <c r="A72" s="52" t="s">
        <v>732</v>
      </c>
      <c r="B72" s="44" t="s">
        <v>734</v>
      </c>
      <c r="C72" s="44" t="s">
        <v>704</v>
      </c>
      <c r="D72" s="45">
        <f>ROUND(SUMIF(RV_DATA!Q63:'RV_DATA'!Q75, -1680077152, RV_DATA!I63:'RV_DATA'!I75), 6)</f>
        <v>0.315</v>
      </c>
      <c r="E72" s="53">
        <f>ROUND(SmtRes!AA243, 6)</f>
        <v>51.42</v>
      </c>
      <c r="F72" s="53">
        <f>ROUND(SUMIF(RV_DATA!Q63:'RV_DATA'!Q75, -1680077152, RV_DATA!N63:'RV_DATA'!N75), 6)</f>
        <v>16.2</v>
      </c>
      <c r="Q72">
        <v>3</v>
      </c>
    </row>
    <row r="73" spans="1:17" ht="42.75" x14ac:dyDescent="0.2">
      <c r="A73" s="52" t="s">
        <v>341</v>
      </c>
      <c r="B73" s="44" t="s">
        <v>342</v>
      </c>
      <c r="C73" s="44" t="s">
        <v>101</v>
      </c>
      <c r="D73" s="45">
        <f>ROUND(SUMIF(RV_DATA!Q63:'RV_DATA'!Q75, 1456529508, RV_DATA!I63:'RV_DATA'!I75), 6)</f>
        <v>3.15</v>
      </c>
      <c r="E73" s="53">
        <f>ROUND(Source!AC274*IF(Source!BC274&lt;&gt; 0, Source!BC274, 1), 6)</f>
        <v>1641.4860000000001</v>
      </c>
      <c r="F73" s="53">
        <f>ROUND(SUMIF(RV_DATA!Q63:'RV_DATA'!Q75, 1456529508, RV_DATA!N63:'RV_DATA'!N75), 6)</f>
        <v>5170.68</v>
      </c>
      <c r="Q73">
        <v>3</v>
      </c>
    </row>
    <row r="74" spans="1:17" ht="14.25" x14ac:dyDescent="0.2">
      <c r="A74" s="52" t="s">
        <v>367</v>
      </c>
      <c r="B74" s="44" t="s">
        <v>368</v>
      </c>
      <c r="C74" s="44" t="s">
        <v>29</v>
      </c>
      <c r="D74" s="45">
        <f>ROUND(SUMIF(RV_DATA!Q63:'RV_DATA'!Q75, -943444006, RV_DATA!I63:'RV_DATA'!I75), 6)</f>
        <v>6.0000000000000002E-5</v>
      </c>
      <c r="E74" s="53">
        <f>ROUND(Source!AC286*IF(Source!BC286&lt;&gt; 0, Source!BC286, 1), 6)</f>
        <v>55891.533300000003</v>
      </c>
      <c r="F74" s="53">
        <f>ROUND(SUMIF(RV_DATA!Q63:'RV_DATA'!Q75, -943444006, RV_DATA!N63:'RV_DATA'!N75), 6)</f>
        <v>3.35</v>
      </c>
      <c r="Q74">
        <v>3</v>
      </c>
    </row>
    <row r="75" spans="1:17" ht="42.75" x14ac:dyDescent="0.2">
      <c r="A75" s="52" t="s">
        <v>351</v>
      </c>
      <c r="B75" s="44" t="s">
        <v>352</v>
      </c>
      <c r="C75" s="44" t="s">
        <v>29</v>
      </c>
      <c r="D75" s="45">
        <f>ROUND(SUMIF(RV_DATA!Q63:'RV_DATA'!Q75, 603493482, RV_DATA!I63:'RV_DATA'!I75), 6)</f>
        <v>0.1148</v>
      </c>
      <c r="E75" s="53">
        <f>ROUND(Source!AC278*IF(Source!BC278&lt;&gt; 0, Source!BC278, 1), 6)</f>
        <v>2937.4470000000001</v>
      </c>
      <c r="F75" s="53">
        <f>ROUND(SUMIF(RV_DATA!Q63:'RV_DATA'!Q75, 603493482, RV_DATA!N63:'RV_DATA'!N75), 6)</f>
        <v>337.22</v>
      </c>
      <c r="Q75">
        <v>3</v>
      </c>
    </row>
    <row r="76" spans="1:17" ht="42.75" x14ac:dyDescent="0.2">
      <c r="A76" s="52" t="s">
        <v>355</v>
      </c>
      <c r="B76" s="44" t="s">
        <v>356</v>
      </c>
      <c r="C76" s="44" t="s">
        <v>101</v>
      </c>
      <c r="D76" s="45">
        <f>ROUND(SUMIF(RV_DATA!Q63:'RV_DATA'!Q75, -1167514469, RV_DATA!I63:'RV_DATA'!I75), 6)</f>
        <v>2.88</v>
      </c>
      <c r="E76" s="53">
        <f>ROUND(Source!AC280*IF(Source!BC280&lt;&gt; 0, Source!BC280, 1), 6)</f>
        <v>779.3646</v>
      </c>
      <c r="F76" s="53">
        <f>ROUND(SUMIF(RV_DATA!Q63:'RV_DATA'!Q75, -1167514469, RV_DATA!N63:'RV_DATA'!N75), 6)</f>
        <v>2244.5700000000002</v>
      </c>
      <c r="Q76">
        <v>3</v>
      </c>
    </row>
    <row r="77" spans="1:17" ht="14.25" x14ac:dyDescent="0.2">
      <c r="A77" s="52" t="s">
        <v>675</v>
      </c>
      <c r="B77" s="44" t="s">
        <v>676</v>
      </c>
      <c r="C77" s="44" t="s">
        <v>632</v>
      </c>
      <c r="D77" s="45">
        <f>ROUND(SUMIF(RV_DATA!Q63:'RV_DATA'!Q75, -1341645062, RV_DATA!I63:'RV_DATA'!I75), 6)</f>
        <v>0.12545999999999999</v>
      </c>
      <c r="E77" s="53">
        <f>ROUND(SmtRes!AA263, 6)</f>
        <v>1</v>
      </c>
      <c r="F77" s="53">
        <f>ROUND(SUMIF(RV_DATA!Q63:'RV_DATA'!Q75, -1341645062, RV_DATA!N63:'RV_DATA'!N75), 6)</f>
        <v>0.13</v>
      </c>
      <c r="Q77">
        <v>3</v>
      </c>
    </row>
    <row r="78" spans="1:17" ht="28.5" x14ac:dyDescent="0.2">
      <c r="A78" s="52" t="s">
        <v>258</v>
      </c>
      <c r="B78" s="44" t="s">
        <v>363</v>
      </c>
      <c r="C78" s="44" t="s">
        <v>364</v>
      </c>
      <c r="D78" s="45">
        <f>ROUND(SUMIF(RV_DATA!Q63:'RV_DATA'!Q75, -666584264, RV_DATA!I63:'RV_DATA'!I75), 6)</f>
        <v>3.4</v>
      </c>
      <c r="E78" s="53">
        <f>ROUND(Source!AC284*IF(Source!BC284&lt;&gt; 0, Source!BC284, 1), 6)</f>
        <v>106.3259</v>
      </c>
      <c r="F78" s="53">
        <f>ROUND(SUMIF(RV_DATA!Q63:'RV_DATA'!Q75, -666584264, RV_DATA!N63:'RV_DATA'!N75), 6)</f>
        <v>361.51</v>
      </c>
      <c r="Q78">
        <v>3</v>
      </c>
    </row>
    <row r="79" spans="1:17" ht="28.5" x14ac:dyDescent="0.2">
      <c r="A79" s="52" t="s">
        <v>375</v>
      </c>
      <c r="B79" s="44" t="s">
        <v>376</v>
      </c>
      <c r="C79" s="44" t="s">
        <v>304</v>
      </c>
      <c r="D79" s="45">
        <f>ROUND(SUMIF(RV_DATA!Q63:'RV_DATA'!Q75, -61956573, RV_DATA!I63:'RV_DATA'!I75), 6)</f>
        <v>2</v>
      </c>
      <c r="E79" s="53">
        <f>ROUND(Source!AC290*IF(Source!BC290&lt;&gt; 0, Source!BC290, 1), 6)</f>
        <v>367.40750000000003</v>
      </c>
      <c r="F79" s="53">
        <f>ROUND(SUMIF(RV_DATA!Q63:'RV_DATA'!Q75, -61956573, RV_DATA!N63:'RV_DATA'!N75), 6)</f>
        <v>734.82</v>
      </c>
      <c r="Q79">
        <v>3</v>
      </c>
    </row>
    <row r="80" spans="1:17" ht="28.5" x14ac:dyDescent="0.2">
      <c r="A80" s="52" t="s">
        <v>375</v>
      </c>
      <c r="B80" s="44" t="s">
        <v>379</v>
      </c>
      <c r="C80" s="44" t="s">
        <v>304</v>
      </c>
      <c r="D80" s="45">
        <f>ROUND(SUMIF(RV_DATA!Q63:'RV_DATA'!Q75, -207052022, RV_DATA!I63:'RV_DATA'!I75), 6)</f>
        <v>7</v>
      </c>
      <c r="E80" s="53">
        <f>ROUND(Source!AC292*IF(Source!BC292&lt;&gt; 0, Source!BC292, 1), 6)</f>
        <v>822.94050000000004</v>
      </c>
      <c r="F80" s="53">
        <f>ROUND(SUMIF(RV_DATA!Q63:'RV_DATA'!Q75, -207052022, RV_DATA!N63:'RV_DATA'!N75), 6)</f>
        <v>5760.58</v>
      </c>
      <c r="Q80">
        <v>3</v>
      </c>
    </row>
    <row r="81" spans="1:17" ht="28.5" x14ac:dyDescent="0.2">
      <c r="A81" s="52" t="s">
        <v>375</v>
      </c>
      <c r="B81" s="44" t="s">
        <v>382</v>
      </c>
      <c r="C81" s="44" t="s">
        <v>383</v>
      </c>
      <c r="D81" s="45">
        <f>ROUND(SUMIF(RV_DATA!Q63:'RV_DATA'!Q75, -1075102776, RV_DATA!I63:'RV_DATA'!I75), 6)</f>
        <v>1</v>
      </c>
      <c r="E81" s="53">
        <f>ROUND(Source!AC294*IF(Source!BC294&lt;&gt; 0, Source!BC294, 1), 6)</f>
        <v>1227.4286999999999</v>
      </c>
      <c r="F81" s="53">
        <f>ROUND(SUMIF(RV_DATA!Q63:'RV_DATA'!Q75, -1075102776, RV_DATA!N63:'RV_DATA'!N75), 6)</f>
        <v>1227.43</v>
      </c>
      <c r="Q81">
        <v>3</v>
      </c>
    </row>
    <row r="82" spans="1:17" ht="15" x14ac:dyDescent="0.25">
      <c r="A82" s="76" t="s">
        <v>964</v>
      </c>
      <c r="B82" s="76"/>
      <c r="C82" s="76"/>
      <c r="D82" s="76"/>
      <c r="E82" s="77">
        <f>SUMIF(Q69:Q81, 3, F69:F81)</f>
        <v>15936.7</v>
      </c>
      <c r="F82" s="76"/>
    </row>
    <row r="83" spans="1:17" ht="16.5" x14ac:dyDescent="0.2">
      <c r="A83" s="81" t="str">
        <f>CONCATENATE("Подраздел: ",IF(Source!G327&lt;&gt;"Новый подраздел", Source!G327, ""))</f>
        <v>Подраздел: Конструктивные решения</v>
      </c>
      <c r="B83" s="82"/>
      <c r="C83" s="82"/>
      <c r="D83" s="82"/>
      <c r="E83" s="82"/>
      <c r="F83" s="82"/>
    </row>
    <row r="84" spans="1:17" ht="14.25" x14ac:dyDescent="0.2">
      <c r="A84" s="83" t="s">
        <v>963</v>
      </c>
      <c r="B84" s="84"/>
      <c r="C84" s="84"/>
      <c r="D84" s="84"/>
      <c r="E84" s="84"/>
      <c r="F84" s="84"/>
    </row>
    <row r="85" spans="1:17" ht="42.75" x14ac:dyDescent="0.2">
      <c r="A85" s="52" t="s">
        <v>441</v>
      </c>
      <c r="B85" s="44" t="s">
        <v>442</v>
      </c>
      <c r="C85" s="44" t="s">
        <v>29</v>
      </c>
      <c r="D85" s="45">
        <f>ROUND(SUMIF(RV_DATA!Q77:'RV_DATA'!Q99, 466956492, RV_DATA!I77:'RV_DATA'!I99), 6)</f>
        <v>0.02</v>
      </c>
      <c r="E85" s="53">
        <f>ROUND(Source!AC354*IF(Source!BC354&lt;&gt; 0, Source!BC354, 1), 6)</f>
        <v>39691.142699999997</v>
      </c>
      <c r="F85" s="53">
        <f>ROUND(SUMIF(RV_DATA!Q77:'RV_DATA'!Q99, 466956492, RV_DATA!N77:'RV_DATA'!N99), 6)</f>
        <v>793.82</v>
      </c>
      <c r="Q85">
        <v>3</v>
      </c>
    </row>
    <row r="86" spans="1:17" ht="42.75" x14ac:dyDescent="0.2">
      <c r="A86" s="52" t="s">
        <v>437</v>
      </c>
      <c r="B86" s="44" t="s">
        <v>438</v>
      </c>
      <c r="C86" s="44" t="s">
        <v>29</v>
      </c>
      <c r="D86" s="45">
        <f>ROUND(SUMIF(RV_DATA!Q77:'RV_DATA'!Q99, 1439660157, RV_DATA!I77:'RV_DATA'!I99), 6)</f>
        <v>0.08</v>
      </c>
      <c r="E86" s="53">
        <f>ROUND(Source!AC352*IF(Source!BC352&lt;&gt; 0, Source!BC352, 1), 6)</f>
        <v>24426.004000000001</v>
      </c>
      <c r="F86" s="53">
        <f>ROUND(SUMIF(RV_DATA!Q77:'RV_DATA'!Q99, 1439660157, RV_DATA!N77:'RV_DATA'!N99), 6)</f>
        <v>1954.08</v>
      </c>
      <c r="Q86">
        <v>3</v>
      </c>
    </row>
    <row r="87" spans="1:17" ht="14.25" x14ac:dyDescent="0.2">
      <c r="A87" s="52" t="s">
        <v>273</v>
      </c>
      <c r="B87" s="44" t="s">
        <v>274</v>
      </c>
      <c r="C87" s="44" t="s">
        <v>80</v>
      </c>
      <c r="D87" s="45">
        <f>ROUND(SUMIF(RV_DATA!Q77:'RV_DATA'!Q99, 2045990491, RV_DATA!I77:'RV_DATA'!I99), 6)</f>
        <v>1.7276E-2</v>
      </c>
      <c r="E87" s="53">
        <f>ROUND(SmtRes!AA289, 6)</f>
        <v>29.98</v>
      </c>
      <c r="F87" s="53">
        <f>ROUND(SUMIF(RV_DATA!Q77:'RV_DATA'!Q99, 2045990491, RV_DATA!N77:'RV_DATA'!N99), 6)</f>
        <v>0.52</v>
      </c>
      <c r="Q87">
        <v>3</v>
      </c>
    </row>
    <row r="88" spans="1:17" ht="14.25" x14ac:dyDescent="0.2">
      <c r="A88" s="52" t="s">
        <v>768</v>
      </c>
      <c r="B88" s="44" t="s">
        <v>770</v>
      </c>
      <c r="C88" s="44" t="s">
        <v>29</v>
      </c>
      <c r="D88" s="45">
        <f>ROUND(SUMIF(RV_DATA!Q77:'RV_DATA'!Q99, -2146081827, RV_DATA!I77:'RV_DATA'!I99), 6)</f>
        <v>1.9999999999999999E-6</v>
      </c>
      <c r="E88" s="53">
        <f>ROUND(SmtRes!AA328, 6)</f>
        <v>61040.49</v>
      </c>
      <c r="F88" s="53">
        <f>ROUND(SUMIF(RV_DATA!Q77:'RV_DATA'!Q99, -2146081827, RV_DATA!N77:'RV_DATA'!N99), 6)</f>
        <v>0.15</v>
      </c>
      <c r="Q88">
        <v>3</v>
      </c>
    </row>
    <row r="89" spans="1:17" ht="28.5" x14ac:dyDescent="0.2">
      <c r="A89" s="52" t="s">
        <v>666</v>
      </c>
      <c r="B89" s="44" t="s">
        <v>668</v>
      </c>
      <c r="C89" s="44" t="s">
        <v>29</v>
      </c>
      <c r="D89" s="45">
        <f>ROUND(SUMIF(RV_DATA!Q77:'RV_DATA'!Q99, -161349360, RV_DATA!I77:'RV_DATA'!I99), 6)</f>
        <v>1.2719999999999999E-3</v>
      </c>
      <c r="E89" s="53">
        <f>ROUND(SmtRes!AA329, 6)</f>
        <v>86373.64</v>
      </c>
      <c r="F89" s="53">
        <f>ROUND(SUMIF(RV_DATA!Q77:'RV_DATA'!Q99, -161349360, RV_DATA!N77:'RV_DATA'!N99), 6)</f>
        <v>109.86</v>
      </c>
      <c r="Q89">
        <v>3</v>
      </c>
    </row>
    <row r="90" spans="1:17" ht="28.5" x14ac:dyDescent="0.2">
      <c r="A90" s="52" t="s">
        <v>771</v>
      </c>
      <c r="B90" s="44" t="s">
        <v>773</v>
      </c>
      <c r="C90" s="44" t="s">
        <v>80</v>
      </c>
      <c r="D90" s="45">
        <f>ROUND(SUMIF(RV_DATA!Q77:'RV_DATA'!Q99, 2109290276, RV_DATA!I77:'RV_DATA'!I99), 6)</f>
        <v>4.8000000000000001E-5</v>
      </c>
      <c r="E90" s="53">
        <f>ROUND(SmtRes!AA330, 6)</f>
        <v>5156.54</v>
      </c>
      <c r="F90" s="53">
        <f>ROUND(SUMIF(RV_DATA!Q77:'RV_DATA'!Q99, 2109290276, RV_DATA!N77:'RV_DATA'!N99), 6)</f>
        <v>0.25</v>
      </c>
      <c r="Q90">
        <v>3</v>
      </c>
    </row>
    <row r="91" spans="1:17" ht="57" x14ac:dyDescent="0.2">
      <c r="A91" s="52" t="s">
        <v>433</v>
      </c>
      <c r="B91" s="44" t="s">
        <v>434</v>
      </c>
      <c r="C91" s="44" t="s">
        <v>29</v>
      </c>
      <c r="D91" s="45">
        <f>ROUND(SUMIF(RV_DATA!Q77:'RV_DATA'!Q99, 975481145, RV_DATA!I77:'RV_DATA'!I99), 6)</f>
        <v>0.09</v>
      </c>
      <c r="E91" s="53">
        <f>ROUND(Source!AC350*IF(Source!BC350&lt;&gt; 0, Source!BC350, 1), 6)</f>
        <v>35427.599999999999</v>
      </c>
      <c r="F91" s="53">
        <f>ROUND(SUMIF(RV_DATA!Q77:'RV_DATA'!Q99, 975481145, RV_DATA!N77:'RV_DATA'!N99), 6)</f>
        <v>3188.48</v>
      </c>
      <c r="Q91">
        <v>3</v>
      </c>
    </row>
    <row r="92" spans="1:17" ht="14.25" x14ac:dyDescent="0.2">
      <c r="A92" s="52" t="s">
        <v>774</v>
      </c>
      <c r="B92" s="44" t="s">
        <v>776</v>
      </c>
      <c r="C92" s="44" t="s">
        <v>29</v>
      </c>
      <c r="D92" s="45">
        <f>ROUND(SUMIF(RV_DATA!Q77:'RV_DATA'!Q99, -257246261, RV_DATA!I77:'RV_DATA'!I99), 6)</f>
        <v>1.2E-5</v>
      </c>
      <c r="E92" s="53">
        <f>ROUND(SmtRes!AA331, 6)</f>
        <v>3214.84</v>
      </c>
      <c r="F92" s="53">
        <f>ROUND(SUMIF(RV_DATA!Q77:'RV_DATA'!Q99, -257246261, RV_DATA!N77:'RV_DATA'!N99), 6)</f>
        <v>0.04</v>
      </c>
      <c r="Q92">
        <v>3</v>
      </c>
    </row>
    <row r="93" spans="1:17" ht="42.75" x14ac:dyDescent="0.2">
      <c r="A93" s="52" t="s">
        <v>429</v>
      </c>
      <c r="B93" s="44" t="s">
        <v>430</v>
      </c>
      <c r="C93" s="44" t="s">
        <v>29</v>
      </c>
      <c r="D93" s="45">
        <f>ROUND(SUMIF(RV_DATA!Q77:'RV_DATA'!Q99, 520618720, RV_DATA!I77:'RV_DATA'!I99), 6)</f>
        <v>2.2741999999999998E-2</v>
      </c>
      <c r="E93" s="53">
        <f>ROUND(Source!AC348*IF(Source!BC348&lt;&gt; 0, Source!BC348, 1), 6)</f>
        <v>93738.444799999997</v>
      </c>
      <c r="F93" s="53">
        <f>ROUND(SUMIF(RV_DATA!Q77:'RV_DATA'!Q99, 520618720, RV_DATA!N77:'RV_DATA'!N99), 6)</f>
        <v>2131.8000000000002</v>
      </c>
      <c r="Q93">
        <v>3</v>
      </c>
    </row>
    <row r="94" spans="1:17" ht="14.25" x14ac:dyDescent="0.2">
      <c r="A94" s="52" t="s">
        <v>753</v>
      </c>
      <c r="B94" s="44" t="s">
        <v>755</v>
      </c>
      <c r="C94" s="44" t="s">
        <v>101</v>
      </c>
      <c r="D94" s="45">
        <f>ROUND(SUMIF(RV_DATA!Q77:'RV_DATA'!Q99, -1302852585, RV_DATA!I77:'RV_DATA'!I99), 6)</f>
        <v>0.23599999999999999</v>
      </c>
      <c r="E94" s="53">
        <f>ROUND(SmtRes!AA301, 6)</f>
        <v>21.28</v>
      </c>
      <c r="F94" s="53">
        <f>ROUND(SUMIF(RV_DATA!Q77:'RV_DATA'!Q99, -1302852585, RV_DATA!N77:'RV_DATA'!N99), 6)</f>
        <v>5.03</v>
      </c>
      <c r="Q94">
        <v>3</v>
      </c>
    </row>
    <row r="95" spans="1:17" ht="28.5" x14ac:dyDescent="0.2">
      <c r="A95" s="52" t="s">
        <v>394</v>
      </c>
      <c r="B95" s="44" t="s">
        <v>395</v>
      </c>
      <c r="C95" s="44" t="s">
        <v>80</v>
      </c>
      <c r="D95" s="45">
        <f>ROUND(SUMIF(RV_DATA!Q77:'RV_DATA'!Q99, -1466799423, RV_DATA!I77:'RV_DATA'!I99), 6)</f>
        <v>0.3</v>
      </c>
      <c r="E95" s="53">
        <f>ROUND(Source!AC332*IF(Source!BC332&lt;&gt; 0, Source!BC332, 1), 6)</f>
        <v>572.19550000000004</v>
      </c>
      <c r="F95" s="53">
        <f>ROUND(SUMIF(RV_DATA!Q77:'RV_DATA'!Q99, -1466799423, RV_DATA!N77:'RV_DATA'!N99), 6)</f>
        <v>171.66</v>
      </c>
      <c r="Q95">
        <v>3</v>
      </c>
    </row>
    <row r="96" spans="1:17" ht="57" x14ac:dyDescent="0.2">
      <c r="A96" s="52" t="s">
        <v>421</v>
      </c>
      <c r="B96" s="44" t="s">
        <v>422</v>
      </c>
      <c r="C96" s="44" t="s">
        <v>80</v>
      </c>
      <c r="D96" s="45">
        <f>ROUND(SUMIF(RV_DATA!Q77:'RV_DATA'!Q99, 252884569, RV_DATA!I77:'RV_DATA'!I99), 6)</f>
        <v>0.12180000000000001</v>
      </c>
      <c r="E96" s="53">
        <f>ROUND(Source!AC344*IF(Source!BC344&lt;&gt; 0, Source!BC344, 1), 6)</f>
        <v>3861.3816000000002</v>
      </c>
      <c r="F96" s="53">
        <f>ROUND(SUMIF(RV_DATA!Q77:'RV_DATA'!Q99, 252884569, RV_DATA!N77:'RV_DATA'!N99), 6)</f>
        <v>470.32</v>
      </c>
      <c r="Q96">
        <v>3</v>
      </c>
    </row>
    <row r="97" spans="1:17" ht="42.75" x14ac:dyDescent="0.2">
      <c r="A97" s="52" t="s">
        <v>405</v>
      </c>
      <c r="B97" s="44" t="s">
        <v>406</v>
      </c>
      <c r="C97" s="44" t="s">
        <v>80</v>
      </c>
      <c r="D97" s="45">
        <f>ROUND(SUMIF(RV_DATA!Q77:'RV_DATA'!Q99, -789261222, RV_DATA!I77:'RV_DATA'!I99), 6)</f>
        <v>8.1600000000000006E-2</v>
      </c>
      <c r="E97" s="53">
        <f>ROUND(Source!AC336*IF(Source!BC336&lt;&gt; 0, Source!BC336, 1), 6)</f>
        <v>2961.585</v>
      </c>
      <c r="F97" s="53">
        <f>ROUND(SUMIF(RV_DATA!Q77:'RV_DATA'!Q99, -789261222, RV_DATA!N77:'RV_DATA'!N99), 6)</f>
        <v>241.67</v>
      </c>
      <c r="Q97">
        <v>3</v>
      </c>
    </row>
    <row r="98" spans="1:17" ht="71.25" x14ac:dyDescent="0.2">
      <c r="A98" s="52" t="s">
        <v>413</v>
      </c>
      <c r="B98" s="44" t="s">
        <v>414</v>
      </c>
      <c r="C98" s="44" t="s">
        <v>29</v>
      </c>
      <c r="D98" s="45">
        <f>ROUND(SUMIF(RV_DATA!Q77:'RV_DATA'!Q99, -452909362, RV_DATA!I77:'RV_DATA'!I99), 6)</f>
        <v>2E-3</v>
      </c>
      <c r="E98" s="53">
        <f>ROUND(Source!AC340*IF(Source!BC340&lt;&gt; 0, Source!BC340, 1), 6)</f>
        <v>34687.032299999999</v>
      </c>
      <c r="F98" s="53">
        <f>ROUND(SUMIF(RV_DATA!Q77:'RV_DATA'!Q99, -452909362, RV_DATA!N77:'RV_DATA'!N99), 6)</f>
        <v>69.37</v>
      </c>
      <c r="Q98">
        <v>3</v>
      </c>
    </row>
    <row r="99" spans="1:17" ht="71.25" x14ac:dyDescent="0.2">
      <c r="A99" s="52" t="s">
        <v>417</v>
      </c>
      <c r="B99" s="44" t="s">
        <v>418</v>
      </c>
      <c r="C99" s="44" t="s">
        <v>29</v>
      </c>
      <c r="D99" s="45">
        <f>ROUND(SUMIF(RV_DATA!Q77:'RV_DATA'!Q99, -1873529497, RV_DATA!I77:'RV_DATA'!I99), 6)</f>
        <v>4.0000000000000001E-3</v>
      </c>
      <c r="E99" s="53">
        <f>ROUND(Source!AC342*IF(Source!BC342&lt;&gt; 0, Source!BC342, 1), 6)</f>
        <v>34687.032299999999</v>
      </c>
      <c r="F99" s="53">
        <f>ROUND(SUMIF(RV_DATA!Q77:'RV_DATA'!Q99, -1873529497, RV_DATA!N77:'RV_DATA'!N99), 6)</f>
        <v>138.75</v>
      </c>
      <c r="Q99">
        <v>3</v>
      </c>
    </row>
    <row r="100" spans="1:17" ht="85.5" x14ac:dyDescent="0.2">
      <c r="A100" s="52" t="s">
        <v>445</v>
      </c>
      <c r="B100" s="44" t="s">
        <v>446</v>
      </c>
      <c r="C100" s="44" t="s">
        <v>29</v>
      </c>
      <c r="D100" s="45">
        <f>ROUND(SUMIF(RV_DATA!Q77:'RV_DATA'!Q99, 1319168430, RV_DATA!I77:'RV_DATA'!I99), 6)</f>
        <v>0.08</v>
      </c>
      <c r="E100" s="53">
        <f>ROUND(Source!AC356*IF(Source!BC356&lt;&gt; 0, Source!BC356, 1), 6)</f>
        <v>87490.098800000007</v>
      </c>
      <c r="F100" s="53">
        <f>ROUND(SUMIF(RV_DATA!Q77:'RV_DATA'!Q99, 1319168430, RV_DATA!N77:'RV_DATA'!N99), 6)</f>
        <v>6999.21</v>
      </c>
      <c r="Q100">
        <v>3</v>
      </c>
    </row>
    <row r="101" spans="1:17" ht="57" x14ac:dyDescent="0.2">
      <c r="A101" s="52" t="s">
        <v>783</v>
      </c>
      <c r="B101" s="44" t="s">
        <v>785</v>
      </c>
      <c r="C101" s="44" t="s">
        <v>29</v>
      </c>
      <c r="D101" s="45">
        <f>ROUND(SUMIF(RV_DATA!Q77:'RV_DATA'!Q99, 46752021, RV_DATA!I77:'RV_DATA'!I99), 6)</f>
        <v>2.7E-4</v>
      </c>
      <c r="E101" s="53">
        <f>ROUND(SmtRes!AA363, 6)</f>
        <v>65674.62</v>
      </c>
      <c r="F101" s="53">
        <f>ROUND(SUMIF(RV_DATA!Q77:'RV_DATA'!Q99, 46752021, RV_DATA!N77:'RV_DATA'!N99), 6)</f>
        <v>17.73</v>
      </c>
      <c r="Q101">
        <v>3</v>
      </c>
    </row>
    <row r="102" spans="1:17" ht="57" x14ac:dyDescent="0.2">
      <c r="A102" s="52" t="s">
        <v>777</v>
      </c>
      <c r="B102" s="44" t="s">
        <v>779</v>
      </c>
      <c r="C102" s="44" t="s">
        <v>101</v>
      </c>
      <c r="D102" s="45">
        <f>ROUND(SUMIF(RV_DATA!Q77:'RV_DATA'!Q99, 1343511085, RV_DATA!I77:'RV_DATA'!I99), 6)</f>
        <v>4.3200000000000001E-3</v>
      </c>
      <c r="E102" s="53">
        <f>ROUND(SmtRes!AA336, 6)</f>
        <v>445.34</v>
      </c>
      <c r="F102" s="53">
        <f>ROUND(SUMIF(RV_DATA!Q77:'RV_DATA'!Q99, 1343511085, RV_DATA!N77:'RV_DATA'!N99), 6)</f>
        <v>1.92</v>
      </c>
      <c r="Q102">
        <v>3</v>
      </c>
    </row>
    <row r="103" spans="1:17" ht="14.25" x14ac:dyDescent="0.2">
      <c r="A103" s="52" t="s">
        <v>675</v>
      </c>
      <c r="B103" s="44" t="s">
        <v>676</v>
      </c>
      <c r="C103" s="44" t="s">
        <v>632</v>
      </c>
      <c r="D103" s="45">
        <f>ROUND(SUMIF(RV_DATA!Q77:'RV_DATA'!Q99, -1341645062, RV_DATA!I77:'RV_DATA'!I99), 6)</f>
        <v>10.659599999999999</v>
      </c>
      <c r="E103" s="53">
        <f>ROUND(SmtRes!AA364, 6)</f>
        <v>1</v>
      </c>
      <c r="F103" s="53">
        <f>ROUND(SUMIF(RV_DATA!Q77:'RV_DATA'!Q99, -1341645062, RV_DATA!N77:'RV_DATA'!N99), 6)</f>
        <v>10.66</v>
      </c>
      <c r="Q103">
        <v>3</v>
      </c>
    </row>
    <row r="104" spans="1:17" ht="15" x14ac:dyDescent="0.25">
      <c r="A104" s="76" t="s">
        <v>964</v>
      </c>
      <c r="B104" s="76"/>
      <c r="C104" s="76"/>
      <c r="D104" s="76"/>
      <c r="E104" s="77">
        <f>SUMIF(Q85:Q103, 3, F85:F103)</f>
        <v>16305.320000000002</v>
      </c>
      <c r="F104" s="76"/>
    </row>
    <row r="105" spans="1:17" ht="16.5" x14ac:dyDescent="0.2">
      <c r="A105" s="81" t="str">
        <f>CONCATENATE("Подраздел: ",IF(Source!G389&lt;&gt;"Новый подраздел", Source!G389, ""))</f>
        <v>Подраздел: Сети связи</v>
      </c>
      <c r="B105" s="82"/>
      <c r="C105" s="82"/>
      <c r="D105" s="82"/>
      <c r="E105" s="82"/>
      <c r="F105" s="82"/>
    </row>
    <row r="106" spans="1:17" ht="14.25" x14ac:dyDescent="0.2">
      <c r="A106" s="83" t="s">
        <v>963</v>
      </c>
      <c r="B106" s="84"/>
      <c r="C106" s="84"/>
      <c r="D106" s="84"/>
      <c r="E106" s="84"/>
      <c r="F106" s="84"/>
    </row>
    <row r="107" spans="1:17" ht="57" x14ac:dyDescent="0.2">
      <c r="A107" s="52" t="s">
        <v>488</v>
      </c>
      <c r="B107" s="44" t="s">
        <v>489</v>
      </c>
      <c r="C107" s="44" t="s">
        <v>364</v>
      </c>
      <c r="D107" s="45">
        <f>ROUND(SUMIF(RV_DATA!Q101:'RV_DATA'!Q107, 1711006542, RV_DATA!I101:'RV_DATA'!I107), 6)</f>
        <v>5.0999999999999996</v>
      </c>
      <c r="E107" s="53">
        <f>ROUND(Source!AC406*IF(Source!BC406&lt;&gt; 0, Source!BC406, 1), 6)</f>
        <v>16.7409</v>
      </c>
      <c r="F107" s="53">
        <f>ROUND(SUMIF(RV_DATA!Q101:'RV_DATA'!Q107, 1711006542, RV_DATA!N101:'RV_DATA'!N107), 6)</f>
        <v>85.38</v>
      </c>
      <c r="Q107">
        <v>3</v>
      </c>
    </row>
    <row r="108" spans="1:17" ht="42.75" x14ac:dyDescent="0.2">
      <c r="A108" s="52" t="s">
        <v>492</v>
      </c>
      <c r="B108" s="44" t="s">
        <v>493</v>
      </c>
      <c r="C108" s="44" t="s">
        <v>463</v>
      </c>
      <c r="D108" s="45">
        <f>ROUND(SUMIF(RV_DATA!Q101:'RV_DATA'!Q107, -326546088, RV_DATA!I101:'RV_DATA'!I107), 6)</f>
        <v>0.05</v>
      </c>
      <c r="E108" s="53">
        <f>ROUND(Source!AC408*IF(Source!BC408&lt;&gt; 0, Source!BC408, 1), 6)</f>
        <v>172.31360000000001</v>
      </c>
      <c r="F108" s="53">
        <f>ROUND(SUMIF(RV_DATA!Q101:'RV_DATA'!Q107, -326546088, RV_DATA!N101:'RV_DATA'!N107), 6)</f>
        <v>8.6199999999999992</v>
      </c>
      <c r="Q108">
        <v>3</v>
      </c>
    </row>
    <row r="109" spans="1:17" ht="42.75" x14ac:dyDescent="0.2">
      <c r="A109" s="52" t="s">
        <v>512</v>
      </c>
      <c r="B109" s="44" t="s">
        <v>513</v>
      </c>
      <c r="C109" s="44" t="s">
        <v>503</v>
      </c>
      <c r="D109" s="45">
        <f>ROUND(SUMIF(RV_DATA!Q101:'RV_DATA'!Q107, -572395991, RV_DATA!I101:'RV_DATA'!I107), 6)</f>
        <v>7.0000000000000001E-3</v>
      </c>
      <c r="E109" s="53">
        <f>ROUND(Source!AC416*IF(Source!BC416&lt;&gt; 0, Source!BC416, 1), 6)</f>
        <v>26697.522799999999</v>
      </c>
      <c r="F109" s="53">
        <f>ROUND(SUMIF(RV_DATA!Q101:'RV_DATA'!Q107, -572395991, RV_DATA!N101:'RV_DATA'!N107), 6)</f>
        <v>186.88</v>
      </c>
      <c r="Q109">
        <v>3</v>
      </c>
    </row>
    <row r="110" spans="1:17" ht="14.25" x14ac:dyDescent="0.2">
      <c r="A110" s="52" t="s">
        <v>786</v>
      </c>
      <c r="B110" s="44" t="s">
        <v>787</v>
      </c>
      <c r="C110" s="44" t="s">
        <v>29</v>
      </c>
      <c r="D110" s="45">
        <f>ROUND(SUMIF(RV_DATA!Q101:'RV_DATA'!Q107, 1479202730, RV_DATA!I101:'RV_DATA'!I107), 6)</f>
        <v>2E-3</v>
      </c>
      <c r="E110" s="53">
        <f>ROUND(SmtRes!AA368, 6)</f>
        <v>0</v>
      </c>
      <c r="F110" s="53">
        <f>ROUND(SUMIF(RV_DATA!Q101:'RV_DATA'!Q107, 1479202730, RV_DATA!N101:'RV_DATA'!N107), 6)</f>
        <v>0</v>
      </c>
      <c r="Q110">
        <v>3</v>
      </c>
    </row>
    <row r="111" spans="1:17" ht="28.5" x14ac:dyDescent="0.2">
      <c r="A111" s="52" t="s">
        <v>258</v>
      </c>
      <c r="B111" s="44" t="s">
        <v>478</v>
      </c>
      <c r="C111" s="44" t="s">
        <v>304</v>
      </c>
      <c r="D111" s="45">
        <f>ROUND(SUMIF(RV_DATA!Q101:'RV_DATA'!Q107, 81426303, RV_DATA!I101:'RV_DATA'!I107), 6)</f>
        <v>1</v>
      </c>
      <c r="E111" s="53">
        <f>ROUND(Source!AC402*IF(Source!BC402&lt;&gt; 0, Source!BC402, 1), 6)</f>
        <v>6635.1963999999998</v>
      </c>
      <c r="F111" s="53">
        <f>ROUND(SUMIF(RV_DATA!Q101:'RV_DATA'!Q107, 81426303, RV_DATA!N101:'RV_DATA'!N107), 6)</f>
        <v>6635.2</v>
      </c>
      <c r="Q111">
        <v>3</v>
      </c>
    </row>
    <row r="112" spans="1:17" ht="28.5" x14ac:dyDescent="0.2">
      <c r="A112" s="52" t="s">
        <v>258</v>
      </c>
      <c r="B112" s="44" t="s">
        <v>502</v>
      </c>
      <c r="C112" s="44" t="s">
        <v>503</v>
      </c>
      <c r="D112" s="45">
        <f>ROUND(SUMIF(RV_DATA!Q101:'RV_DATA'!Q107, 1173024037, RV_DATA!I101:'RV_DATA'!I107), 6)</f>
        <v>5.11E-2</v>
      </c>
      <c r="E112" s="53">
        <f>ROUND(Source!AC412*IF(Source!BC412&lt;&gt; 0, Source!BC412, 1), 6)</f>
        <v>81496.265799999994</v>
      </c>
      <c r="F112" s="53">
        <f>ROUND(SUMIF(RV_DATA!Q101:'RV_DATA'!Q107, 1173024037, RV_DATA!N101:'RV_DATA'!N107), 6)</f>
        <v>4164.46</v>
      </c>
      <c r="Q112">
        <v>3</v>
      </c>
    </row>
    <row r="113" spans="1:17" ht="15" x14ac:dyDescent="0.25">
      <c r="A113" s="76" t="s">
        <v>964</v>
      </c>
      <c r="B113" s="76"/>
      <c r="C113" s="76"/>
      <c r="D113" s="76"/>
      <c r="E113" s="77">
        <f>SUMIF(Q107:Q112, 3, F107:F112)</f>
        <v>11080.54</v>
      </c>
      <c r="F113" s="76"/>
    </row>
    <row r="114" spans="1:17" ht="16.5" x14ac:dyDescent="0.2">
      <c r="A114" s="81" t="str">
        <f>CONCATENATE("Подраздел: ",IF(Source!G451&lt;&gt;"Новый подраздел", Source!G451, ""))</f>
        <v>Подраздел: Электромонтажные работы</v>
      </c>
      <c r="B114" s="82"/>
      <c r="C114" s="82"/>
      <c r="D114" s="82"/>
      <c r="E114" s="82"/>
      <c r="F114" s="82"/>
    </row>
    <row r="115" spans="1:17" ht="14.25" x14ac:dyDescent="0.2">
      <c r="A115" s="83" t="s">
        <v>963</v>
      </c>
      <c r="B115" s="84"/>
      <c r="C115" s="84"/>
      <c r="D115" s="84"/>
      <c r="E115" s="84"/>
      <c r="F115" s="84"/>
    </row>
    <row r="116" spans="1:17" ht="28.5" x14ac:dyDescent="0.2">
      <c r="A116" s="52" t="s">
        <v>524</v>
      </c>
      <c r="B116" s="44" t="s">
        <v>525</v>
      </c>
      <c r="C116" s="44" t="s">
        <v>364</v>
      </c>
      <c r="D116" s="45">
        <f>ROUND(SUMIF(RV_DATA!Q109:'RV_DATA'!Q117, 1810875154, RV_DATA!I109:'RV_DATA'!I117), 6)</f>
        <v>30</v>
      </c>
      <c r="E116" s="53">
        <f>ROUND(Source!AC456*IF(Source!BC456&lt;&gt; 0, Source!BC456, 1), 6)</f>
        <v>8.7360000000000007</v>
      </c>
      <c r="F116" s="53">
        <f>ROUND(SUMIF(RV_DATA!Q109:'RV_DATA'!Q117, 1810875154, RV_DATA!N109:'RV_DATA'!N117), 6)</f>
        <v>262.08</v>
      </c>
      <c r="Q116">
        <v>3</v>
      </c>
    </row>
    <row r="117" spans="1:17" ht="28.5" x14ac:dyDescent="0.2">
      <c r="A117" s="52" t="s">
        <v>571</v>
      </c>
      <c r="B117" s="44" t="s">
        <v>572</v>
      </c>
      <c r="C117" s="44" t="s">
        <v>304</v>
      </c>
      <c r="D117" s="45">
        <f>ROUND(SUMIF(RV_DATA!Q109:'RV_DATA'!Q117, 1132645061, RV_DATA!I109:'RV_DATA'!I117), 6)</f>
        <v>1</v>
      </c>
      <c r="E117" s="53">
        <f>ROUND(Source!AC480*IF(Source!BC480&lt;&gt; 0, Source!BC480, 1), 6)</f>
        <v>1006.408</v>
      </c>
      <c r="F117" s="53">
        <f>ROUND(SUMIF(RV_DATA!Q109:'RV_DATA'!Q117, 1132645061, RV_DATA!N109:'RV_DATA'!N117), 6)</f>
        <v>1006.41</v>
      </c>
      <c r="Q117">
        <v>3</v>
      </c>
    </row>
    <row r="118" spans="1:17" ht="71.25" x14ac:dyDescent="0.2">
      <c r="A118" s="52" t="s">
        <v>546</v>
      </c>
      <c r="B118" s="44" t="s">
        <v>547</v>
      </c>
      <c r="C118" s="44" t="s">
        <v>304</v>
      </c>
      <c r="D118" s="45">
        <f>ROUND(SUMIF(RV_DATA!Q109:'RV_DATA'!Q117, 1087357201, RV_DATA!I109:'RV_DATA'!I117), 6)</f>
        <v>2</v>
      </c>
      <c r="E118" s="53">
        <f>ROUND(Source!AC468*IF(Source!BC468&lt;&gt; 0, Source!BC468, 1), 6)</f>
        <v>65.271699999999996</v>
      </c>
      <c r="F118" s="53">
        <f>ROUND(SUMIF(RV_DATA!Q109:'RV_DATA'!Q117, 1087357201, RV_DATA!N109:'RV_DATA'!N117), 6)</f>
        <v>130.54</v>
      </c>
      <c r="Q118">
        <v>3</v>
      </c>
    </row>
    <row r="119" spans="1:17" ht="57" x14ac:dyDescent="0.2">
      <c r="A119" s="52" t="s">
        <v>550</v>
      </c>
      <c r="B119" s="44" t="s">
        <v>551</v>
      </c>
      <c r="C119" s="44" t="s">
        <v>552</v>
      </c>
      <c r="D119" s="45">
        <f>ROUND(SUMIF(RV_DATA!Q109:'RV_DATA'!Q117, 1327521621, RV_DATA!I109:'RV_DATA'!I117), 6)</f>
        <v>2E-3</v>
      </c>
      <c r="E119" s="53">
        <f>ROUND(Source!AC470*IF(Source!BC470&lt;&gt; 0, Source!BC470, 1), 6)</f>
        <v>7735.8797999999997</v>
      </c>
      <c r="F119" s="53">
        <f>ROUND(SUMIF(RV_DATA!Q109:'RV_DATA'!Q117, 1327521621, RV_DATA!N109:'RV_DATA'!N117), 6)</f>
        <v>15.47</v>
      </c>
      <c r="Q119">
        <v>3</v>
      </c>
    </row>
    <row r="120" spans="1:17" ht="28.5" x14ac:dyDescent="0.2">
      <c r="A120" s="52" t="s">
        <v>528</v>
      </c>
      <c r="B120" s="44" t="s">
        <v>529</v>
      </c>
      <c r="C120" s="44" t="s">
        <v>304</v>
      </c>
      <c r="D120" s="45">
        <f>ROUND(SUMIF(RV_DATA!Q109:'RV_DATA'!Q117, 1320243520, RV_DATA!I109:'RV_DATA'!I117), 6)</f>
        <v>2</v>
      </c>
      <c r="E120" s="53">
        <f>ROUND(Source!AC458*IF(Source!BC458&lt;&gt; 0, Source!BC458, 1), 6)</f>
        <v>94.188000000000002</v>
      </c>
      <c r="F120" s="53">
        <f>ROUND(SUMIF(RV_DATA!Q109:'RV_DATA'!Q117, 1320243520, RV_DATA!N109:'RV_DATA'!N117), 6)</f>
        <v>188.38</v>
      </c>
      <c r="Q120">
        <v>3</v>
      </c>
    </row>
    <row r="121" spans="1:17" ht="57" x14ac:dyDescent="0.2">
      <c r="A121" s="52" t="s">
        <v>559</v>
      </c>
      <c r="B121" s="44" t="s">
        <v>560</v>
      </c>
      <c r="C121" s="44" t="s">
        <v>304</v>
      </c>
      <c r="D121" s="45">
        <f>ROUND(SUMIF(RV_DATA!Q109:'RV_DATA'!Q117, -2049050124, RV_DATA!I109:'RV_DATA'!I117), 6)</f>
        <v>2</v>
      </c>
      <c r="E121" s="53">
        <f>ROUND(Source!AC474*IF(Source!BC474&lt;&gt; 0, Source!BC474, 1), 6)</f>
        <v>1871.9847</v>
      </c>
      <c r="F121" s="53">
        <f>ROUND(SUMIF(RV_DATA!Q109:'RV_DATA'!Q117, -2049050124, RV_DATA!N109:'RV_DATA'!N117), 6)</f>
        <v>3743.97</v>
      </c>
      <c r="Q121">
        <v>3</v>
      </c>
    </row>
    <row r="122" spans="1:17" ht="85.5" x14ac:dyDescent="0.2">
      <c r="A122" s="52" t="s">
        <v>567</v>
      </c>
      <c r="B122" s="44" t="s">
        <v>568</v>
      </c>
      <c r="C122" s="44" t="s">
        <v>304</v>
      </c>
      <c r="D122" s="45">
        <f>ROUND(SUMIF(RV_DATA!Q109:'RV_DATA'!Q117, 355552412, RV_DATA!I109:'RV_DATA'!I117), 6)</f>
        <v>1</v>
      </c>
      <c r="E122" s="53">
        <f>ROUND(Source!AC478*IF(Source!BC478&lt;&gt; 0, Source!BC478, 1), 6)</f>
        <v>10907.0808</v>
      </c>
      <c r="F122" s="53">
        <f>ROUND(SUMIF(RV_DATA!Q109:'RV_DATA'!Q117, 355552412, RV_DATA!N109:'RV_DATA'!N117), 6)</f>
        <v>10907.08</v>
      </c>
      <c r="Q122">
        <v>3</v>
      </c>
    </row>
    <row r="123" spans="1:17" ht="42.75" x14ac:dyDescent="0.2">
      <c r="A123" s="52" t="s">
        <v>506</v>
      </c>
      <c r="B123" s="44" t="s">
        <v>536</v>
      </c>
      <c r="C123" s="44" t="s">
        <v>503</v>
      </c>
      <c r="D123" s="45">
        <f>ROUND(SUMIF(RV_DATA!Q109:'RV_DATA'!Q117, 1095028645, RV_DATA!I109:'RV_DATA'!I117), 6)</f>
        <v>3.1E-2</v>
      </c>
      <c r="E123" s="53">
        <f>ROUND(Source!AC462*IF(Source!BC462&lt;&gt; 0, Source!BC462, 1), 6)</f>
        <v>24222.6993</v>
      </c>
      <c r="F123" s="53">
        <f>ROUND(SUMIF(RV_DATA!Q109:'RV_DATA'!Q117, 1095028645, RV_DATA!N109:'RV_DATA'!N117), 6)</f>
        <v>750.9</v>
      </c>
      <c r="Q123">
        <v>3</v>
      </c>
    </row>
    <row r="124" spans="1:17" ht="114" x14ac:dyDescent="0.2">
      <c r="A124" s="52" t="s">
        <v>538</v>
      </c>
      <c r="B124" s="44" t="s">
        <v>539</v>
      </c>
      <c r="C124" s="44" t="s">
        <v>503</v>
      </c>
      <c r="D124" s="45">
        <f>ROUND(SUMIF(RV_DATA!Q109:'RV_DATA'!Q117, 603367181, RV_DATA!I109:'RV_DATA'!I117), 6)</f>
        <v>6.2E-2</v>
      </c>
      <c r="E124" s="53">
        <f>ROUND(Source!AC464*IF(Source!BC464&lt;&gt; 0, Source!BC464, 1), 6)</f>
        <v>53452.425000000003</v>
      </c>
      <c r="F124" s="53">
        <f>ROUND(SUMIF(RV_DATA!Q109:'RV_DATA'!Q117, 603367181, RV_DATA!N109:'RV_DATA'!N117), 6)</f>
        <v>3314.05</v>
      </c>
      <c r="Q124">
        <v>3</v>
      </c>
    </row>
    <row r="125" spans="1:17" ht="15" x14ac:dyDescent="0.25">
      <c r="A125" s="76" t="s">
        <v>964</v>
      </c>
      <c r="B125" s="76"/>
      <c r="C125" s="76"/>
      <c r="D125" s="76"/>
      <c r="E125" s="77">
        <f>SUMIF(Q116:Q124, 3, F116:F124)</f>
        <v>20318.88</v>
      </c>
      <c r="F125" s="76"/>
    </row>
    <row r="127" spans="1:17" ht="16.5" x14ac:dyDescent="0.2">
      <c r="A127" s="78" t="str">
        <f>CONCATENATE("Итого по разделу: ",IF(Source!G511&lt;&gt;"Новый раздел", Source!G511, ""))</f>
        <v>Итого по разделу: Монтажные работы</v>
      </c>
      <c r="B127" s="79"/>
      <c r="C127" s="79"/>
      <c r="D127" s="79"/>
      <c r="E127" s="79"/>
      <c r="F127" s="80"/>
    </row>
    <row r="128" spans="1:17" ht="15" x14ac:dyDescent="0.25">
      <c r="A128" s="76" t="s">
        <v>964</v>
      </c>
      <c r="B128" s="76"/>
      <c r="C128" s="76"/>
      <c r="D128" s="76"/>
      <c r="E128" s="77">
        <f>SUMIF(Q36:Q127, 3, F36:F127)</f>
        <v>249952.78</v>
      </c>
      <c r="F128" s="76"/>
    </row>
    <row r="129" spans="1:17" ht="14.25" hidden="1" customHeight="1" x14ac:dyDescent="0.25">
      <c r="A129" s="76" t="s">
        <v>965</v>
      </c>
      <c r="B129" s="76"/>
      <c r="C129" s="76"/>
      <c r="D129" s="76"/>
      <c r="E129" s="77">
        <f>SUMIF(Q36:Q128, 4, F36:F128)</f>
        <v>0</v>
      </c>
      <c r="F129" s="76"/>
    </row>
    <row r="130" spans="1:17" ht="14.25" hidden="1" customHeight="1" x14ac:dyDescent="0.25">
      <c r="A130" s="76" t="s">
        <v>966</v>
      </c>
      <c r="B130" s="76"/>
      <c r="C130" s="76"/>
      <c r="D130" s="76"/>
      <c r="E130" s="77">
        <f>SUMIF(Q36:Q129, 5, F36:F129)</f>
        <v>0</v>
      </c>
      <c r="F130" s="76"/>
    </row>
    <row r="131" spans="1:17" ht="14.25" hidden="1" customHeight="1" x14ac:dyDescent="0.25">
      <c r="A131" s="76" t="s">
        <v>967</v>
      </c>
      <c r="B131" s="76"/>
      <c r="C131" s="76"/>
      <c r="D131" s="76"/>
      <c r="E131" s="77">
        <f>SUMIF(Q36:Q130, 6, F36:F130)</f>
        <v>0</v>
      </c>
      <c r="F131" s="76"/>
    </row>
    <row r="133" spans="1:17" ht="16.5" x14ac:dyDescent="0.2">
      <c r="A133" s="81" t="str">
        <f>CONCATENATE("Раздел: ",IF(Source!G542&lt;&gt;"Новый раздел", Source!G542, ""))</f>
        <v>Раздел: Оборудование</v>
      </c>
      <c r="B133" s="82"/>
      <c r="C133" s="82"/>
      <c r="D133" s="82"/>
      <c r="E133" s="82"/>
      <c r="F133" s="82"/>
    </row>
    <row r="134" spans="1:17" ht="14.25" x14ac:dyDescent="0.2">
      <c r="A134" s="83" t="s">
        <v>968</v>
      </c>
      <c r="B134" s="84"/>
      <c r="C134" s="84"/>
      <c r="D134" s="84"/>
      <c r="E134" s="84"/>
      <c r="F134" s="84"/>
    </row>
    <row r="135" spans="1:17" ht="28.5" x14ac:dyDescent="0.2">
      <c r="A135" s="52" t="s">
        <v>576</v>
      </c>
      <c r="B135" s="44" t="s">
        <v>577</v>
      </c>
      <c r="C135" s="44" t="s">
        <v>304</v>
      </c>
      <c r="D135" s="45">
        <f>ROUND(SUMIF(RV_DATA!Q119:'RV_DATA'!Q123, 2086674124, RV_DATA!I119:'RV_DATA'!I123), 6)</f>
        <v>1</v>
      </c>
      <c r="E135" s="53">
        <f>ROUND(Source!AC545*IF(Source!BC545&lt;&gt; 0, Source!BC545, 1), 6)</f>
        <v>192924.92490000001</v>
      </c>
      <c r="F135" s="53">
        <f>ROUND(SUMIF(RV_DATA!Q119:'RV_DATA'!Q123, 2086674124, RV_DATA!N119:'RV_DATA'!N123), 6)</f>
        <v>192924.92</v>
      </c>
      <c r="Q135">
        <v>5</v>
      </c>
    </row>
    <row r="136" spans="1:17" ht="28.5" x14ac:dyDescent="0.2">
      <c r="A136" s="52" t="s">
        <v>258</v>
      </c>
      <c r="B136" s="44" t="s">
        <v>583</v>
      </c>
      <c r="C136" s="44" t="s">
        <v>304</v>
      </c>
      <c r="D136" s="45">
        <f>ROUND(SUMIF(RV_DATA!Q119:'RV_DATA'!Q123, -134010781, RV_DATA!I119:'RV_DATA'!I123), 6)</f>
        <v>1</v>
      </c>
      <c r="E136" s="53">
        <f>ROUND(Source!AC547*IF(Source!BC547&lt;&gt; 0, Source!BC547, 1), 6)</f>
        <v>1933.6706999999999</v>
      </c>
      <c r="F136" s="53">
        <f>ROUND(SUMIF(RV_DATA!Q119:'RV_DATA'!Q123, -134010781, RV_DATA!N119:'RV_DATA'!N123), 6)</f>
        <v>1933.67</v>
      </c>
      <c r="Q136">
        <v>5</v>
      </c>
    </row>
    <row r="137" spans="1:17" ht="28.5" x14ac:dyDescent="0.2">
      <c r="A137" s="52" t="s">
        <v>258</v>
      </c>
      <c r="B137" s="44" t="s">
        <v>586</v>
      </c>
      <c r="C137" s="44" t="s">
        <v>304</v>
      </c>
      <c r="D137" s="45">
        <f>ROUND(SUMIF(RV_DATA!Q119:'RV_DATA'!Q123, -1124013166, RV_DATA!I119:'RV_DATA'!I123), 6)</f>
        <v>2</v>
      </c>
      <c r="E137" s="53">
        <f>ROUND(Source!AC549*IF(Source!BC549&lt;&gt; 0, Source!BC549, 1), 6)</f>
        <v>2586.4425000000001</v>
      </c>
      <c r="F137" s="53">
        <f>ROUND(SUMIF(RV_DATA!Q119:'RV_DATA'!Q123, -1124013166, RV_DATA!N119:'RV_DATA'!N123), 6)</f>
        <v>5172.8900000000003</v>
      </c>
      <c r="Q137">
        <v>5</v>
      </c>
    </row>
    <row r="138" spans="1:17" ht="28.5" x14ac:dyDescent="0.2">
      <c r="A138" s="52" t="s">
        <v>258</v>
      </c>
      <c r="B138" s="44" t="s">
        <v>589</v>
      </c>
      <c r="C138" s="44" t="s">
        <v>304</v>
      </c>
      <c r="D138" s="45">
        <f>ROUND(SUMIF(RV_DATA!Q119:'RV_DATA'!Q123, 624230467, RV_DATA!I119:'RV_DATA'!I123), 6)</f>
        <v>1</v>
      </c>
      <c r="E138" s="53">
        <f>ROUND(Source!AC551*IF(Source!BC551&lt;&gt; 0, Source!BC551, 1), 6)</f>
        <v>3135.5481</v>
      </c>
      <c r="F138" s="53">
        <f>ROUND(SUMIF(RV_DATA!Q119:'RV_DATA'!Q123, 624230467, RV_DATA!N119:'RV_DATA'!N123), 6)</f>
        <v>3135.55</v>
      </c>
      <c r="Q138">
        <v>5</v>
      </c>
    </row>
    <row r="139" spans="1:17" ht="57" x14ac:dyDescent="0.2">
      <c r="A139" s="52" t="s">
        <v>258</v>
      </c>
      <c r="B139" s="44" t="s">
        <v>592</v>
      </c>
      <c r="C139" s="44" t="s">
        <v>304</v>
      </c>
      <c r="D139" s="45">
        <f>ROUND(SUMIF(RV_DATA!Q119:'RV_DATA'!Q123, -87655615, RV_DATA!I119:'RV_DATA'!I123), 6)</f>
        <v>1</v>
      </c>
      <c r="E139" s="53">
        <f>ROUND(Source!AC553*IF(Source!BC553&lt;&gt; 0, Source!BC553, 1), 6)</f>
        <v>44533.514999999999</v>
      </c>
      <c r="F139" s="53">
        <f>ROUND(SUMIF(RV_DATA!Q119:'RV_DATA'!Q123, -87655615, RV_DATA!N119:'RV_DATA'!N123), 6)</f>
        <v>44533.52</v>
      </c>
      <c r="Q139">
        <v>5</v>
      </c>
    </row>
    <row r="140" spans="1:17" ht="15" x14ac:dyDescent="0.25">
      <c r="A140" s="76" t="s">
        <v>966</v>
      </c>
      <c r="B140" s="76"/>
      <c r="C140" s="76"/>
      <c r="D140" s="76"/>
      <c r="E140" s="77">
        <f>SUMIF(Q135:Q139, 5, F135:F139)</f>
        <v>247700.55000000002</v>
      </c>
      <c r="F140" s="76"/>
    </row>
    <row r="142" spans="1:17" ht="16.5" x14ac:dyDescent="0.2">
      <c r="A142" s="78" t="str">
        <f>CONCATENATE("Итого по разделу: ",IF(Source!G555&lt;&gt;"Новый раздел", Source!G555, ""))</f>
        <v>Итого по разделу: Оборудование</v>
      </c>
      <c r="B142" s="79"/>
      <c r="C142" s="79"/>
      <c r="D142" s="79"/>
      <c r="E142" s="79"/>
      <c r="F142" s="80"/>
    </row>
    <row r="143" spans="1:17" ht="14.25" hidden="1" customHeight="1" x14ac:dyDescent="0.25">
      <c r="A143" s="76" t="s">
        <v>964</v>
      </c>
      <c r="B143" s="76"/>
      <c r="C143" s="76"/>
      <c r="D143" s="76"/>
      <c r="E143" s="77">
        <f>SUMIF(Q133:Q142, 3, F133:F142)</f>
        <v>0</v>
      </c>
      <c r="F143" s="76"/>
    </row>
    <row r="144" spans="1:17" ht="14.25" hidden="1" customHeight="1" x14ac:dyDescent="0.25">
      <c r="A144" s="76" t="s">
        <v>965</v>
      </c>
      <c r="B144" s="76"/>
      <c r="C144" s="76"/>
      <c r="D144" s="76"/>
      <c r="E144" s="77">
        <f>SUMIF(Q133:Q143, 4, F133:F143)</f>
        <v>0</v>
      </c>
      <c r="F144" s="76"/>
    </row>
    <row r="145" spans="1:6" ht="15" x14ac:dyDescent="0.25">
      <c r="A145" s="76" t="s">
        <v>966</v>
      </c>
      <c r="B145" s="76"/>
      <c r="C145" s="76"/>
      <c r="D145" s="76"/>
      <c r="E145" s="77">
        <f>SUMIF(Q133:Q144, 5, F133:F144)</f>
        <v>247700.55000000002</v>
      </c>
      <c r="F145" s="76"/>
    </row>
    <row r="146" spans="1:6" ht="14.25" hidden="1" customHeight="1" x14ac:dyDescent="0.25">
      <c r="A146" s="76" t="s">
        <v>967</v>
      </c>
      <c r="B146" s="76"/>
      <c r="C146" s="76"/>
      <c r="D146" s="76"/>
      <c r="E146" s="77">
        <f>SUMIF(Q133:Q145, 6, F133:F145)</f>
        <v>0</v>
      </c>
      <c r="F146" s="76"/>
    </row>
    <row r="148" spans="1:6" ht="16.5" x14ac:dyDescent="0.2">
      <c r="A148" s="81" t="str">
        <f>CONCATENATE("Раздел: ",IF(Source!G586&lt;&gt;"Новый раздел", Source!G586, ""))</f>
        <v>Раздел: Прочие работы</v>
      </c>
      <c r="B148" s="82"/>
      <c r="C148" s="82"/>
      <c r="D148" s="82"/>
      <c r="E148" s="82"/>
      <c r="F148" s="82"/>
    </row>
    <row r="150" spans="1:6" ht="16.5" x14ac:dyDescent="0.2">
      <c r="A150" s="78" t="str">
        <f>CONCATENATE("Итого по разделу: ",IF(Source!G595&lt;&gt;"Новый раздел", Source!G595, ""))</f>
        <v>Итого по разделу: Прочие работы</v>
      </c>
      <c r="B150" s="79"/>
      <c r="C150" s="79"/>
      <c r="D150" s="79"/>
      <c r="E150" s="79"/>
      <c r="F150" s="80"/>
    </row>
    <row r="151" spans="1:6" ht="14.25" hidden="1" customHeight="1" x14ac:dyDescent="0.25">
      <c r="A151" s="76" t="s">
        <v>964</v>
      </c>
      <c r="B151" s="76"/>
      <c r="C151" s="76"/>
      <c r="D151" s="76"/>
      <c r="E151" s="77">
        <f>SUMIF(Q148:Q150, 3, F148:F150)</f>
        <v>0</v>
      </c>
      <c r="F151" s="76"/>
    </row>
    <row r="152" spans="1:6" ht="14.25" hidden="1" customHeight="1" x14ac:dyDescent="0.25">
      <c r="A152" s="76" t="s">
        <v>965</v>
      </c>
      <c r="B152" s="76"/>
      <c r="C152" s="76"/>
      <c r="D152" s="76"/>
      <c r="E152" s="77">
        <f>SUMIF(Q148:Q151, 4, F148:F151)</f>
        <v>0</v>
      </c>
      <c r="F152" s="76"/>
    </row>
    <row r="153" spans="1:6" ht="14.25" hidden="1" customHeight="1" x14ac:dyDescent="0.25">
      <c r="A153" s="76" t="s">
        <v>966</v>
      </c>
      <c r="B153" s="76"/>
      <c r="C153" s="76"/>
      <c r="D153" s="76"/>
      <c r="E153" s="77">
        <f>SUMIF(Q148:Q152, 5, F148:F152)</f>
        <v>0</v>
      </c>
      <c r="F153" s="76"/>
    </row>
    <row r="154" spans="1:6" ht="14.25" hidden="1" customHeight="1" x14ac:dyDescent="0.25">
      <c r="A154" s="76" t="s">
        <v>967</v>
      </c>
      <c r="B154" s="76"/>
      <c r="C154" s="76"/>
      <c r="D154" s="76"/>
      <c r="E154" s="77">
        <f>SUMIF(Q148:Q153, 6, F148:F153)</f>
        <v>0</v>
      </c>
      <c r="F154" s="76"/>
    </row>
    <row r="157" spans="1:6" ht="16.5" x14ac:dyDescent="0.2">
      <c r="A157" s="78" t="str">
        <f>CONCATENATE("Итого по локальной смете:",IF(Source!G624&lt;&gt;"Новая локальная смета", Source!G624, ""))</f>
        <v>Итого по локальной смете:Смета на общестроительные работы</v>
      </c>
      <c r="B157" s="79"/>
      <c r="C157" s="79"/>
      <c r="D157" s="79"/>
      <c r="E157" s="79"/>
      <c r="F157" s="80"/>
    </row>
    <row r="158" spans="1:6" ht="15" x14ac:dyDescent="0.25">
      <c r="A158" s="76" t="s">
        <v>964</v>
      </c>
      <c r="B158" s="76"/>
      <c r="C158" s="76"/>
      <c r="D158" s="76"/>
      <c r="E158" s="77">
        <f>SUMIF(Q1:Q157, 3, F1:F157)</f>
        <v>264484.08</v>
      </c>
      <c r="F158" s="76"/>
    </row>
    <row r="159" spans="1:6" ht="14.25" hidden="1" customHeight="1" x14ac:dyDescent="0.25">
      <c r="A159" s="76" t="s">
        <v>965</v>
      </c>
      <c r="B159" s="76"/>
      <c r="C159" s="76"/>
      <c r="D159" s="76"/>
      <c r="E159" s="77">
        <f>SUMIF(Q1:Q158, 4, F1:F158)</f>
        <v>0</v>
      </c>
      <c r="F159" s="76"/>
    </row>
    <row r="160" spans="1:6" ht="15" x14ac:dyDescent="0.25">
      <c r="A160" s="76" t="s">
        <v>966</v>
      </c>
      <c r="B160" s="76"/>
      <c r="C160" s="76"/>
      <c r="D160" s="76"/>
      <c r="E160" s="77">
        <f>SUMIF(Q1:Q159, 5, F1:F159)</f>
        <v>247700.55000000002</v>
      </c>
      <c r="F160" s="76"/>
    </row>
    <row r="161" spans="1:15" ht="14.25" hidden="1" customHeight="1" x14ac:dyDescent="0.25">
      <c r="A161" s="76" t="s">
        <v>967</v>
      </c>
      <c r="B161" s="76"/>
      <c r="C161" s="76"/>
      <c r="D161" s="76"/>
      <c r="E161" s="77">
        <f>SUMIF(Q1:Q160, 6, F1:F160)</f>
        <v>0</v>
      </c>
      <c r="F161" s="76"/>
    </row>
    <row r="164" spans="1:15" ht="33" x14ac:dyDescent="0.2">
      <c r="A164" s="78" t="str">
        <f>CONCATENATE("Итого по объекту: ",IF(Source!G653&lt;&gt;"Новый объект", Source!G653, ""))</f>
        <v>Итого по объекту: Общестроительные работы ДГП №150 ф2</v>
      </c>
      <c r="B164" s="79"/>
      <c r="C164" s="79"/>
      <c r="D164" s="79"/>
      <c r="E164" s="79"/>
      <c r="F164" s="80"/>
      <c r="O164" s="51" t="s">
        <v>969</v>
      </c>
    </row>
    <row r="165" spans="1:15" ht="15" x14ac:dyDescent="0.25">
      <c r="A165" s="76" t="s">
        <v>964</v>
      </c>
      <c r="B165" s="76"/>
      <c r="C165" s="76"/>
      <c r="D165" s="76"/>
      <c r="E165" s="77">
        <f>SUMIF(Q1:Q164, 3, F1:F164)</f>
        <v>264484.08</v>
      </c>
      <c r="F165" s="76"/>
    </row>
    <row r="166" spans="1:15" ht="14.25" hidden="1" customHeight="1" x14ac:dyDescent="0.25">
      <c r="A166" s="76" t="s">
        <v>965</v>
      </c>
      <c r="B166" s="76"/>
      <c r="C166" s="76"/>
      <c r="D166" s="76"/>
      <c r="E166" s="77">
        <f>SUMIF(Q1:Q165, 4, F1:F165)</f>
        <v>0</v>
      </c>
      <c r="F166" s="76"/>
    </row>
    <row r="167" spans="1:15" ht="15" x14ac:dyDescent="0.25">
      <c r="A167" s="76" t="s">
        <v>966</v>
      </c>
      <c r="B167" s="76"/>
      <c r="C167" s="76"/>
      <c r="D167" s="76"/>
      <c r="E167" s="77">
        <f>SUMIF(Q1:Q166, 5, F1:F166)</f>
        <v>247700.55000000002</v>
      </c>
      <c r="F167" s="76"/>
    </row>
    <row r="168" spans="1:15" ht="14.25" hidden="1" customHeight="1" x14ac:dyDescent="0.25">
      <c r="A168" s="76" t="s">
        <v>967</v>
      </c>
      <c r="B168" s="76"/>
      <c r="C168" s="76"/>
      <c r="D168" s="76"/>
      <c r="E168" s="77">
        <f>SUMIF(Q1:Q167, 6, F1:F167)</f>
        <v>0</v>
      </c>
      <c r="F168" s="76"/>
    </row>
  </sheetData>
  <sortState ref="A135:F139">
    <sortCondition ref="A135"/>
  </sortState>
  <mergeCells count="97">
    <mergeCell ref="A2:F2"/>
    <mergeCell ref="A3:F3"/>
    <mergeCell ref="A4:A6"/>
    <mergeCell ref="B4:B6"/>
    <mergeCell ref="C4:C6"/>
    <mergeCell ref="D4:D6"/>
    <mergeCell ref="E4:F5"/>
    <mergeCell ref="A31:D31"/>
    <mergeCell ref="E31:F31"/>
    <mergeCell ref="A8:F8"/>
    <mergeCell ref="A9:F9"/>
    <mergeCell ref="A10:F10"/>
    <mergeCell ref="A19:D19"/>
    <mergeCell ref="E19:F19"/>
    <mergeCell ref="A20:F20"/>
    <mergeCell ref="A21:F21"/>
    <mergeCell ref="A22:F22"/>
    <mergeCell ref="A28:D28"/>
    <mergeCell ref="E28:F28"/>
    <mergeCell ref="A30:F30"/>
    <mergeCell ref="A67:F67"/>
    <mergeCell ref="A32:D32"/>
    <mergeCell ref="E32:F32"/>
    <mergeCell ref="A33:D33"/>
    <mergeCell ref="E33:F33"/>
    <mergeCell ref="A34:D34"/>
    <mergeCell ref="E34:F34"/>
    <mergeCell ref="A36:F36"/>
    <mergeCell ref="A37:F37"/>
    <mergeCell ref="A38:F38"/>
    <mergeCell ref="A66:D66"/>
    <mergeCell ref="E66:F66"/>
    <mergeCell ref="A115:F115"/>
    <mergeCell ref="A68:F68"/>
    <mergeCell ref="A82:D82"/>
    <mergeCell ref="E82:F82"/>
    <mergeCell ref="A83:F83"/>
    <mergeCell ref="A84:F84"/>
    <mergeCell ref="A104:D104"/>
    <mergeCell ref="E104:F104"/>
    <mergeCell ref="A105:F105"/>
    <mergeCell ref="A106:F106"/>
    <mergeCell ref="A113:D113"/>
    <mergeCell ref="E113:F113"/>
    <mergeCell ref="A114:F114"/>
    <mergeCell ref="A134:F134"/>
    <mergeCell ref="A125:D125"/>
    <mergeCell ref="E125:F125"/>
    <mergeCell ref="A127:F127"/>
    <mergeCell ref="A128:D128"/>
    <mergeCell ref="E128:F128"/>
    <mergeCell ref="A129:D129"/>
    <mergeCell ref="E129:F129"/>
    <mergeCell ref="A130:D130"/>
    <mergeCell ref="E130:F130"/>
    <mergeCell ref="A131:D131"/>
    <mergeCell ref="E131:F131"/>
    <mergeCell ref="A133:F133"/>
    <mergeCell ref="A150:F150"/>
    <mergeCell ref="A140:D140"/>
    <mergeCell ref="E140:F140"/>
    <mergeCell ref="A142:F142"/>
    <mergeCell ref="A143:D143"/>
    <mergeCell ref="E143:F143"/>
    <mergeCell ref="A144:D144"/>
    <mergeCell ref="E144:F144"/>
    <mergeCell ref="A145:D145"/>
    <mergeCell ref="E145:F145"/>
    <mergeCell ref="A146:D146"/>
    <mergeCell ref="E146:F146"/>
    <mergeCell ref="A148:F148"/>
    <mergeCell ref="A151:D151"/>
    <mergeCell ref="E151:F151"/>
    <mergeCell ref="A152:D152"/>
    <mergeCell ref="E152:F152"/>
    <mergeCell ref="A153:D153"/>
    <mergeCell ref="E153:F153"/>
    <mergeCell ref="A165:D165"/>
    <mergeCell ref="E165:F165"/>
    <mergeCell ref="A154:D154"/>
    <mergeCell ref="E154:F154"/>
    <mergeCell ref="A157:F157"/>
    <mergeCell ref="A158:D158"/>
    <mergeCell ref="E158:F158"/>
    <mergeCell ref="A159:D159"/>
    <mergeCell ref="E159:F159"/>
    <mergeCell ref="A160:D160"/>
    <mergeCell ref="E160:F160"/>
    <mergeCell ref="A161:D161"/>
    <mergeCell ref="E161:F161"/>
    <mergeCell ref="A164:F164"/>
    <mergeCell ref="A166:D166"/>
    <mergeCell ref="E166:F166"/>
    <mergeCell ref="A167:D167"/>
    <mergeCell ref="E167:F167"/>
    <mergeCell ref="A168:D168"/>
    <mergeCell ref="E168:F168"/>
  </mergeCells>
  <pageMargins left="0.6" right="0.4" top="0.65" bottom="0.4" header="0.4" footer="0.4"/>
  <pageSetup paperSize="9" scale="90" fitToHeight="0" orientation="portrait" horizontalDpi="4294967295" verticalDpi="4294967295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692"/>
  <sheetViews>
    <sheetView workbookViewId="0">
      <selection activeCell="G13" sqref="G13"/>
    </sheetView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1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</row>
    <row r="12" spans="1:133" x14ac:dyDescent="0.2">
      <c r="A12" s="1">
        <v>1</v>
      </c>
      <c r="B12" s="1">
        <v>686</v>
      </c>
      <c r="C12" s="1">
        <v>0</v>
      </c>
      <c r="D12" s="1">
        <f>ROW(A653)</f>
        <v>653</v>
      </c>
      <c r="E12" s="1">
        <v>0</v>
      </c>
      <c r="F12" s="1" t="s">
        <v>4</v>
      </c>
      <c r="G12" s="1" t="s">
        <v>970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180</v>
      </c>
      <c r="S12" s="1">
        <v>168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5</v>
      </c>
      <c r="AC12" s="1" t="s">
        <v>6</v>
      </c>
      <c r="AD12" s="1" t="s">
        <v>7</v>
      </c>
      <c r="AE12" s="1" t="s">
        <v>8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9</v>
      </c>
      <c r="BI12" s="1" t="s">
        <v>10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11</v>
      </c>
      <c r="BZ12" s="1" t="s">
        <v>12</v>
      </c>
      <c r="CA12" s="1" t="s">
        <v>13</v>
      </c>
      <c r="CB12" s="1" t="s">
        <v>13</v>
      </c>
      <c r="CC12" s="1" t="s">
        <v>13</v>
      </c>
      <c r="CD12" s="1" t="s">
        <v>13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48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5" spans="1:133" x14ac:dyDescent="0.2">
      <c r="A15" s="1">
        <v>15</v>
      </c>
      <c r="B15" s="1">
        <v>1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</row>
    <row r="18" spans="1:255" x14ac:dyDescent="0.2">
      <c r="A18" s="3">
        <v>52</v>
      </c>
      <c r="B18" s="3">
        <f t="shared" ref="B18:G18" si="0">B653</f>
        <v>686</v>
      </c>
      <c r="C18" s="3">
        <f t="shared" si="0"/>
        <v>1</v>
      </c>
      <c r="D18" s="3">
        <f t="shared" si="0"/>
        <v>12</v>
      </c>
      <c r="E18" s="3">
        <f t="shared" si="0"/>
        <v>0</v>
      </c>
      <c r="F18" s="3" t="str">
        <f t="shared" si="0"/>
        <v>Общестроительные работы ДГП №150 ф2 (ТСН-2001 (Мосгосэкспертиза))</v>
      </c>
      <c r="G18" s="3" t="str">
        <f t="shared" si="0"/>
        <v>Общестроительные работы ДГП №150 ф2</v>
      </c>
      <c r="H18" s="3"/>
      <c r="I18" s="3"/>
      <c r="J18" s="3"/>
      <c r="K18" s="3"/>
      <c r="L18" s="3"/>
      <c r="M18" s="3"/>
      <c r="N18" s="3"/>
      <c r="O18" s="3">
        <f t="shared" ref="O18:AT18" si="1">O653</f>
        <v>151320.94</v>
      </c>
      <c r="P18" s="3">
        <f t="shared" si="1"/>
        <v>148666.95000000001</v>
      </c>
      <c r="Q18" s="3">
        <f t="shared" si="1"/>
        <v>769.43</v>
      </c>
      <c r="R18" s="3">
        <f t="shared" si="1"/>
        <v>123.55</v>
      </c>
      <c r="S18" s="3">
        <f t="shared" si="1"/>
        <v>1884.56</v>
      </c>
      <c r="T18" s="3">
        <f t="shared" si="1"/>
        <v>0</v>
      </c>
      <c r="U18" s="3">
        <f t="shared" si="1"/>
        <v>158.05588764999999</v>
      </c>
      <c r="V18" s="3">
        <f t="shared" si="1"/>
        <v>0</v>
      </c>
      <c r="W18" s="3">
        <f t="shared" si="1"/>
        <v>0</v>
      </c>
      <c r="X18" s="3">
        <f t="shared" si="1"/>
        <v>0</v>
      </c>
      <c r="Y18" s="3">
        <f t="shared" si="1"/>
        <v>0</v>
      </c>
      <c r="Z18" s="3">
        <f t="shared" si="1"/>
        <v>0</v>
      </c>
      <c r="AA18" s="3">
        <f t="shared" si="1"/>
        <v>0</v>
      </c>
      <c r="AB18" s="3">
        <f t="shared" si="1"/>
        <v>0</v>
      </c>
      <c r="AC18" s="3">
        <f t="shared" si="1"/>
        <v>0</v>
      </c>
      <c r="AD18" s="3">
        <f t="shared" si="1"/>
        <v>0</v>
      </c>
      <c r="AE18" s="3">
        <f t="shared" si="1"/>
        <v>0</v>
      </c>
      <c r="AF18" s="3">
        <f t="shared" si="1"/>
        <v>0</v>
      </c>
      <c r="AG18" s="3">
        <f t="shared" si="1"/>
        <v>0</v>
      </c>
      <c r="AH18" s="3">
        <f t="shared" si="1"/>
        <v>0</v>
      </c>
      <c r="AI18" s="3">
        <f t="shared" si="1"/>
        <v>0</v>
      </c>
      <c r="AJ18" s="3">
        <f t="shared" si="1"/>
        <v>0</v>
      </c>
      <c r="AK18" s="3">
        <f t="shared" si="1"/>
        <v>0</v>
      </c>
      <c r="AL18" s="3">
        <f t="shared" si="1"/>
        <v>0</v>
      </c>
      <c r="AM18" s="3">
        <f t="shared" si="1"/>
        <v>0</v>
      </c>
      <c r="AN18" s="3">
        <f t="shared" si="1"/>
        <v>0</v>
      </c>
      <c r="AO18" s="3">
        <f t="shared" si="1"/>
        <v>0</v>
      </c>
      <c r="AP18" s="3">
        <f t="shared" si="1"/>
        <v>59400.61</v>
      </c>
      <c r="AQ18" s="3">
        <f t="shared" si="1"/>
        <v>0</v>
      </c>
      <c r="AR18" s="3">
        <f t="shared" si="1"/>
        <v>151543.29999999999</v>
      </c>
      <c r="AS18" s="3">
        <f t="shared" si="1"/>
        <v>81649.36</v>
      </c>
      <c r="AT18" s="3">
        <f t="shared" si="1"/>
        <v>10283.200000000001</v>
      </c>
      <c r="AU18" s="3">
        <f t="shared" ref="AU18:BZ18" si="2">AU653</f>
        <v>210.13</v>
      </c>
      <c r="AV18" s="3">
        <f t="shared" si="2"/>
        <v>148666.95000000001</v>
      </c>
      <c r="AW18" s="3">
        <f t="shared" si="2"/>
        <v>89266.34</v>
      </c>
      <c r="AX18" s="3">
        <f t="shared" si="2"/>
        <v>0</v>
      </c>
      <c r="AY18" s="3">
        <f t="shared" si="2"/>
        <v>89266.34</v>
      </c>
      <c r="AZ18" s="3">
        <f t="shared" si="2"/>
        <v>59400.61</v>
      </c>
      <c r="BA18" s="3">
        <f t="shared" si="2"/>
        <v>0</v>
      </c>
      <c r="BB18" s="3">
        <f t="shared" si="2"/>
        <v>0</v>
      </c>
      <c r="BC18" s="3">
        <f t="shared" si="2"/>
        <v>0</v>
      </c>
      <c r="BD18" s="3">
        <f t="shared" si="2"/>
        <v>0</v>
      </c>
      <c r="BE18" s="3">
        <f t="shared" si="2"/>
        <v>0</v>
      </c>
      <c r="BF18" s="3">
        <f t="shared" si="2"/>
        <v>0</v>
      </c>
      <c r="BG18" s="3">
        <f t="shared" si="2"/>
        <v>0</v>
      </c>
      <c r="BH18" s="3">
        <f t="shared" si="2"/>
        <v>0</v>
      </c>
      <c r="BI18" s="3">
        <f t="shared" si="2"/>
        <v>0</v>
      </c>
      <c r="BJ18" s="3">
        <f t="shared" si="2"/>
        <v>0</v>
      </c>
      <c r="BK18" s="3">
        <f t="shared" si="2"/>
        <v>0</v>
      </c>
      <c r="BL18" s="3">
        <f t="shared" si="2"/>
        <v>0</v>
      </c>
      <c r="BM18" s="3">
        <f t="shared" si="2"/>
        <v>0</v>
      </c>
      <c r="BN18" s="3">
        <f t="shared" si="2"/>
        <v>0</v>
      </c>
      <c r="BO18" s="3">
        <f t="shared" si="2"/>
        <v>0</v>
      </c>
      <c r="BP18" s="3">
        <f t="shared" si="2"/>
        <v>0</v>
      </c>
      <c r="BQ18" s="3">
        <f t="shared" si="2"/>
        <v>0</v>
      </c>
      <c r="BR18" s="3">
        <f t="shared" si="2"/>
        <v>0</v>
      </c>
      <c r="BS18" s="3">
        <f t="shared" si="2"/>
        <v>0</v>
      </c>
      <c r="BT18" s="3">
        <f t="shared" si="2"/>
        <v>0</v>
      </c>
      <c r="BU18" s="3">
        <f t="shared" si="2"/>
        <v>0</v>
      </c>
      <c r="BV18" s="3">
        <f t="shared" si="2"/>
        <v>0</v>
      </c>
      <c r="BW18" s="3">
        <f t="shared" si="2"/>
        <v>0</v>
      </c>
      <c r="BX18" s="3">
        <f t="shared" si="2"/>
        <v>0</v>
      </c>
      <c r="BY18" s="3">
        <f t="shared" si="2"/>
        <v>0</v>
      </c>
      <c r="BZ18" s="3">
        <f t="shared" si="2"/>
        <v>0</v>
      </c>
      <c r="CA18" s="3">
        <f t="shared" ref="CA18:DF18" si="3">CA653</f>
        <v>0</v>
      </c>
      <c r="CB18" s="3">
        <f t="shared" si="3"/>
        <v>0</v>
      </c>
      <c r="CC18" s="3">
        <f t="shared" si="3"/>
        <v>0</v>
      </c>
      <c r="CD18" s="3">
        <f t="shared" si="3"/>
        <v>0</v>
      </c>
      <c r="CE18" s="3">
        <f t="shared" si="3"/>
        <v>0</v>
      </c>
      <c r="CF18" s="3">
        <f t="shared" si="3"/>
        <v>0</v>
      </c>
      <c r="CG18" s="3">
        <f t="shared" si="3"/>
        <v>0</v>
      </c>
      <c r="CH18" s="3">
        <f t="shared" si="3"/>
        <v>0</v>
      </c>
      <c r="CI18" s="3">
        <f t="shared" si="3"/>
        <v>0</v>
      </c>
      <c r="CJ18" s="3">
        <f t="shared" si="3"/>
        <v>0</v>
      </c>
      <c r="CK18" s="3">
        <f t="shared" si="3"/>
        <v>0</v>
      </c>
      <c r="CL18" s="3">
        <f t="shared" si="3"/>
        <v>0</v>
      </c>
      <c r="CM18" s="3">
        <f t="shared" si="3"/>
        <v>0</v>
      </c>
      <c r="CN18" s="3">
        <f t="shared" si="3"/>
        <v>0</v>
      </c>
      <c r="CO18" s="3">
        <f t="shared" si="3"/>
        <v>0</v>
      </c>
      <c r="CP18" s="3">
        <f t="shared" si="3"/>
        <v>0</v>
      </c>
      <c r="CQ18" s="3">
        <f t="shared" si="3"/>
        <v>0</v>
      </c>
      <c r="CR18" s="3">
        <f t="shared" si="3"/>
        <v>0</v>
      </c>
      <c r="CS18" s="3">
        <f t="shared" si="3"/>
        <v>0</v>
      </c>
      <c r="CT18" s="3">
        <f t="shared" si="3"/>
        <v>0</v>
      </c>
      <c r="CU18" s="3">
        <f t="shared" si="3"/>
        <v>0</v>
      </c>
      <c r="CV18" s="3">
        <f t="shared" si="3"/>
        <v>0</v>
      </c>
      <c r="CW18" s="3">
        <f t="shared" si="3"/>
        <v>0</v>
      </c>
      <c r="CX18" s="3">
        <f t="shared" si="3"/>
        <v>0</v>
      </c>
      <c r="CY18" s="3">
        <f t="shared" si="3"/>
        <v>0</v>
      </c>
      <c r="CZ18" s="3">
        <f t="shared" si="3"/>
        <v>0</v>
      </c>
      <c r="DA18" s="3">
        <f t="shared" si="3"/>
        <v>0</v>
      </c>
      <c r="DB18" s="3">
        <f t="shared" si="3"/>
        <v>0</v>
      </c>
      <c r="DC18" s="3">
        <f t="shared" si="3"/>
        <v>0</v>
      </c>
      <c r="DD18" s="3">
        <f t="shared" si="3"/>
        <v>0</v>
      </c>
      <c r="DE18" s="3">
        <f t="shared" si="3"/>
        <v>0</v>
      </c>
      <c r="DF18" s="3">
        <f t="shared" si="3"/>
        <v>0</v>
      </c>
      <c r="DG18" s="4">
        <f t="shared" ref="DG18:EL18" si="4">DG653</f>
        <v>559299.99</v>
      </c>
      <c r="DH18" s="4">
        <f t="shared" si="4"/>
        <v>514087.88</v>
      </c>
      <c r="DI18" s="4">
        <f t="shared" si="4"/>
        <v>6767</v>
      </c>
      <c r="DJ18" s="4">
        <f t="shared" si="4"/>
        <v>2520.1999999999998</v>
      </c>
      <c r="DK18" s="4">
        <f t="shared" si="4"/>
        <v>38445.11</v>
      </c>
      <c r="DL18" s="4">
        <f t="shared" si="4"/>
        <v>0</v>
      </c>
      <c r="DM18" s="4">
        <f t="shared" si="4"/>
        <v>158.05588764999999</v>
      </c>
      <c r="DN18" s="4">
        <f t="shared" si="4"/>
        <v>0</v>
      </c>
      <c r="DO18" s="4">
        <f t="shared" si="4"/>
        <v>0</v>
      </c>
      <c r="DP18" s="4">
        <f t="shared" si="4"/>
        <v>28929.15</v>
      </c>
      <c r="DQ18" s="4">
        <f t="shared" si="4"/>
        <v>15762.45</v>
      </c>
      <c r="DR18" s="4">
        <f t="shared" si="4"/>
        <v>0</v>
      </c>
      <c r="DS18" s="4">
        <f t="shared" si="4"/>
        <v>0</v>
      </c>
      <c r="DT18" s="4">
        <f t="shared" si="4"/>
        <v>0</v>
      </c>
      <c r="DU18" s="4">
        <f t="shared" si="4"/>
        <v>0</v>
      </c>
      <c r="DV18" s="4">
        <f t="shared" si="4"/>
        <v>0</v>
      </c>
      <c r="DW18" s="4">
        <f t="shared" si="4"/>
        <v>0</v>
      </c>
      <c r="DX18" s="4">
        <f t="shared" si="4"/>
        <v>0</v>
      </c>
      <c r="DY18" s="4">
        <f t="shared" si="4"/>
        <v>0</v>
      </c>
      <c r="DZ18" s="4">
        <f t="shared" si="4"/>
        <v>0</v>
      </c>
      <c r="EA18" s="4">
        <f t="shared" si="4"/>
        <v>0</v>
      </c>
      <c r="EB18" s="4">
        <f t="shared" si="4"/>
        <v>0</v>
      </c>
      <c r="EC18" s="4">
        <f t="shared" si="4"/>
        <v>0</v>
      </c>
      <c r="ED18" s="4">
        <f t="shared" si="4"/>
        <v>0</v>
      </c>
      <c r="EE18" s="4">
        <f t="shared" si="4"/>
        <v>0</v>
      </c>
      <c r="EF18" s="4">
        <f t="shared" si="4"/>
        <v>0</v>
      </c>
      <c r="EG18" s="4">
        <f t="shared" si="4"/>
        <v>0</v>
      </c>
      <c r="EH18" s="4">
        <f t="shared" si="4"/>
        <v>247700.55</v>
      </c>
      <c r="EI18" s="4">
        <f t="shared" si="4"/>
        <v>0</v>
      </c>
      <c r="EJ18" s="4">
        <f t="shared" si="4"/>
        <v>608225.55000000005</v>
      </c>
      <c r="EK18" s="4">
        <f t="shared" si="4"/>
        <v>303911.64</v>
      </c>
      <c r="EL18" s="4">
        <f t="shared" si="4"/>
        <v>54759.199999999997</v>
      </c>
      <c r="EM18" s="4">
        <f t="shared" ref="EM18:FR18" si="5">EM653</f>
        <v>1854.16</v>
      </c>
      <c r="EN18" s="4">
        <f t="shared" si="5"/>
        <v>514087.88</v>
      </c>
      <c r="EO18" s="4">
        <f t="shared" si="5"/>
        <v>266387.33</v>
      </c>
      <c r="EP18" s="4">
        <f t="shared" si="5"/>
        <v>0</v>
      </c>
      <c r="EQ18" s="4">
        <f t="shared" si="5"/>
        <v>266387.33</v>
      </c>
      <c r="ER18" s="4">
        <f t="shared" si="5"/>
        <v>247700.55</v>
      </c>
      <c r="ES18" s="4">
        <f t="shared" si="5"/>
        <v>0</v>
      </c>
      <c r="ET18" s="4">
        <f t="shared" si="5"/>
        <v>0</v>
      </c>
      <c r="EU18" s="4">
        <f t="shared" si="5"/>
        <v>0</v>
      </c>
      <c r="EV18" s="4">
        <f t="shared" si="5"/>
        <v>0</v>
      </c>
      <c r="EW18" s="4">
        <f t="shared" si="5"/>
        <v>0</v>
      </c>
      <c r="EX18" s="4">
        <f t="shared" si="5"/>
        <v>0</v>
      </c>
      <c r="EY18" s="4">
        <f t="shared" si="5"/>
        <v>0</v>
      </c>
      <c r="EZ18" s="4">
        <f t="shared" si="5"/>
        <v>0</v>
      </c>
      <c r="FA18" s="4">
        <f t="shared" si="5"/>
        <v>0</v>
      </c>
      <c r="FB18" s="4">
        <f t="shared" si="5"/>
        <v>0</v>
      </c>
      <c r="FC18" s="4">
        <f t="shared" si="5"/>
        <v>0</v>
      </c>
      <c r="FD18" s="4">
        <f t="shared" si="5"/>
        <v>0</v>
      </c>
      <c r="FE18" s="4">
        <f t="shared" si="5"/>
        <v>0</v>
      </c>
      <c r="FF18" s="4">
        <f t="shared" si="5"/>
        <v>0</v>
      </c>
      <c r="FG18" s="4">
        <f t="shared" si="5"/>
        <v>0</v>
      </c>
      <c r="FH18" s="4">
        <f t="shared" si="5"/>
        <v>0</v>
      </c>
      <c r="FI18" s="4">
        <f t="shared" si="5"/>
        <v>0</v>
      </c>
      <c r="FJ18" s="4">
        <f t="shared" si="5"/>
        <v>0</v>
      </c>
      <c r="FK18" s="4">
        <f t="shared" si="5"/>
        <v>0</v>
      </c>
      <c r="FL18" s="4">
        <f t="shared" si="5"/>
        <v>0</v>
      </c>
      <c r="FM18" s="4">
        <f t="shared" si="5"/>
        <v>0</v>
      </c>
      <c r="FN18" s="4">
        <f t="shared" si="5"/>
        <v>0</v>
      </c>
      <c r="FO18" s="4">
        <f t="shared" si="5"/>
        <v>0</v>
      </c>
      <c r="FP18" s="4">
        <f t="shared" si="5"/>
        <v>0</v>
      </c>
      <c r="FQ18" s="4">
        <f t="shared" si="5"/>
        <v>0</v>
      </c>
      <c r="FR18" s="4">
        <f t="shared" si="5"/>
        <v>0</v>
      </c>
      <c r="FS18" s="4">
        <f t="shared" ref="FS18:GX18" si="6">FS653</f>
        <v>0</v>
      </c>
      <c r="FT18" s="4">
        <f t="shared" si="6"/>
        <v>0</v>
      </c>
      <c r="FU18" s="4">
        <f t="shared" si="6"/>
        <v>0</v>
      </c>
      <c r="FV18" s="4">
        <f t="shared" si="6"/>
        <v>0</v>
      </c>
      <c r="FW18" s="4">
        <f t="shared" si="6"/>
        <v>0</v>
      </c>
      <c r="FX18" s="4">
        <f t="shared" si="6"/>
        <v>0</v>
      </c>
      <c r="FY18" s="4">
        <f t="shared" si="6"/>
        <v>0</v>
      </c>
      <c r="FZ18" s="4">
        <f t="shared" si="6"/>
        <v>0</v>
      </c>
      <c r="GA18" s="4">
        <f t="shared" si="6"/>
        <v>0</v>
      </c>
      <c r="GB18" s="4">
        <f t="shared" si="6"/>
        <v>0</v>
      </c>
      <c r="GC18" s="4">
        <f t="shared" si="6"/>
        <v>0</v>
      </c>
      <c r="GD18" s="4">
        <f t="shared" si="6"/>
        <v>0</v>
      </c>
      <c r="GE18" s="4">
        <f t="shared" si="6"/>
        <v>0</v>
      </c>
      <c r="GF18" s="4">
        <f t="shared" si="6"/>
        <v>0</v>
      </c>
      <c r="GG18" s="4">
        <f t="shared" si="6"/>
        <v>0</v>
      </c>
      <c r="GH18" s="4">
        <f t="shared" si="6"/>
        <v>0</v>
      </c>
      <c r="GI18" s="4">
        <f t="shared" si="6"/>
        <v>0</v>
      </c>
      <c r="GJ18" s="4">
        <f t="shared" si="6"/>
        <v>0</v>
      </c>
      <c r="GK18" s="4">
        <f t="shared" si="6"/>
        <v>0</v>
      </c>
      <c r="GL18" s="4">
        <f t="shared" si="6"/>
        <v>0</v>
      </c>
      <c r="GM18" s="4">
        <f t="shared" si="6"/>
        <v>0</v>
      </c>
      <c r="GN18" s="4">
        <f t="shared" si="6"/>
        <v>0</v>
      </c>
      <c r="GO18" s="4">
        <f t="shared" si="6"/>
        <v>0</v>
      </c>
      <c r="GP18" s="4">
        <f t="shared" si="6"/>
        <v>0</v>
      </c>
      <c r="GQ18" s="4">
        <f t="shared" si="6"/>
        <v>0</v>
      </c>
      <c r="GR18" s="4">
        <f t="shared" si="6"/>
        <v>0</v>
      </c>
      <c r="GS18" s="4">
        <f t="shared" si="6"/>
        <v>0</v>
      </c>
      <c r="GT18" s="4">
        <f t="shared" si="6"/>
        <v>0</v>
      </c>
      <c r="GU18" s="4">
        <f t="shared" si="6"/>
        <v>0</v>
      </c>
      <c r="GV18" s="4">
        <f t="shared" si="6"/>
        <v>0</v>
      </c>
      <c r="GW18" s="4">
        <f t="shared" si="6"/>
        <v>0</v>
      </c>
      <c r="GX18" s="4">
        <f t="shared" si="6"/>
        <v>0</v>
      </c>
    </row>
    <row r="20" spans="1:255" x14ac:dyDescent="0.2">
      <c r="A20" s="1">
        <v>3</v>
      </c>
      <c r="B20" s="1">
        <v>1</v>
      </c>
      <c r="C20" s="1"/>
      <c r="D20" s="1">
        <f>ROW(A624)</f>
        <v>624</v>
      </c>
      <c r="E20" s="1"/>
      <c r="F20" s="1" t="s">
        <v>14</v>
      </c>
      <c r="G20" s="1" t="s">
        <v>15</v>
      </c>
      <c r="H20" s="1" t="s">
        <v>3</v>
      </c>
      <c r="I20" s="1">
        <v>0</v>
      </c>
      <c r="J20" s="1" t="s">
        <v>3</v>
      </c>
      <c r="K20" s="1">
        <v>-1</v>
      </c>
      <c r="L20" s="1" t="s">
        <v>3</v>
      </c>
      <c r="M20" s="1"/>
      <c r="N20" s="1"/>
      <c r="O20" s="1"/>
      <c r="P20" s="1"/>
      <c r="Q20" s="1"/>
      <c r="R20" s="1"/>
      <c r="S20" s="1"/>
      <c r="T20" s="1"/>
      <c r="U20" s="1" t="s">
        <v>3</v>
      </c>
      <c r="V20" s="1">
        <v>0</v>
      </c>
      <c r="W20" s="1"/>
      <c r="X20" s="1"/>
      <c r="Y20" s="1"/>
      <c r="Z20" s="1"/>
      <c r="AA20" s="1"/>
      <c r="AB20" s="1" t="s">
        <v>3</v>
      </c>
      <c r="AC20" s="1" t="s">
        <v>3</v>
      </c>
      <c r="AD20" s="1" t="s">
        <v>3</v>
      </c>
      <c r="AE20" s="1" t="s">
        <v>3</v>
      </c>
      <c r="AF20" s="1" t="s">
        <v>3</v>
      </c>
      <c r="AG20" s="1" t="s">
        <v>3</v>
      </c>
      <c r="AH20" s="1"/>
      <c r="AI20" s="1"/>
      <c r="AJ20" s="1"/>
      <c r="AK20" s="1"/>
      <c r="AL20" s="1"/>
      <c r="AM20" s="1"/>
      <c r="AN20" s="1"/>
      <c r="AO20" s="1"/>
      <c r="AP20" s="1" t="s">
        <v>3</v>
      </c>
      <c r="AQ20" s="1" t="s">
        <v>3</v>
      </c>
      <c r="AR20" s="1" t="s">
        <v>3</v>
      </c>
      <c r="AS20" s="1"/>
      <c r="AT20" s="1"/>
      <c r="AU20" s="1"/>
      <c r="AV20" s="1"/>
      <c r="AW20" s="1"/>
      <c r="AX20" s="1"/>
      <c r="AY20" s="1"/>
      <c r="AZ20" s="1" t="s">
        <v>3</v>
      </c>
      <c r="BA20" s="1"/>
      <c r="BB20" s="1" t="s">
        <v>3</v>
      </c>
      <c r="BC20" s="1" t="s">
        <v>3</v>
      </c>
      <c r="BD20" s="1" t="s">
        <v>3</v>
      </c>
      <c r="BE20" s="1" t="s">
        <v>3</v>
      </c>
      <c r="BF20" s="1" t="s">
        <v>3</v>
      </c>
      <c r="BG20" s="1" t="s">
        <v>3</v>
      </c>
      <c r="BH20" s="1" t="s">
        <v>3</v>
      </c>
      <c r="BI20" s="1" t="s">
        <v>3</v>
      </c>
      <c r="BJ20" s="1" t="s">
        <v>3</v>
      </c>
      <c r="BK20" s="1" t="s">
        <v>3</v>
      </c>
      <c r="BL20" s="1" t="s">
        <v>3</v>
      </c>
      <c r="BM20" s="1" t="s">
        <v>3</v>
      </c>
      <c r="BN20" s="1" t="s">
        <v>3</v>
      </c>
      <c r="BO20" s="1" t="s">
        <v>3</v>
      </c>
      <c r="BP20" s="1" t="s">
        <v>3</v>
      </c>
      <c r="BQ20" s="1"/>
      <c r="BR20" s="1"/>
      <c r="BS20" s="1"/>
      <c r="BT20" s="1"/>
      <c r="BU20" s="1"/>
      <c r="BV20" s="1"/>
      <c r="BW20" s="1"/>
      <c r="BX20" s="1">
        <v>0</v>
      </c>
      <c r="BY20" s="1"/>
      <c r="BZ20" s="1"/>
      <c r="CA20" s="1"/>
      <c r="CB20" s="1"/>
      <c r="CC20" s="1"/>
      <c r="CD20" s="1"/>
      <c r="CE20" s="1"/>
      <c r="CF20" s="1">
        <v>0</v>
      </c>
      <c r="CG20" s="1">
        <v>0</v>
      </c>
      <c r="CH20" s="1"/>
      <c r="CI20" s="1" t="s">
        <v>3</v>
      </c>
      <c r="CJ20" s="1" t="s">
        <v>3</v>
      </c>
    </row>
    <row r="22" spans="1:255" x14ac:dyDescent="0.2">
      <c r="A22" s="3">
        <v>52</v>
      </c>
      <c r="B22" s="3">
        <f t="shared" ref="B22:G22" si="7">B624</f>
        <v>1</v>
      </c>
      <c r="C22" s="3">
        <f t="shared" si="7"/>
        <v>3</v>
      </c>
      <c r="D22" s="3">
        <f t="shared" si="7"/>
        <v>20</v>
      </c>
      <c r="E22" s="3">
        <f t="shared" si="7"/>
        <v>0</v>
      </c>
      <c r="F22" s="3" t="str">
        <f t="shared" si="7"/>
        <v>Локальная смета №1</v>
      </c>
      <c r="G22" s="3" t="str">
        <f t="shared" si="7"/>
        <v>Смета на общестроительные работы</v>
      </c>
      <c r="H22" s="3"/>
      <c r="I22" s="3"/>
      <c r="J22" s="3"/>
      <c r="K22" s="3"/>
      <c r="L22" s="3"/>
      <c r="M22" s="3"/>
      <c r="N22" s="3"/>
      <c r="O22" s="3">
        <f t="shared" ref="O22:AT22" si="8">O624</f>
        <v>151320.94</v>
      </c>
      <c r="P22" s="3">
        <f t="shared" si="8"/>
        <v>148666.95000000001</v>
      </c>
      <c r="Q22" s="3">
        <f t="shared" si="8"/>
        <v>769.43</v>
      </c>
      <c r="R22" s="3">
        <f t="shared" si="8"/>
        <v>123.55</v>
      </c>
      <c r="S22" s="3">
        <f t="shared" si="8"/>
        <v>1884.56</v>
      </c>
      <c r="T22" s="3">
        <f t="shared" si="8"/>
        <v>0</v>
      </c>
      <c r="U22" s="3">
        <f t="shared" si="8"/>
        <v>158.05588764999999</v>
      </c>
      <c r="V22" s="3">
        <f t="shared" si="8"/>
        <v>0</v>
      </c>
      <c r="W22" s="3">
        <f t="shared" si="8"/>
        <v>0</v>
      </c>
      <c r="X22" s="3">
        <f t="shared" si="8"/>
        <v>0</v>
      </c>
      <c r="Y22" s="3">
        <f t="shared" si="8"/>
        <v>0</v>
      </c>
      <c r="Z22" s="3">
        <f t="shared" si="8"/>
        <v>0</v>
      </c>
      <c r="AA22" s="3">
        <f t="shared" si="8"/>
        <v>0</v>
      </c>
      <c r="AB22" s="3">
        <f t="shared" si="8"/>
        <v>0</v>
      </c>
      <c r="AC22" s="3">
        <f t="shared" si="8"/>
        <v>0</v>
      </c>
      <c r="AD22" s="3">
        <f t="shared" si="8"/>
        <v>0</v>
      </c>
      <c r="AE22" s="3">
        <f t="shared" si="8"/>
        <v>0</v>
      </c>
      <c r="AF22" s="3">
        <f t="shared" si="8"/>
        <v>0</v>
      </c>
      <c r="AG22" s="3">
        <f t="shared" si="8"/>
        <v>0</v>
      </c>
      <c r="AH22" s="3">
        <f t="shared" si="8"/>
        <v>0</v>
      </c>
      <c r="AI22" s="3">
        <f t="shared" si="8"/>
        <v>0</v>
      </c>
      <c r="AJ22" s="3">
        <f t="shared" si="8"/>
        <v>0</v>
      </c>
      <c r="AK22" s="3">
        <f t="shared" si="8"/>
        <v>0</v>
      </c>
      <c r="AL22" s="3">
        <f t="shared" si="8"/>
        <v>0</v>
      </c>
      <c r="AM22" s="3">
        <f t="shared" si="8"/>
        <v>0</v>
      </c>
      <c r="AN22" s="3">
        <f t="shared" si="8"/>
        <v>0</v>
      </c>
      <c r="AO22" s="3">
        <f t="shared" si="8"/>
        <v>0</v>
      </c>
      <c r="AP22" s="3">
        <f t="shared" si="8"/>
        <v>59400.61</v>
      </c>
      <c r="AQ22" s="3">
        <f t="shared" si="8"/>
        <v>0</v>
      </c>
      <c r="AR22" s="3">
        <f t="shared" si="8"/>
        <v>151543.29999999999</v>
      </c>
      <c r="AS22" s="3">
        <f t="shared" si="8"/>
        <v>81649.36</v>
      </c>
      <c r="AT22" s="3">
        <f t="shared" si="8"/>
        <v>10283.200000000001</v>
      </c>
      <c r="AU22" s="3">
        <f t="shared" ref="AU22:BZ22" si="9">AU624</f>
        <v>210.13</v>
      </c>
      <c r="AV22" s="3">
        <f t="shared" si="9"/>
        <v>148666.95000000001</v>
      </c>
      <c r="AW22" s="3">
        <f t="shared" si="9"/>
        <v>89266.34</v>
      </c>
      <c r="AX22" s="3">
        <f t="shared" si="9"/>
        <v>0</v>
      </c>
      <c r="AY22" s="3">
        <f t="shared" si="9"/>
        <v>89266.34</v>
      </c>
      <c r="AZ22" s="3">
        <f t="shared" si="9"/>
        <v>59400.61</v>
      </c>
      <c r="BA22" s="3">
        <f t="shared" si="9"/>
        <v>0</v>
      </c>
      <c r="BB22" s="3">
        <f t="shared" si="9"/>
        <v>0</v>
      </c>
      <c r="BC22" s="3">
        <f t="shared" si="9"/>
        <v>0</v>
      </c>
      <c r="BD22" s="3">
        <f t="shared" si="9"/>
        <v>0</v>
      </c>
      <c r="BE22" s="3">
        <f t="shared" si="9"/>
        <v>0</v>
      </c>
      <c r="BF22" s="3">
        <f t="shared" si="9"/>
        <v>0</v>
      </c>
      <c r="BG22" s="3">
        <f t="shared" si="9"/>
        <v>0</v>
      </c>
      <c r="BH22" s="3">
        <f t="shared" si="9"/>
        <v>0</v>
      </c>
      <c r="BI22" s="3">
        <f t="shared" si="9"/>
        <v>0</v>
      </c>
      <c r="BJ22" s="3">
        <f t="shared" si="9"/>
        <v>0</v>
      </c>
      <c r="BK22" s="3">
        <f t="shared" si="9"/>
        <v>0</v>
      </c>
      <c r="BL22" s="3">
        <f t="shared" si="9"/>
        <v>0</v>
      </c>
      <c r="BM22" s="3">
        <f t="shared" si="9"/>
        <v>0</v>
      </c>
      <c r="BN22" s="3">
        <f t="shared" si="9"/>
        <v>0</v>
      </c>
      <c r="BO22" s="3">
        <f t="shared" si="9"/>
        <v>0</v>
      </c>
      <c r="BP22" s="3">
        <f t="shared" si="9"/>
        <v>0</v>
      </c>
      <c r="BQ22" s="3">
        <f t="shared" si="9"/>
        <v>0</v>
      </c>
      <c r="BR22" s="3">
        <f t="shared" si="9"/>
        <v>0</v>
      </c>
      <c r="BS22" s="3">
        <f t="shared" si="9"/>
        <v>0</v>
      </c>
      <c r="BT22" s="3">
        <f t="shared" si="9"/>
        <v>0</v>
      </c>
      <c r="BU22" s="3">
        <f t="shared" si="9"/>
        <v>0</v>
      </c>
      <c r="BV22" s="3">
        <f t="shared" si="9"/>
        <v>0</v>
      </c>
      <c r="BW22" s="3">
        <f t="shared" si="9"/>
        <v>0</v>
      </c>
      <c r="BX22" s="3">
        <f t="shared" si="9"/>
        <v>0</v>
      </c>
      <c r="BY22" s="3">
        <f t="shared" si="9"/>
        <v>0</v>
      </c>
      <c r="BZ22" s="3">
        <f t="shared" si="9"/>
        <v>0</v>
      </c>
      <c r="CA22" s="3">
        <f t="shared" ref="CA22:DF22" si="10">CA624</f>
        <v>0</v>
      </c>
      <c r="CB22" s="3">
        <f t="shared" si="10"/>
        <v>0</v>
      </c>
      <c r="CC22" s="3">
        <f t="shared" si="10"/>
        <v>0</v>
      </c>
      <c r="CD22" s="3">
        <f t="shared" si="10"/>
        <v>0</v>
      </c>
      <c r="CE22" s="3">
        <f t="shared" si="10"/>
        <v>0</v>
      </c>
      <c r="CF22" s="3">
        <f t="shared" si="10"/>
        <v>0</v>
      </c>
      <c r="CG22" s="3">
        <f t="shared" si="10"/>
        <v>0</v>
      </c>
      <c r="CH22" s="3">
        <f t="shared" si="10"/>
        <v>0</v>
      </c>
      <c r="CI22" s="3">
        <f t="shared" si="10"/>
        <v>0</v>
      </c>
      <c r="CJ22" s="3">
        <f t="shared" si="10"/>
        <v>0</v>
      </c>
      <c r="CK22" s="3">
        <f t="shared" si="10"/>
        <v>0</v>
      </c>
      <c r="CL22" s="3">
        <f t="shared" si="10"/>
        <v>0</v>
      </c>
      <c r="CM22" s="3">
        <f t="shared" si="10"/>
        <v>0</v>
      </c>
      <c r="CN22" s="3">
        <f t="shared" si="10"/>
        <v>0</v>
      </c>
      <c r="CO22" s="3">
        <f t="shared" si="10"/>
        <v>0</v>
      </c>
      <c r="CP22" s="3">
        <f t="shared" si="10"/>
        <v>0</v>
      </c>
      <c r="CQ22" s="3">
        <f t="shared" si="10"/>
        <v>0</v>
      </c>
      <c r="CR22" s="3">
        <f t="shared" si="10"/>
        <v>0</v>
      </c>
      <c r="CS22" s="3">
        <f t="shared" si="10"/>
        <v>0</v>
      </c>
      <c r="CT22" s="3">
        <f t="shared" si="10"/>
        <v>0</v>
      </c>
      <c r="CU22" s="3">
        <f t="shared" si="10"/>
        <v>0</v>
      </c>
      <c r="CV22" s="3">
        <f t="shared" si="10"/>
        <v>0</v>
      </c>
      <c r="CW22" s="3">
        <f t="shared" si="10"/>
        <v>0</v>
      </c>
      <c r="CX22" s="3">
        <f t="shared" si="10"/>
        <v>0</v>
      </c>
      <c r="CY22" s="3">
        <f t="shared" si="10"/>
        <v>0</v>
      </c>
      <c r="CZ22" s="3">
        <f t="shared" si="10"/>
        <v>0</v>
      </c>
      <c r="DA22" s="3">
        <f t="shared" si="10"/>
        <v>0</v>
      </c>
      <c r="DB22" s="3">
        <f t="shared" si="10"/>
        <v>0</v>
      </c>
      <c r="DC22" s="3">
        <f t="shared" si="10"/>
        <v>0</v>
      </c>
      <c r="DD22" s="3">
        <f t="shared" si="10"/>
        <v>0</v>
      </c>
      <c r="DE22" s="3">
        <f t="shared" si="10"/>
        <v>0</v>
      </c>
      <c r="DF22" s="3">
        <f t="shared" si="10"/>
        <v>0</v>
      </c>
      <c r="DG22" s="4">
        <f t="shared" ref="DG22:EL22" si="11">DG624</f>
        <v>559299.99</v>
      </c>
      <c r="DH22" s="4">
        <f t="shared" si="11"/>
        <v>514087.88</v>
      </c>
      <c r="DI22" s="4">
        <f t="shared" si="11"/>
        <v>6767</v>
      </c>
      <c r="DJ22" s="4">
        <f t="shared" si="11"/>
        <v>2520.1999999999998</v>
      </c>
      <c r="DK22" s="4">
        <f t="shared" si="11"/>
        <v>38445.11</v>
      </c>
      <c r="DL22" s="4">
        <f t="shared" si="11"/>
        <v>0</v>
      </c>
      <c r="DM22" s="4">
        <f t="shared" si="11"/>
        <v>158.05588764999999</v>
      </c>
      <c r="DN22" s="4">
        <f t="shared" si="11"/>
        <v>0</v>
      </c>
      <c r="DO22" s="4">
        <f t="shared" si="11"/>
        <v>0</v>
      </c>
      <c r="DP22" s="4">
        <f t="shared" si="11"/>
        <v>28929.15</v>
      </c>
      <c r="DQ22" s="4">
        <f t="shared" si="11"/>
        <v>15762.45</v>
      </c>
      <c r="DR22" s="4">
        <f t="shared" si="11"/>
        <v>0</v>
      </c>
      <c r="DS22" s="4">
        <f t="shared" si="11"/>
        <v>0</v>
      </c>
      <c r="DT22" s="4">
        <f t="shared" si="11"/>
        <v>0</v>
      </c>
      <c r="DU22" s="4">
        <f t="shared" si="11"/>
        <v>0</v>
      </c>
      <c r="DV22" s="4">
        <f t="shared" si="11"/>
        <v>0</v>
      </c>
      <c r="DW22" s="4">
        <f t="shared" si="11"/>
        <v>0</v>
      </c>
      <c r="DX22" s="4">
        <f t="shared" si="11"/>
        <v>0</v>
      </c>
      <c r="DY22" s="4">
        <f t="shared" si="11"/>
        <v>0</v>
      </c>
      <c r="DZ22" s="4">
        <f t="shared" si="11"/>
        <v>0</v>
      </c>
      <c r="EA22" s="4">
        <f t="shared" si="11"/>
        <v>0</v>
      </c>
      <c r="EB22" s="4">
        <f t="shared" si="11"/>
        <v>0</v>
      </c>
      <c r="EC22" s="4">
        <f t="shared" si="11"/>
        <v>0</v>
      </c>
      <c r="ED22" s="4">
        <f t="shared" si="11"/>
        <v>0</v>
      </c>
      <c r="EE22" s="4">
        <f t="shared" si="11"/>
        <v>0</v>
      </c>
      <c r="EF22" s="4">
        <f t="shared" si="11"/>
        <v>0</v>
      </c>
      <c r="EG22" s="4">
        <f t="shared" si="11"/>
        <v>0</v>
      </c>
      <c r="EH22" s="4">
        <f t="shared" si="11"/>
        <v>247700.55</v>
      </c>
      <c r="EI22" s="4">
        <f t="shared" si="11"/>
        <v>0</v>
      </c>
      <c r="EJ22" s="4">
        <f t="shared" si="11"/>
        <v>608225.55000000005</v>
      </c>
      <c r="EK22" s="4">
        <f t="shared" si="11"/>
        <v>303911.64</v>
      </c>
      <c r="EL22" s="4">
        <f t="shared" si="11"/>
        <v>54759.199999999997</v>
      </c>
      <c r="EM22" s="4">
        <f t="shared" ref="EM22:FR22" si="12">EM624</f>
        <v>1854.16</v>
      </c>
      <c r="EN22" s="4">
        <f t="shared" si="12"/>
        <v>514087.88</v>
      </c>
      <c r="EO22" s="4">
        <f t="shared" si="12"/>
        <v>266387.33</v>
      </c>
      <c r="EP22" s="4">
        <f t="shared" si="12"/>
        <v>0</v>
      </c>
      <c r="EQ22" s="4">
        <f t="shared" si="12"/>
        <v>266387.33</v>
      </c>
      <c r="ER22" s="4">
        <f t="shared" si="12"/>
        <v>247700.55</v>
      </c>
      <c r="ES22" s="4">
        <f t="shared" si="12"/>
        <v>0</v>
      </c>
      <c r="ET22" s="4">
        <f t="shared" si="12"/>
        <v>0</v>
      </c>
      <c r="EU22" s="4">
        <f t="shared" si="12"/>
        <v>0</v>
      </c>
      <c r="EV22" s="4">
        <f t="shared" si="12"/>
        <v>0</v>
      </c>
      <c r="EW22" s="4">
        <f t="shared" si="12"/>
        <v>0</v>
      </c>
      <c r="EX22" s="4">
        <f t="shared" si="12"/>
        <v>0</v>
      </c>
      <c r="EY22" s="4">
        <f t="shared" si="12"/>
        <v>0</v>
      </c>
      <c r="EZ22" s="4">
        <f t="shared" si="12"/>
        <v>0</v>
      </c>
      <c r="FA22" s="4">
        <f t="shared" si="12"/>
        <v>0</v>
      </c>
      <c r="FB22" s="4">
        <f t="shared" si="12"/>
        <v>0</v>
      </c>
      <c r="FC22" s="4">
        <f t="shared" si="12"/>
        <v>0</v>
      </c>
      <c r="FD22" s="4">
        <f t="shared" si="12"/>
        <v>0</v>
      </c>
      <c r="FE22" s="4">
        <f t="shared" si="12"/>
        <v>0</v>
      </c>
      <c r="FF22" s="4">
        <f t="shared" si="12"/>
        <v>0</v>
      </c>
      <c r="FG22" s="4">
        <f t="shared" si="12"/>
        <v>0</v>
      </c>
      <c r="FH22" s="4">
        <f t="shared" si="12"/>
        <v>0</v>
      </c>
      <c r="FI22" s="4">
        <f t="shared" si="12"/>
        <v>0</v>
      </c>
      <c r="FJ22" s="4">
        <f t="shared" si="12"/>
        <v>0</v>
      </c>
      <c r="FK22" s="4">
        <f t="shared" si="12"/>
        <v>0</v>
      </c>
      <c r="FL22" s="4">
        <f t="shared" si="12"/>
        <v>0</v>
      </c>
      <c r="FM22" s="4">
        <f t="shared" si="12"/>
        <v>0</v>
      </c>
      <c r="FN22" s="4">
        <f t="shared" si="12"/>
        <v>0</v>
      </c>
      <c r="FO22" s="4">
        <f t="shared" si="12"/>
        <v>0</v>
      </c>
      <c r="FP22" s="4">
        <f t="shared" si="12"/>
        <v>0</v>
      </c>
      <c r="FQ22" s="4">
        <f t="shared" si="12"/>
        <v>0</v>
      </c>
      <c r="FR22" s="4">
        <f t="shared" si="12"/>
        <v>0</v>
      </c>
      <c r="FS22" s="4">
        <f t="shared" ref="FS22:GX22" si="13">FS624</f>
        <v>0</v>
      </c>
      <c r="FT22" s="4">
        <f t="shared" si="13"/>
        <v>0</v>
      </c>
      <c r="FU22" s="4">
        <f t="shared" si="13"/>
        <v>0</v>
      </c>
      <c r="FV22" s="4">
        <f t="shared" si="13"/>
        <v>0</v>
      </c>
      <c r="FW22" s="4">
        <f t="shared" si="13"/>
        <v>0</v>
      </c>
      <c r="FX22" s="4">
        <f t="shared" si="13"/>
        <v>0</v>
      </c>
      <c r="FY22" s="4">
        <f t="shared" si="13"/>
        <v>0</v>
      </c>
      <c r="FZ22" s="4">
        <f t="shared" si="13"/>
        <v>0</v>
      </c>
      <c r="GA22" s="4">
        <f t="shared" si="13"/>
        <v>0</v>
      </c>
      <c r="GB22" s="4">
        <f t="shared" si="13"/>
        <v>0</v>
      </c>
      <c r="GC22" s="4">
        <f t="shared" si="13"/>
        <v>0</v>
      </c>
      <c r="GD22" s="4">
        <f t="shared" si="13"/>
        <v>0</v>
      </c>
      <c r="GE22" s="4">
        <f t="shared" si="13"/>
        <v>0</v>
      </c>
      <c r="GF22" s="4">
        <f t="shared" si="13"/>
        <v>0</v>
      </c>
      <c r="GG22" s="4">
        <f t="shared" si="13"/>
        <v>0</v>
      </c>
      <c r="GH22" s="4">
        <f t="shared" si="13"/>
        <v>0</v>
      </c>
      <c r="GI22" s="4">
        <f t="shared" si="13"/>
        <v>0</v>
      </c>
      <c r="GJ22" s="4">
        <f t="shared" si="13"/>
        <v>0</v>
      </c>
      <c r="GK22" s="4">
        <f t="shared" si="13"/>
        <v>0</v>
      </c>
      <c r="GL22" s="4">
        <f t="shared" si="13"/>
        <v>0</v>
      </c>
      <c r="GM22" s="4">
        <f t="shared" si="13"/>
        <v>0</v>
      </c>
      <c r="GN22" s="4">
        <f t="shared" si="13"/>
        <v>0</v>
      </c>
      <c r="GO22" s="4">
        <f t="shared" si="13"/>
        <v>0</v>
      </c>
      <c r="GP22" s="4">
        <f t="shared" si="13"/>
        <v>0</v>
      </c>
      <c r="GQ22" s="4">
        <f t="shared" si="13"/>
        <v>0</v>
      </c>
      <c r="GR22" s="4">
        <f t="shared" si="13"/>
        <v>0</v>
      </c>
      <c r="GS22" s="4">
        <f t="shared" si="13"/>
        <v>0</v>
      </c>
      <c r="GT22" s="4">
        <f t="shared" si="13"/>
        <v>0</v>
      </c>
      <c r="GU22" s="4">
        <f t="shared" si="13"/>
        <v>0</v>
      </c>
      <c r="GV22" s="4">
        <f t="shared" si="13"/>
        <v>0</v>
      </c>
      <c r="GW22" s="4">
        <f t="shared" si="13"/>
        <v>0</v>
      </c>
      <c r="GX22" s="4">
        <f t="shared" si="13"/>
        <v>0</v>
      </c>
    </row>
    <row r="24" spans="1:255" x14ac:dyDescent="0.2">
      <c r="A24" s="1">
        <v>4</v>
      </c>
      <c r="B24" s="1">
        <v>1</v>
      </c>
      <c r="C24" s="1"/>
      <c r="D24" s="1">
        <f>ROW(A63)</f>
        <v>63</v>
      </c>
      <c r="E24" s="1"/>
      <c r="F24" s="1" t="s">
        <v>16</v>
      </c>
      <c r="G24" s="1" t="s">
        <v>17</v>
      </c>
      <c r="H24" s="1" t="s">
        <v>3</v>
      </c>
      <c r="I24" s="1">
        <v>0</v>
      </c>
      <c r="J24" s="1"/>
      <c r="K24" s="1">
        <v>0</v>
      </c>
      <c r="L24" s="1"/>
      <c r="M24" s="1"/>
      <c r="N24" s="1"/>
      <c r="O24" s="1"/>
      <c r="P24" s="1"/>
      <c r="Q24" s="1"/>
      <c r="R24" s="1"/>
      <c r="S24" s="1"/>
      <c r="T24" s="1"/>
      <c r="U24" s="1" t="s">
        <v>3</v>
      </c>
      <c r="V24" s="1">
        <v>0</v>
      </c>
      <c r="W24" s="1"/>
      <c r="X24" s="1"/>
      <c r="Y24" s="1"/>
      <c r="Z24" s="1"/>
      <c r="AA24" s="1"/>
      <c r="AB24" s="1" t="s">
        <v>3</v>
      </c>
      <c r="AC24" s="1" t="s">
        <v>3</v>
      </c>
      <c r="AD24" s="1" t="s">
        <v>3</v>
      </c>
      <c r="AE24" s="1" t="s">
        <v>3</v>
      </c>
      <c r="AF24" s="1" t="s">
        <v>3</v>
      </c>
      <c r="AG24" s="1" t="s">
        <v>3</v>
      </c>
      <c r="AH24" s="1"/>
      <c r="AI24" s="1"/>
      <c r="AJ24" s="1"/>
      <c r="AK24" s="1"/>
      <c r="AL24" s="1"/>
      <c r="AM24" s="1"/>
      <c r="AN24" s="1"/>
      <c r="AO24" s="1"/>
      <c r="AP24" s="1" t="s">
        <v>3</v>
      </c>
      <c r="AQ24" s="1" t="s">
        <v>3</v>
      </c>
      <c r="AR24" s="1" t="s">
        <v>3</v>
      </c>
      <c r="AS24" s="1"/>
      <c r="AT24" s="1"/>
      <c r="AU24" s="1"/>
      <c r="AV24" s="1"/>
      <c r="AW24" s="1"/>
      <c r="AX24" s="1"/>
      <c r="AY24" s="1"/>
      <c r="AZ24" s="1" t="s">
        <v>3</v>
      </c>
      <c r="BA24" s="1"/>
      <c r="BB24" s="1" t="s">
        <v>3</v>
      </c>
      <c r="BC24" s="1" t="s">
        <v>3</v>
      </c>
      <c r="BD24" s="1" t="s">
        <v>3</v>
      </c>
      <c r="BE24" s="1" t="s">
        <v>3</v>
      </c>
      <c r="BF24" s="1" t="s">
        <v>3</v>
      </c>
      <c r="BG24" s="1" t="s">
        <v>3</v>
      </c>
      <c r="BH24" s="1" t="s">
        <v>3</v>
      </c>
      <c r="BI24" s="1" t="s">
        <v>3</v>
      </c>
      <c r="BJ24" s="1" t="s">
        <v>3</v>
      </c>
      <c r="BK24" s="1" t="s">
        <v>3</v>
      </c>
      <c r="BL24" s="1" t="s">
        <v>3</v>
      </c>
      <c r="BM24" s="1" t="s">
        <v>3</v>
      </c>
      <c r="BN24" s="1" t="s">
        <v>3</v>
      </c>
      <c r="BO24" s="1" t="s">
        <v>3</v>
      </c>
      <c r="BP24" s="1" t="s">
        <v>3</v>
      </c>
      <c r="BQ24" s="1"/>
      <c r="BR24" s="1"/>
      <c r="BS24" s="1"/>
      <c r="BT24" s="1"/>
      <c r="BU24" s="1"/>
      <c r="BV24" s="1"/>
      <c r="BW24" s="1"/>
      <c r="BX24" s="1">
        <v>0</v>
      </c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>
        <v>0</v>
      </c>
    </row>
    <row r="26" spans="1:255" x14ac:dyDescent="0.2">
      <c r="A26" s="3">
        <v>52</v>
      </c>
      <c r="B26" s="3">
        <f t="shared" ref="B26:G26" si="14">B63</f>
        <v>1</v>
      </c>
      <c r="C26" s="3">
        <f t="shared" si="14"/>
        <v>4</v>
      </c>
      <c r="D26" s="3">
        <f t="shared" si="14"/>
        <v>24</v>
      </c>
      <c r="E26" s="3">
        <f t="shared" si="14"/>
        <v>0</v>
      </c>
      <c r="F26" s="3" t="str">
        <f t="shared" si="14"/>
        <v>Новый раздел</v>
      </c>
      <c r="G26" s="3" t="str">
        <f t="shared" si="14"/>
        <v>Наружные работы</v>
      </c>
      <c r="H26" s="3"/>
      <c r="I26" s="3"/>
      <c r="J26" s="3"/>
      <c r="K26" s="3"/>
      <c r="L26" s="3"/>
      <c r="M26" s="3"/>
      <c r="N26" s="3"/>
      <c r="O26" s="3">
        <f t="shared" ref="O26:AT26" si="15">O63</f>
        <v>4038.94</v>
      </c>
      <c r="P26" s="3">
        <f t="shared" si="15"/>
        <v>3347.09</v>
      </c>
      <c r="Q26" s="3">
        <f t="shared" si="15"/>
        <v>368.07</v>
      </c>
      <c r="R26" s="3">
        <f t="shared" si="15"/>
        <v>35.51</v>
      </c>
      <c r="S26" s="3">
        <f t="shared" si="15"/>
        <v>323.77999999999997</v>
      </c>
      <c r="T26" s="3">
        <f t="shared" si="15"/>
        <v>0</v>
      </c>
      <c r="U26" s="3">
        <f t="shared" si="15"/>
        <v>30.291389649999999</v>
      </c>
      <c r="V26" s="3">
        <f t="shared" si="15"/>
        <v>0</v>
      </c>
      <c r="W26" s="3">
        <f t="shared" si="15"/>
        <v>0</v>
      </c>
      <c r="X26" s="3">
        <f t="shared" si="15"/>
        <v>0</v>
      </c>
      <c r="Y26" s="3">
        <f t="shared" si="15"/>
        <v>0</v>
      </c>
      <c r="Z26" s="3">
        <f t="shared" si="15"/>
        <v>0</v>
      </c>
      <c r="AA26" s="3">
        <f t="shared" si="15"/>
        <v>0</v>
      </c>
      <c r="AB26" s="3">
        <f t="shared" si="15"/>
        <v>4038.94</v>
      </c>
      <c r="AC26" s="3">
        <f t="shared" si="15"/>
        <v>3347.09</v>
      </c>
      <c r="AD26" s="3">
        <f t="shared" si="15"/>
        <v>368.07</v>
      </c>
      <c r="AE26" s="3">
        <f t="shared" si="15"/>
        <v>35.51</v>
      </c>
      <c r="AF26" s="3">
        <f t="shared" si="15"/>
        <v>323.77999999999997</v>
      </c>
      <c r="AG26" s="3">
        <f t="shared" si="15"/>
        <v>0</v>
      </c>
      <c r="AH26" s="3">
        <f t="shared" si="15"/>
        <v>30.291389649999999</v>
      </c>
      <c r="AI26" s="3">
        <f t="shared" si="15"/>
        <v>0</v>
      </c>
      <c r="AJ26" s="3">
        <f t="shared" si="15"/>
        <v>0</v>
      </c>
      <c r="AK26" s="3">
        <f t="shared" si="15"/>
        <v>0</v>
      </c>
      <c r="AL26" s="3">
        <f t="shared" si="15"/>
        <v>0</v>
      </c>
      <c r="AM26" s="3">
        <f t="shared" si="15"/>
        <v>0</v>
      </c>
      <c r="AN26" s="3">
        <f t="shared" si="15"/>
        <v>0</v>
      </c>
      <c r="AO26" s="3">
        <f t="shared" si="15"/>
        <v>0</v>
      </c>
      <c r="AP26" s="3">
        <f t="shared" si="15"/>
        <v>0</v>
      </c>
      <c r="AQ26" s="3">
        <f t="shared" si="15"/>
        <v>0</v>
      </c>
      <c r="AR26" s="3">
        <f t="shared" si="15"/>
        <v>4102.8500000000004</v>
      </c>
      <c r="AS26" s="3">
        <f t="shared" si="15"/>
        <v>3927.07</v>
      </c>
      <c r="AT26" s="3">
        <f t="shared" si="15"/>
        <v>0</v>
      </c>
      <c r="AU26" s="3">
        <f t="shared" ref="AU26:BZ26" si="16">AU63</f>
        <v>175.78</v>
      </c>
      <c r="AV26" s="3">
        <f t="shared" si="16"/>
        <v>3347.09</v>
      </c>
      <c r="AW26" s="3">
        <f t="shared" si="16"/>
        <v>3347.09</v>
      </c>
      <c r="AX26" s="3">
        <f t="shared" si="16"/>
        <v>0</v>
      </c>
      <c r="AY26" s="3">
        <f t="shared" si="16"/>
        <v>3347.09</v>
      </c>
      <c r="AZ26" s="3">
        <f t="shared" si="16"/>
        <v>0</v>
      </c>
      <c r="BA26" s="3">
        <f t="shared" si="16"/>
        <v>0</v>
      </c>
      <c r="BB26" s="3">
        <f t="shared" si="16"/>
        <v>0</v>
      </c>
      <c r="BC26" s="3">
        <f t="shared" si="16"/>
        <v>0</v>
      </c>
      <c r="BD26" s="3">
        <f t="shared" si="16"/>
        <v>0</v>
      </c>
      <c r="BE26" s="3">
        <f t="shared" si="16"/>
        <v>0</v>
      </c>
      <c r="BF26" s="3">
        <f t="shared" si="16"/>
        <v>0</v>
      </c>
      <c r="BG26" s="3">
        <f t="shared" si="16"/>
        <v>0</v>
      </c>
      <c r="BH26" s="3">
        <f t="shared" si="16"/>
        <v>0</v>
      </c>
      <c r="BI26" s="3">
        <f t="shared" si="16"/>
        <v>0</v>
      </c>
      <c r="BJ26" s="3">
        <f t="shared" si="16"/>
        <v>0</v>
      </c>
      <c r="BK26" s="3">
        <f t="shared" si="16"/>
        <v>0</v>
      </c>
      <c r="BL26" s="3">
        <f t="shared" si="16"/>
        <v>0</v>
      </c>
      <c r="BM26" s="3">
        <f t="shared" si="16"/>
        <v>0</v>
      </c>
      <c r="BN26" s="3">
        <f t="shared" si="16"/>
        <v>0</v>
      </c>
      <c r="BO26" s="3">
        <f t="shared" si="16"/>
        <v>0</v>
      </c>
      <c r="BP26" s="3">
        <f t="shared" si="16"/>
        <v>0</v>
      </c>
      <c r="BQ26" s="3">
        <f t="shared" si="16"/>
        <v>0</v>
      </c>
      <c r="BR26" s="3">
        <f t="shared" si="16"/>
        <v>0</v>
      </c>
      <c r="BS26" s="3">
        <f t="shared" si="16"/>
        <v>0</v>
      </c>
      <c r="BT26" s="3">
        <f t="shared" si="16"/>
        <v>0</v>
      </c>
      <c r="BU26" s="3">
        <f t="shared" si="16"/>
        <v>0</v>
      </c>
      <c r="BV26" s="3">
        <f t="shared" si="16"/>
        <v>0</v>
      </c>
      <c r="BW26" s="3">
        <f t="shared" si="16"/>
        <v>0</v>
      </c>
      <c r="BX26" s="3">
        <f t="shared" si="16"/>
        <v>0</v>
      </c>
      <c r="BY26" s="3">
        <f t="shared" si="16"/>
        <v>0</v>
      </c>
      <c r="BZ26" s="3">
        <f t="shared" si="16"/>
        <v>0</v>
      </c>
      <c r="CA26" s="3">
        <f t="shared" ref="CA26:DF26" si="17">CA63</f>
        <v>4102.8500000000004</v>
      </c>
      <c r="CB26" s="3">
        <f t="shared" si="17"/>
        <v>3927.07</v>
      </c>
      <c r="CC26" s="3">
        <f t="shared" si="17"/>
        <v>0</v>
      </c>
      <c r="CD26" s="3">
        <f t="shared" si="17"/>
        <v>175.78</v>
      </c>
      <c r="CE26" s="3">
        <f t="shared" si="17"/>
        <v>3347.09</v>
      </c>
      <c r="CF26" s="3">
        <f t="shared" si="17"/>
        <v>3347.09</v>
      </c>
      <c r="CG26" s="3">
        <f t="shared" si="17"/>
        <v>0</v>
      </c>
      <c r="CH26" s="3">
        <f t="shared" si="17"/>
        <v>3347.09</v>
      </c>
      <c r="CI26" s="3">
        <f t="shared" si="17"/>
        <v>0</v>
      </c>
      <c r="CJ26" s="3">
        <f t="shared" si="17"/>
        <v>0</v>
      </c>
      <c r="CK26" s="3">
        <f t="shared" si="17"/>
        <v>0</v>
      </c>
      <c r="CL26" s="3">
        <f t="shared" si="17"/>
        <v>0</v>
      </c>
      <c r="CM26" s="3">
        <f t="shared" si="17"/>
        <v>0</v>
      </c>
      <c r="CN26" s="3">
        <f t="shared" si="17"/>
        <v>0</v>
      </c>
      <c r="CO26" s="3">
        <f t="shared" si="17"/>
        <v>0</v>
      </c>
      <c r="CP26" s="3">
        <f t="shared" si="17"/>
        <v>0</v>
      </c>
      <c r="CQ26" s="3">
        <f t="shared" si="17"/>
        <v>0</v>
      </c>
      <c r="CR26" s="3">
        <f t="shared" si="17"/>
        <v>0</v>
      </c>
      <c r="CS26" s="3">
        <f t="shared" si="17"/>
        <v>0</v>
      </c>
      <c r="CT26" s="3">
        <f t="shared" si="17"/>
        <v>0</v>
      </c>
      <c r="CU26" s="3">
        <f t="shared" si="17"/>
        <v>0</v>
      </c>
      <c r="CV26" s="3">
        <f t="shared" si="17"/>
        <v>0</v>
      </c>
      <c r="CW26" s="3">
        <f t="shared" si="17"/>
        <v>0</v>
      </c>
      <c r="CX26" s="3">
        <f t="shared" si="17"/>
        <v>0</v>
      </c>
      <c r="CY26" s="3">
        <f t="shared" si="17"/>
        <v>0</v>
      </c>
      <c r="CZ26" s="3">
        <f t="shared" si="17"/>
        <v>0</v>
      </c>
      <c r="DA26" s="3">
        <f t="shared" si="17"/>
        <v>0</v>
      </c>
      <c r="DB26" s="3">
        <f t="shared" si="17"/>
        <v>0</v>
      </c>
      <c r="DC26" s="3">
        <f t="shared" si="17"/>
        <v>0</v>
      </c>
      <c r="DD26" s="3">
        <f t="shared" si="17"/>
        <v>0</v>
      </c>
      <c r="DE26" s="3">
        <f t="shared" si="17"/>
        <v>0</v>
      </c>
      <c r="DF26" s="3">
        <f t="shared" si="17"/>
        <v>0</v>
      </c>
      <c r="DG26" s="4">
        <f t="shared" ref="DG26:EL26" si="18">DG63</f>
        <v>24518.93</v>
      </c>
      <c r="DH26" s="4">
        <f t="shared" si="18"/>
        <v>14477.79</v>
      </c>
      <c r="DI26" s="4">
        <f t="shared" si="18"/>
        <v>3435.99</v>
      </c>
      <c r="DJ26" s="4">
        <f t="shared" si="18"/>
        <v>724.45</v>
      </c>
      <c r="DK26" s="4">
        <f t="shared" si="18"/>
        <v>6605.15</v>
      </c>
      <c r="DL26" s="4">
        <f t="shared" si="18"/>
        <v>0</v>
      </c>
      <c r="DM26" s="4">
        <f t="shared" si="18"/>
        <v>30.291389649999999</v>
      </c>
      <c r="DN26" s="4">
        <f t="shared" si="18"/>
        <v>0</v>
      </c>
      <c r="DO26" s="4">
        <f t="shared" si="18"/>
        <v>0</v>
      </c>
      <c r="DP26" s="4">
        <f t="shared" si="18"/>
        <v>5241.09</v>
      </c>
      <c r="DQ26" s="4">
        <f t="shared" si="18"/>
        <v>2708.1</v>
      </c>
      <c r="DR26" s="4">
        <f t="shared" si="18"/>
        <v>0</v>
      </c>
      <c r="DS26" s="4">
        <f t="shared" si="18"/>
        <v>0</v>
      </c>
      <c r="DT26" s="4">
        <f t="shared" si="18"/>
        <v>24518.93</v>
      </c>
      <c r="DU26" s="4">
        <f t="shared" si="18"/>
        <v>14477.79</v>
      </c>
      <c r="DV26" s="4">
        <f t="shared" si="18"/>
        <v>3435.99</v>
      </c>
      <c r="DW26" s="4">
        <f t="shared" si="18"/>
        <v>724.45</v>
      </c>
      <c r="DX26" s="4">
        <f t="shared" si="18"/>
        <v>6605.15</v>
      </c>
      <c r="DY26" s="4">
        <f t="shared" si="18"/>
        <v>0</v>
      </c>
      <c r="DZ26" s="4">
        <f t="shared" si="18"/>
        <v>30.291389649999999</v>
      </c>
      <c r="EA26" s="4">
        <f t="shared" si="18"/>
        <v>0</v>
      </c>
      <c r="EB26" s="4">
        <f t="shared" si="18"/>
        <v>0</v>
      </c>
      <c r="EC26" s="4">
        <f t="shared" si="18"/>
        <v>5241.09</v>
      </c>
      <c r="ED26" s="4">
        <f t="shared" si="18"/>
        <v>2708.1</v>
      </c>
      <c r="EE26" s="4">
        <f t="shared" si="18"/>
        <v>0</v>
      </c>
      <c r="EF26" s="4">
        <f t="shared" si="18"/>
        <v>0</v>
      </c>
      <c r="EG26" s="4">
        <f t="shared" si="18"/>
        <v>0</v>
      </c>
      <c r="EH26" s="4">
        <f t="shared" si="18"/>
        <v>0</v>
      </c>
      <c r="EI26" s="4">
        <f t="shared" si="18"/>
        <v>0</v>
      </c>
      <c r="EJ26" s="4">
        <f t="shared" si="18"/>
        <v>33685.199999999997</v>
      </c>
      <c r="EK26" s="4">
        <f t="shared" si="18"/>
        <v>31964.27</v>
      </c>
      <c r="EL26" s="4">
        <f t="shared" si="18"/>
        <v>0</v>
      </c>
      <c r="EM26" s="4">
        <f t="shared" ref="EM26:FR26" si="19">EM63</f>
        <v>1720.93</v>
      </c>
      <c r="EN26" s="4">
        <f t="shared" si="19"/>
        <v>14477.79</v>
      </c>
      <c r="EO26" s="4">
        <f t="shared" si="19"/>
        <v>14477.79</v>
      </c>
      <c r="EP26" s="4">
        <f t="shared" si="19"/>
        <v>0</v>
      </c>
      <c r="EQ26" s="4">
        <f t="shared" si="19"/>
        <v>14477.79</v>
      </c>
      <c r="ER26" s="4">
        <f t="shared" si="19"/>
        <v>0</v>
      </c>
      <c r="ES26" s="4">
        <f t="shared" si="19"/>
        <v>0</v>
      </c>
      <c r="ET26" s="4">
        <f t="shared" si="19"/>
        <v>0</v>
      </c>
      <c r="EU26" s="4">
        <f t="shared" si="19"/>
        <v>0</v>
      </c>
      <c r="EV26" s="4">
        <f t="shared" si="19"/>
        <v>0</v>
      </c>
      <c r="EW26" s="4">
        <f t="shared" si="19"/>
        <v>0</v>
      </c>
      <c r="EX26" s="4">
        <f t="shared" si="19"/>
        <v>0</v>
      </c>
      <c r="EY26" s="4">
        <f t="shared" si="19"/>
        <v>0</v>
      </c>
      <c r="EZ26" s="4">
        <f t="shared" si="19"/>
        <v>0</v>
      </c>
      <c r="FA26" s="4">
        <f t="shared" si="19"/>
        <v>0</v>
      </c>
      <c r="FB26" s="4">
        <f t="shared" si="19"/>
        <v>0</v>
      </c>
      <c r="FC26" s="4">
        <f t="shared" si="19"/>
        <v>0</v>
      </c>
      <c r="FD26" s="4">
        <f t="shared" si="19"/>
        <v>0</v>
      </c>
      <c r="FE26" s="4">
        <f t="shared" si="19"/>
        <v>0</v>
      </c>
      <c r="FF26" s="4">
        <f t="shared" si="19"/>
        <v>0</v>
      </c>
      <c r="FG26" s="4">
        <f t="shared" si="19"/>
        <v>0</v>
      </c>
      <c r="FH26" s="4">
        <f t="shared" si="19"/>
        <v>0</v>
      </c>
      <c r="FI26" s="4">
        <f t="shared" si="19"/>
        <v>0</v>
      </c>
      <c r="FJ26" s="4">
        <f t="shared" si="19"/>
        <v>0</v>
      </c>
      <c r="FK26" s="4">
        <f t="shared" si="19"/>
        <v>0</v>
      </c>
      <c r="FL26" s="4">
        <f t="shared" si="19"/>
        <v>0</v>
      </c>
      <c r="FM26" s="4">
        <f t="shared" si="19"/>
        <v>0</v>
      </c>
      <c r="FN26" s="4">
        <f t="shared" si="19"/>
        <v>0</v>
      </c>
      <c r="FO26" s="4">
        <f t="shared" si="19"/>
        <v>0</v>
      </c>
      <c r="FP26" s="4">
        <f t="shared" si="19"/>
        <v>0</v>
      </c>
      <c r="FQ26" s="4">
        <f t="shared" si="19"/>
        <v>0</v>
      </c>
      <c r="FR26" s="4">
        <f t="shared" si="19"/>
        <v>0</v>
      </c>
      <c r="FS26" s="4">
        <f t="shared" ref="FS26:GX26" si="20">FS63</f>
        <v>33685.199999999997</v>
      </c>
      <c r="FT26" s="4">
        <f t="shared" si="20"/>
        <v>31964.27</v>
      </c>
      <c r="FU26" s="4">
        <f t="shared" si="20"/>
        <v>0</v>
      </c>
      <c r="FV26" s="4">
        <f t="shared" si="20"/>
        <v>1720.93</v>
      </c>
      <c r="FW26" s="4">
        <f t="shared" si="20"/>
        <v>14477.79</v>
      </c>
      <c r="FX26" s="4">
        <f t="shared" si="20"/>
        <v>14477.79</v>
      </c>
      <c r="FY26" s="4">
        <f t="shared" si="20"/>
        <v>0</v>
      </c>
      <c r="FZ26" s="4">
        <f t="shared" si="20"/>
        <v>14477.79</v>
      </c>
      <c r="GA26" s="4">
        <f t="shared" si="20"/>
        <v>0</v>
      </c>
      <c r="GB26" s="4">
        <f t="shared" si="20"/>
        <v>0</v>
      </c>
      <c r="GC26" s="4">
        <f t="shared" si="20"/>
        <v>0</v>
      </c>
      <c r="GD26" s="4">
        <f t="shared" si="20"/>
        <v>0</v>
      </c>
      <c r="GE26" s="4">
        <f t="shared" si="20"/>
        <v>0</v>
      </c>
      <c r="GF26" s="4">
        <f t="shared" si="20"/>
        <v>0</v>
      </c>
      <c r="GG26" s="4">
        <f t="shared" si="20"/>
        <v>0</v>
      </c>
      <c r="GH26" s="4">
        <f t="shared" si="20"/>
        <v>0</v>
      </c>
      <c r="GI26" s="4">
        <f t="shared" si="20"/>
        <v>0</v>
      </c>
      <c r="GJ26" s="4">
        <f t="shared" si="20"/>
        <v>0</v>
      </c>
      <c r="GK26" s="4">
        <f t="shared" si="20"/>
        <v>0</v>
      </c>
      <c r="GL26" s="4">
        <f t="shared" si="20"/>
        <v>0</v>
      </c>
      <c r="GM26" s="4">
        <f t="shared" si="20"/>
        <v>0</v>
      </c>
      <c r="GN26" s="4">
        <f t="shared" si="20"/>
        <v>0</v>
      </c>
      <c r="GO26" s="4">
        <f t="shared" si="20"/>
        <v>0</v>
      </c>
      <c r="GP26" s="4">
        <f t="shared" si="20"/>
        <v>0</v>
      </c>
      <c r="GQ26" s="4">
        <f t="shared" si="20"/>
        <v>0</v>
      </c>
      <c r="GR26" s="4">
        <f t="shared" si="20"/>
        <v>0</v>
      </c>
      <c r="GS26" s="4">
        <f t="shared" si="20"/>
        <v>0</v>
      </c>
      <c r="GT26" s="4">
        <f t="shared" si="20"/>
        <v>0</v>
      </c>
      <c r="GU26" s="4">
        <f t="shared" si="20"/>
        <v>0</v>
      </c>
      <c r="GV26" s="4">
        <f t="shared" si="20"/>
        <v>0</v>
      </c>
      <c r="GW26" s="4">
        <f t="shared" si="20"/>
        <v>0</v>
      </c>
      <c r="GX26" s="4">
        <f t="shared" si="20"/>
        <v>0</v>
      </c>
    </row>
    <row r="28" spans="1:255" x14ac:dyDescent="0.2">
      <c r="A28" s="2">
        <v>17</v>
      </c>
      <c r="B28" s="2">
        <v>1</v>
      </c>
      <c r="C28" s="2">
        <f>ROW(SmtRes!A6)</f>
        <v>6</v>
      </c>
      <c r="D28" s="2">
        <f>ROW(EtalonRes!A5)</f>
        <v>5</v>
      </c>
      <c r="E28" s="2" t="s">
        <v>18</v>
      </c>
      <c r="F28" s="2" t="s">
        <v>19</v>
      </c>
      <c r="G28" s="2" t="s">
        <v>20</v>
      </c>
      <c r="H28" s="2" t="s">
        <v>21</v>
      </c>
      <c r="I28" s="2">
        <f>ROUND(0.971/100,9)</f>
        <v>9.7099999999999999E-3</v>
      </c>
      <c r="J28" s="2">
        <v>0</v>
      </c>
      <c r="K28" s="2"/>
      <c r="L28" s="2"/>
      <c r="M28" s="2"/>
      <c r="N28" s="2"/>
      <c r="O28" s="2">
        <f t="shared" ref="O28:O61" si="21">ROUND(CP28,2)</f>
        <v>42.74</v>
      </c>
      <c r="P28" s="2">
        <f t="shared" ref="P28:P61" si="22">ROUND(CQ28*I28,2)</f>
        <v>0</v>
      </c>
      <c r="Q28" s="2">
        <f t="shared" ref="Q28:Q61" si="23">ROUND(CR28*I28,2)</f>
        <v>26.35</v>
      </c>
      <c r="R28" s="2">
        <f t="shared" ref="R28:R61" si="24">ROUND(CS28*I28,2)</f>
        <v>7.14</v>
      </c>
      <c r="S28" s="2">
        <f t="shared" ref="S28:S61" si="25">ROUND(CT28*I28,2)</f>
        <v>16.39</v>
      </c>
      <c r="T28" s="2">
        <f t="shared" ref="T28:T61" si="26">ROUND(CU28*I28,2)</f>
        <v>0</v>
      </c>
      <c r="U28" s="2">
        <f t="shared" ref="U28:U61" si="27">CV28*I28</f>
        <v>1.50505</v>
      </c>
      <c r="V28" s="2">
        <f t="shared" ref="V28:V61" si="28">CW28*I28</f>
        <v>0</v>
      </c>
      <c r="W28" s="2">
        <f t="shared" ref="W28:W61" si="29">ROUND(CX28*I28,2)</f>
        <v>0</v>
      </c>
      <c r="X28" s="2">
        <f t="shared" ref="X28:X61" si="30">ROUND(CY28,2)</f>
        <v>0</v>
      </c>
      <c r="Y28" s="2">
        <f t="shared" ref="Y28:Y61" si="31">ROUND(CZ28,2)</f>
        <v>0</v>
      </c>
      <c r="Z28" s="2"/>
      <c r="AA28" s="2">
        <v>45037306</v>
      </c>
      <c r="AB28" s="2">
        <f t="shared" ref="AB28:AB61" si="32">ROUND((AC28+AD28+AF28),6)</f>
        <v>4401.5</v>
      </c>
      <c r="AC28" s="2">
        <f t="shared" ref="AC28:AF31" si="33">ROUND((ES28),6)</f>
        <v>0</v>
      </c>
      <c r="AD28" s="2">
        <f t="shared" si="33"/>
        <v>2713.55</v>
      </c>
      <c r="AE28" s="2">
        <f t="shared" si="33"/>
        <v>735.23</v>
      </c>
      <c r="AF28" s="2">
        <f t="shared" si="33"/>
        <v>1687.95</v>
      </c>
      <c r="AG28" s="2">
        <f t="shared" ref="AG28:AG61" si="34">ROUND((AP28),6)</f>
        <v>0</v>
      </c>
      <c r="AH28" s="2">
        <f t="shared" ref="AH28:AI31" si="35">(EW28)</f>
        <v>155</v>
      </c>
      <c r="AI28" s="2">
        <f t="shared" si="35"/>
        <v>0</v>
      </c>
      <c r="AJ28" s="2">
        <f t="shared" ref="AJ28:AJ61" si="36">ROUND((AS28),6)</f>
        <v>0</v>
      </c>
      <c r="AK28" s="2">
        <v>4401.5</v>
      </c>
      <c r="AL28" s="2">
        <v>0</v>
      </c>
      <c r="AM28" s="2">
        <v>2713.55</v>
      </c>
      <c r="AN28" s="2">
        <v>735.23</v>
      </c>
      <c r="AO28" s="2">
        <v>1687.95</v>
      </c>
      <c r="AP28" s="2">
        <v>0</v>
      </c>
      <c r="AQ28" s="2">
        <v>155</v>
      </c>
      <c r="AR28" s="2">
        <v>0</v>
      </c>
      <c r="AS28" s="2">
        <v>0</v>
      </c>
      <c r="AT28" s="2">
        <v>0</v>
      </c>
      <c r="AU28" s="2">
        <v>0</v>
      </c>
      <c r="AV28" s="2">
        <v>1</v>
      </c>
      <c r="AW28" s="2">
        <v>1</v>
      </c>
      <c r="AX28" s="2"/>
      <c r="AY28" s="2"/>
      <c r="AZ28" s="2">
        <v>1</v>
      </c>
      <c r="BA28" s="2">
        <v>1</v>
      </c>
      <c r="BB28" s="2">
        <v>1</v>
      </c>
      <c r="BC28" s="2">
        <v>1</v>
      </c>
      <c r="BD28" s="2" t="s">
        <v>3</v>
      </c>
      <c r="BE28" s="2" t="s">
        <v>3</v>
      </c>
      <c r="BF28" s="2" t="s">
        <v>3</v>
      </c>
      <c r="BG28" s="2" t="s">
        <v>3</v>
      </c>
      <c r="BH28" s="2">
        <v>0</v>
      </c>
      <c r="BI28" s="2">
        <v>1</v>
      </c>
      <c r="BJ28" s="2" t="s">
        <v>22</v>
      </c>
      <c r="BK28" s="2"/>
      <c r="BL28" s="2"/>
      <c r="BM28" s="2">
        <v>674</v>
      </c>
      <c r="BN28" s="2">
        <v>7156650</v>
      </c>
      <c r="BO28" s="2" t="s">
        <v>3</v>
      </c>
      <c r="BP28" s="2">
        <v>0</v>
      </c>
      <c r="BQ28" s="2">
        <v>60</v>
      </c>
      <c r="BR28" s="2">
        <v>0</v>
      </c>
      <c r="BS28" s="2">
        <v>1</v>
      </c>
      <c r="BT28" s="2">
        <v>1</v>
      </c>
      <c r="BU28" s="2">
        <v>1</v>
      </c>
      <c r="BV28" s="2">
        <v>1</v>
      </c>
      <c r="BW28" s="2">
        <v>1</v>
      </c>
      <c r="BX28" s="2">
        <v>1</v>
      </c>
      <c r="BY28" s="2" t="s">
        <v>3</v>
      </c>
      <c r="BZ28" s="2">
        <v>0</v>
      </c>
      <c r="CA28" s="2">
        <v>0</v>
      </c>
      <c r="CB28" s="2"/>
      <c r="CC28" s="2"/>
      <c r="CD28" s="2"/>
      <c r="CE28" s="2"/>
      <c r="CF28" s="2">
        <v>0</v>
      </c>
      <c r="CG28" s="2">
        <v>0</v>
      </c>
      <c r="CH28" s="2"/>
      <c r="CI28" s="2"/>
      <c r="CJ28" s="2"/>
      <c r="CK28" s="2"/>
      <c r="CL28" s="2"/>
      <c r="CM28" s="2">
        <v>0</v>
      </c>
      <c r="CN28" s="2" t="s">
        <v>3</v>
      </c>
      <c r="CO28" s="2">
        <v>0</v>
      </c>
      <c r="CP28" s="2">
        <f t="shared" ref="CP28:CP61" si="37">(P28+Q28+S28)</f>
        <v>42.74</v>
      </c>
      <c r="CQ28" s="2">
        <f t="shared" ref="CQ28:CQ61" si="38">(AC28*BC28*AW28)</f>
        <v>0</v>
      </c>
      <c r="CR28" s="2">
        <f t="shared" ref="CR28:CR61" si="39">(AD28*BB28*AV28)</f>
        <v>2713.55</v>
      </c>
      <c r="CS28" s="2">
        <f t="shared" ref="CS28:CS61" si="40">(AE28*BS28*AV28)</f>
        <v>735.23</v>
      </c>
      <c r="CT28" s="2">
        <f t="shared" ref="CT28:CT61" si="41">(AF28*BA28*AV28)</f>
        <v>1687.95</v>
      </c>
      <c r="CU28" s="2">
        <f t="shared" ref="CU28:CU61" si="42">AG28</f>
        <v>0</v>
      </c>
      <c r="CV28" s="2">
        <f t="shared" ref="CV28:CV61" si="43">(AH28*AV28)</f>
        <v>155</v>
      </c>
      <c r="CW28" s="2">
        <f t="shared" ref="CW28:CW61" si="44">AI28</f>
        <v>0</v>
      </c>
      <c r="CX28" s="2">
        <f t="shared" ref="CX28:CX61" si="45">AJ28</f>
        <v>0</v>
      </c>
      <c r="CY28" s="2">
        <f t="shared" ref="CY28:CY61" si="46">S28*(BZ28/100)</f>
        <v>0</v>
      </c>
      <c r="CZ28" s="2">
        <f t="shared" ref="CZ28:CZ61" si="47">S28*(CA28/100)</f>
        <v>0</v>
      </c>
      <c r="DA28" s="2"/>
      <c r="DB28" s="2"/>
      <c r="DC28" s="2" t="s">
        <v>3</v>
      </c>
      <c r="DD28" s="2" t="s">
        <v>3</v>
      </c>
      <c r="DE28" s="2" t="s">
        <v>3</v>
      </c>
      <c r="DF28" s="2" t="s">
        <v>3</v>
      </c>
      <c r="DG28" s="2" t="s">
        <v>3</v>
      </c>
      <c r="DH28" s="2" t="s">
        <v>3</v>
      </c>
      <c r="DI28" s="2" t="s">
        <v>3</v>
      </c>
      <c r="DJ28" s="2" t="s">
        <v>3</v>
      </c>
      <c r="DK28" s="2" t="s">
        <v>3</v>
      </c>
      <c r="DL28" s="2" t="s">
        <v>3</v>
      </c>
      <c r="DM28" s="2" t="s">
        <v>3</v>
      </c>
      <c r="DN28" s="2">
        <v>80</v>
      </c>
      <c r="DO28" s="2">
        <v>55</v>
      </c>
      <c r="DP28" s="2">
        <v>1.0469999999999999</v>
      </c>
      <c r="DQ28" s="2">
        <v>1</v>
      </c>
      <c r="DR28" s="2"/>
      <c r="DS28" s="2"/>
      <c r="DT28" s="2"/>
      <c r="DU28" s="2">
        <v>1007</v>
      </c>
      <c r="DV28" s="2" t="s">
        <v>21</v>
      </c>
      <c r="DW28" s="2" t="s">
        <v>21</v>
      </c>
      <c r="DX28" s="2">
        <v>100</v>
      </c>
      <c r="DY28" s="2"/>
      <c r="DZ28" s="2"/>
      <c r="EA28" s="2"/>
      <c r="EB28" s="2"/>
      <c r="EC28" s="2"/>
      <c r="ED28" s="2"/>
      <c r="EE28" s="2">
        <v>44847181</v>
      </c>
      <c r="EF28" s="2">
        <v>60</v>
      </c>
      <c r="EG28" s="2" t="s">
        <v>23</v>
      </c>
      <c r="EH28" s="2">
        <v>0</v>
      </c>
      <c r="EI28" s="2" t="s">
        <v>3</v>
      </c>
      <c r="EJ28" s="2">
        <v>1</v>
      </c>
      <c r="EK28" s="2">
        <v>674</v>
      </c>
      <c r="EL28" s="2" t="s">
        <v>24</v>
      </c>
      <c r="EM28" s="2" t="s">
        <v>25</v>
      </c>
      <c r="EN28" s="2"/>
      <c r="EO28" s="2" t="s">
        <v>3</v>
      </c>
      <c r="EP28" s="2"/>
      <c r="EQ28" s="2">
        <v>131072</v>
      </c>
      <c r="ER28" s="2">
        <v>4401.5</v>
      </c>
      <c r="ES28" s="2">
        <v>0</v>
      </c>
      <c r="ET28" s="2">
        <v>2713.55</v>
      </c>
      <c r="EU28" s="2">
        <v>735.23</v>
      </c>
      <c r="EV28" s="2">
        <v>1687.95</v>
      </c>
      <c r="EW28" s="2">
        <v>155</v>
      </c>
      <c r="EX28" s="2">
        <v>0</v>
      </c>
      <c r="EY28" s="2">
        <v>0</v>
      </c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>
        <v>0</v>
      </c>
      <c r="FR28" s="2">
        <f t="shared" ref="FR28:FR61" si="48">ROUND(IF(AND(BH28=3,BI28=3),P28,0),2)</f>
        <v>0</v>
      </c>
      <c r="FS28" s="2">
        <v>0</v>
      </c>
      <c r="FT28" s="2"/>
      <c r="FU28" s="2"/>
      <c r="FV28" s="2"/>
      <c r="FW28" s="2"/>
      <c r="FX28" s="2">
        <v>80</v>
      </c>
      <c r="FY28" s="2">
        <v>55</v>
      </c>
      <c r="FZ28" s="2"/>
      <c r="GA28" s="2" t="s">
        <v>3</v>
      </c>
      <c r="GB28" s="2"/>
      <c r="GC28" s="2"/>
      <c r="GD28" s="2">
        <v>0</v>
      </c>
      <c r="GE28" s="2"/>
      <c r="GF28" s="2">
        <v>462798223</v>
      </c>
      <c r="GG28" s="2">
        <v>2</v>
      </c>
      <c r="GH28" s="2">
        <v>2</v>
      </c>
      <c r="GI28" s="2">
        <v>3</v>
      </c>
      <c r="GJ28" s="2">
        <v>0</v>
      </c>
      <c r="GK28" s="2">
        <f>ROUND(R28*(R12)/100,2)</f>
        <v>12.85</v>
      </c>
      <c r="GL28" s="2">
        <f t="shared" ref="GL28:GL61" si="49">ROUND(IF(AND(BH28=3,BI28=3,FS28&lt;&gt;0),P28,0),2)</f>
        <v>0</v>
      </c>
      <c r="GM28" s="2">
        <f t="shared" ref="GM28:GM61" si="50">ROUND(O28+X28+Y28+GK28,2)+GX28</f>
        <v>55.59</v>
      </c>
      <c r="GN28" s="2">
        <f t="shared" ref="GN28:GN61" si="51">IF(OR(BI28=0,BI28=1),ROUND(O28+X28+Y28+GK28,2),0)</f>
        <v>55.59</v>
      </c>
      <c r="GO28" s="2">
        <f t="shared" ref="GO28:GO61" si="52">IF(BI28=2,ROUND(O28+X28+Y28+GK28,2),0)</f>
        <v>0</v>
      </c>
      <c r="GP28" s="2">
        <f t="shared" ref="GP28:GP61" si="53">IF(BI28=4,ROUND(O28+X28+Y28+GK28,2)+GX28,0)</f>
        <v>0</v>
      </c>
      <c r="GQ28" s="2"/>
      <c r="GR28" s="2">
        <v>0</v>
      </c>
      <c r="GS28" s="2">
        <v>3</v>
      </c>
      <c r="GT28" s="2">
        <v>0</v>
      </c>
      <c r="GU28" s="2" t="s">
        <v>3</v>
      </c>
      <c r="GV28" s="2">
        <f t="shared" ref="GV28:GV61" si="54">ROUND(GT28,6)</f>
        <v>0</v>
      </c>
      <c r="GW28" s="2">
        <v>1</v>
      </c>
      <c r="GX28" s="2">
        <f t="shared" ref="GX28:GX61" si="55">ROUND(GV28*GW28*I28,2)</f>
        <v>0</v>
      </c>
      <c r="GY28" s="2"/>
      <c r="GZ28" s="2"/>
      <c r="HA28" s="2">
        <v>0</v>
      </c>
      <c r="HB28" s="2">
        <v>0</v>
      </c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>
        <v>0</v>
      </c>
      <c r="IL28" s="2"/>
      <c r="IM28" s="2"/>
      <c r="IN28" s="2"/>
      <c r="IO28" s="2"/>
      <c r="IP28" s="2"/>
      <c r="IQ28" s="2"/>
      <c r="IR28" s="2"/>
      <c r="IS28" s="2"/>
      <c r="IT28" s="2"/>
      <c r="IU28" s="2"/>
    </row>
    <row r="29" spans="1:255" x14ac:dyDescent="0.2">
      <c r="A29">
        <v>17</v>
      </c>
      <c r="B29">
        <v>1</v>
      </c>
      <c r="C29">
        <f>ROW(SmtRes!A12)</f>
        <v>12</v>
      </c>
      <c r="D29">
        <f>ROW(EtalonRes!A10)</f>
        <v>10</v>
      </c>
      <c r="E29" t="s">
        <v>18</v>
      </c>
      <c r="F29" t="s">
        <v>19</v>
      </c>
      <c r="G29" t="s">
        <v>20</v>
      </c>
      <c r="H29" t="s">
        <v>21</v>
      </c>
      <c r="I29">
        <f>ROUND(0.971/100,9)</f>
        <v>9.7099999999999999E-3</v>
      </c>
      <c r="J29">
        <v>0</v>
      </c>
      <c r="O29">
        <f t="shared" si="21"/>
        <v>583.35</v>
      </c>
      <c r="P29">
        <f t="shared" si="22"/>
        <v>0</v>
      </c>
      <c r="Q29">
        <f t="shared" si="23"/>
        <v>248.99</v>
      </c>
      <c r="R29">
        <f t="shared" si="24"/>
        <v>145.63999999999999</v>
      </c>
      <c r="S29">
        <f t="shared" si="25"/>
        <v>334.36</v>
      </c>
      <c r="T29">
        <f t="shared" si="26"/>
        <v>0</v>
      </c>
      <c r="U29">
        <f t="shared" si="27"/>
        <v>1.50505</v>
      </c>
      <c r="V29">
        <f t="shared" si="28"/>
        <v>0</v>
      </c>
      <c r="W29">
        <f t="shared" si="29"/>
        <v>0</v>
      </c>
      <c r="X29">
        <f t="shared" si="30"/>
        <v>227.36</v>
      </c>
      <c r="Y29">
        <f t="shared" si="31"/>
        <v>137.09</v>
      </c>
      <c r="AA29">
        <v>45037307</v>
      </c>
      <c r="AB29">
        <f t="shared" si="32"/>
        <v>4401.5</v>
      </c>
      <c r="AC29">
        <f t="shared" si="33"/>
        <v>0</v>
      </c>
      <c r="AD29">
        <f t="shared" si="33"/>
        <v>2713.55</v>
      </c>
      <c r="AE29">
        <f t="shared" si="33"/>
        <v>735.23</v>
      </c>
      <c r="AF29">
        <f t="shared" si="33"/>
        <v>1687.95</v>
      </c>
      <c r="AG29">
        <f t="shared" si="34"/>
        <v>0</v>
      </c>
      <c r="AH29">
        <f t="shared" si="35"/>
        <v>155</v>
      </c>
      <c r="AI29">
        <f t="shared" si="35"/>
        <v>0</v>
      </c>
      <c r="AJ29">
        <f t="shared" si="36"/>
        <v>0</v>
      </c>
      <c r="AK29">
        <v>4401.5</v>
      </c>
      <c r="AL29">
        <v>0</v>
      </c>
      <c r="AM29">
        <v>2713.55</v>
      </c>
      <c r="AN29">
        <v>735.23</v>
      </c>
      <c r="AO29">
        <v>1687.95</v>
      </c>
      <c r="AP29">
        <v>0</v>
      </c>
      <c r="AQ29">
        <v>155</v>
      </c>
      <c r="AR29">
        <v>0</v>
      </c>
      <c r="AS29">
        <v>0</v>
      </c>
      <c r="AT29">
        <v>68</v>
      </c>
      <c r="AU29">
        <v>41</v>
      </c>
      <c r="AV29">
        <v>1</v>
      </c>
      <c r="AW29">
        <v>1</v>
      </c>
      <c r="AZ29">
        <v>1</v>
      </c>
      <c r="BA29">
        <v>20.399999999999999</v>
      </c>
      <c r="BB29">
        <v>9.4499999999999993</v>
      </c>
      <c r="BC29">
        <v>1</v>
      </c>
      <c r="BD29" t="s">
        <v>3</v>
      </c>
      <c r="BE29" t="s">
        <v>3</v>
      </c>
      <c r="BF29" t="s">
        <v>3</v>
      </c>
      <c r="BG29" t="s">
        <v>3</v>
      </c>
      <c r="BH29">
        <v>0</v>
      </c>
      <c r="BI29">
        <v>1</v>
      </c>
      <c r="BJ29" t="s">
        <v>22</v>
      </c>
      <c r="BM29">
        <v>674</v>
      </c>
      <c r="BN29">
        <v>7156650</v>
      </c>
      <c r="BO29" t="s">
        <v>19</v>
      </c>
      <c r="BP29">
        <v>1</v>
      </c>
      <c r="BQ29">
        <v>60</v>
      </c>
      <c r="BR29">
        <v>0</v>
      </c>
      <c r="BS29">
        <v>20.399999999999999</v>
      </c>
      <c r="BT29">
        <v>1</v>
      </c>
      <c r="BU29">
        <v>1</v>
      </c>
      <c r="BV29">
        <v>1</v>
      </c>
      <c r="BW29">
        <v>1</v>
      </c>
      <c r="BX29">
        <v>1</v>
      </c>
      <c r="BY29" t="s">
        <v>3</v>
      </c>
      <c r="BZ29">
        <v>68</v>
      </c>
      <c r="CA29">
        <v>41</v>
      </c>
      <c r="CF29">
        <v>0</v>
      </c>
      <c r="CG29">
        <v>0</v>
      </c>
      <c r="CM29">
        <v>0</v>
      </c>
      <c r="CN29" t="s">
        <v>3</v>
      </c>
      <c r="CO29">
        <v>0</v>
      </c>
      <c r="CP29">
        <f t="shared" si="37"/>
        <v>583.35</v>
      </c>
      <c r="CQ29">
        <f t="shared" si="38"/>
        <v>0</v>
      </c>
      <c r="CR29">
        <f t="shared" si="39"/>
        <v>25643.047500000001</v>
      </c>
      <c r="CS29">
        <f t="shared" si="40"/>
        <v>14998.691999999999</v>
      </c>
      <c r="CT29">
        <f t="shared" si="41"/>
        <v>34434.18</v>
      </c>
      <c r="CU29">
        <f t="shared" si="42"/>
        <v>0</v>
      </c>
      <c r="CV29">
        <f t="shared" si="43"/>
        <v>155</v>
      </c>
      <c r="CW29">
        <f t="shared" si="44"/>
        <v>0</v>
      </c>
      <c r="CX29">
        <f t="shared" si="45"/>
        <v>0</v>
      </c>
      <c r="CY29">
        <f t="shared" si="46"/>
        <v>227.36480000000003</v>
      </c>
      <c r="CZ29">
        <f t="shared" si="47"/>
        <v>137.08760000000001</v>
      </c>
      <c r="DC29" t="s">
        <v>3</v>
      </c>
      <c r="DD29" t="s">
        <v>3</v>
      </c>
      <c r="DE29" t="s">
        <v>3</v>
      </c>
      <c r="DF29" t="s">
        <v>3</v>
      </c>
      <c r="DG29" t="s">
        <v>3</v>
      </c>
      <c r="DH29" t="s">
        <v>3</v>
      </c>
      <c r="DI29" t="s">
        <v>3</v>
      </c>
      <c r="DJ29" t="s">
        <v>3</v>
      </c>
      <c r="DK29" t="s">
        <v>3</v>
      </c>
      <c r="DL29" t="s">
        <v>3</v>
      </c>
      <c r="DM29" t="s">
        <v>3</v>
      </c>
      <c r="DN29">
        <v>80</v>
      </c>
      <c r="DO29">
        <v>55</v>
      </c>
      <c r="DP29">
        <v>1.0469999999999999</v>
      </c>
      <c r="DQ29">
        <v>1</v>
      </c>
      <c r="DU29">
        <v>1007</v>
      </c>
      <c r="DV29" t="s">
        <v>21</v>
      </c>
      <c r="DW29" t="s">
        <v>21</v>
      </c>
      <c r="DX29">
        <v>100</v>
      </c>
      <c r="EE29">
        <v>44847181</v>
      </c>
      <c r="EF29">
        <v>60</v>
      </c>
      <c r="EG29" t="s">
        <v>23</v>
      </c>
      <c r="EH29">
        <v>0</v>
      </c>
      <c r="EI29" t="s">
        <v>3</v>
      </c>
      <c r="EJ29">
        <v>1</v>
      </c>
      <c r="EK29">
        <v>674</v>
      </c>
      <c r="EL29" t="s">
        <v>24</v>
      </c>
      <c r="EM29" t="s">
        <v>25</v>
      </c>
      <c r="EO29" t="s">
        <v>3</v>
      </c>
      <c r="EQ29">
        <v>131072</v>
      </c>
      <c r="ER29">
        <v>4401.5</v>
      </c>
      <c r="ES29">
        <v>0</v>
      </c>
      <c r="ET29">
        <v>2713.55</v>
      </c>
      <c r="EU29">
        <v>735.23</v>
      </c>
      <c r="EV29">
        <v>1687.95</v>
      </c>
      <c r="EW29">
        <v>155</v>
      </c>
      <c r="EX29">
        <v>0</v>
      </c>
      <c r="EY29">
        <v>0</v>
      </c>
      <c r="FQ29">
        <v>0</v>
      </c>
      <c r="FR29">
        <f t="shared" si="48"/>
        <v>0</v>
      </c>
      <c r="FS29">
        <v>0</v>
      </c>
      <c r="FX29">
        <v>80</v>
      </c>
      <c r="FY29">
        <v>55</v>
      </c>
      <c r="GA29" t="s">
        <v>3</v>
      </c>
      <c r="GD29">
        <v>0</v>
      </c>
      <c r="GF29">
        <v>462798223</v>
      </c>
      <c r="GG29">
        <v>2</v>
      </c>
      <c r="GH29">
        <v>1</v>
      </c>
      <c r="GI29">
        <v>3</v>
      </c>
      <c r="GJ29">
        <v>0</v>
      </c>
      <c r="GK29">
        <f>ROUND(R29*(S12)/100,2)</f>
        <v>244.68</v>
      </c>
      <c r="GL29">
        <f t="shared" si="49"/>
        <v>0</v>
      </c>
      <c r="GM29">
        <f t="shared" si="50"/>
        <v>1192.48</v>
      </c>
      <c r="GN29">
        <f t="shared" si="51"/>
        <v>1192.48</v>
      </c>
      <c r="GO29">
        <f t="shared" si="52"/>
        <v>0</v>
      </c>
      <c r="GP29">
        <f t="shared" si="53"/>
        <v>0</v>
      </c>
      <c r="GR29">
        <v>0</v>
      </c>
      <c r="GS29">
        <v>3</v>
      </c>
      <c r="GT29">
        <v>0</v>
      </c>
      <c r="GU29" t="s">
        <v>3</v>
      </c>
      <c r="GV29">
        <f t="shared" si="54"/>
        <v>0</v>
      </c>
      <c r="GW29">
        <v>1</v>
      </c>
      <c r="GX29">
        <f t="shared" si="55"/>
        <v>0</v>
      </c>
      <c r="HA29">
        <v>0</v>
      </c>
      <c r="HB29">
        <v>0</v>
      </c>
      <c r="IK29">
        <v>0</v>
      </c>
    </row>
    <row r="30" spans="1:255" x14ac:dyDescent="0.2">
      <c r="A30" s="2">
        <v>18</v>
      </c>
      <c r="B30" s="2">
        <v>1</v>
      </c>
      <c r="C30" s="2">
        <v>6</v>
      </c>
      <c r="D30" s="2"/>
      <c r="E30" s="2" t="s">
        <v>26</v>
      </c>
      <c r="F30" s="2" t="s">
        <v>27</v>
      </c>
      <c r="G30" s="2" t="s">
        <v>28</v>
      </c>
      <c r="H30" s="2" t="s">
        <v>29</v>
      </c>
      <c r="I30" s="2">
        <f>I28*J30</f>
        <v>3.0000000000000001E-3</v>
      </c>
      <c r="J30" s="2">
        <v>0.30895983522142123</v>
      </c>
      <c r="K30" s="2"/>
      <c r="L30" s="2"/>
      <c r="M30" s="2"/>
      <c r="N30" s="2"/>
      <c r="O30" s="2">
        <f t="shared" si="21"/>
        <v>0</v>
      </c>
      <c r="P30" s="2">
        <f t="shared" si="22"/>
        <v>0</v>
      </c>
      <c r="Q30" s="2">
        <f t="shared" si="23"/>
        <v>0</v>
      </c>
      <c r="R30" s="2">
        <f t="shared" si="24"/>
        <v>0</v>
      </c>
      <c r="S30" s="2">
        <f t="shared" si="25"/>
        <v>0</v>
      </c>
      <c r="T30" s="2">
        <f t="shared" si="26"/>
        <v>0</v>
      </c>
      <c r="U30" s="2">
        <f t="shared" si="27"/>
        <v>0</v>
      </c>
      <c r="V30" s="2">
        <f t="shared" si="28"/>
        <v>0</v>
      </c>
      <c r="W30" s="2">
        <f t="shared" si="29"/>
        <v>0</v>
      </c>
      <c r="X30" s="2">
        <f t="shared" si="30"/>
        <v>0</v>
      </c>
      <c r="Y30" s="2">
        <f t="shared" si="31"/>
        <v>0</v>
      </c>
      <c r="Z30" s="2"/>
      <c r="AA30" s="2">
        <v>45037306</v>
      </c>
      <c r="AB30" s="2">
        <f t="shared" si="32"/>
        <v>0</v>
      </c>
      <c r="AC30" s="2">
        <f t="shared" si="33"/>
        <v>0</v>
      </c>
      <c r="AD30" s="2">
        <f t="shared" si="33"/>
        <v>0</v>
      </c>
      <c r="AE30" s="2">
        <f t="shared" si="33"/>
        <v>0</v>
      </c>
      <c r="AF30" s="2">
        <f t="shared" si="33"/>
        <v>0</v>
      </c>
      <c r="AG30" s="2">
        <f t="shared" si="34"/>
        <v>0</v>
      </c>
      <c r="AH30" s="2">
        <f t="shared" si="35"/>
        <v>0</v>
      </c>
      <c r="AI30" s="2">
        <f t="shared" si="35"/>
        <v>0</v>
      </c>
      <c r="AJ30" s="2">
        <f t="shared" si="36"/>
        <v>0</v>
      </c>
      <c r="AK30" s="2">
        <v>0</v>
      </c>
      <c r="AL30" s="2">
        <v>0</v>
      </c>
      <c r="AM30" s="2">
        <v>0</v>
      </c>
      <c r="AN30" s="2">
        <v>0</v>
      </c>
      <c r="AO30" s="2">
        <v>0</v>
      </c>
      <c r="AP30" s="2">
        <v>0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1</v>
      </c>
      <c r="AW30" s="2">
        <v>1</v>
      </c>
      <c r="AX30" s="2"/>
      <c r="AY30" s="2"/>
      <c r="AZ30" s="2">
        <v>1</v>
      </c>
      <c r="BA30" s="2">
        <v>1</v>
      </c>
      <c r="BB30" s="2">
        <v>1</v>
      </c>
      <c r="BC30" s="2">
        <v>1</v>
      </c>
      <c r="BD30" s="2" t="s">
        <v>3</v>
      </c>
      <c r="BE30" s="2" t="s">
        <v>3</v>
      </c>
      <c r="BF30" s="2" t="s">
        <v>3</v>
      </c>
      <c r="BG30" s="2" t="s">
        <v>3</v>
      </c>
      <c r="BH30" s="2">
        <v>3</v>
      </c>
      <c r="BI30" s="2">
        <v>1</v>
      </c>
      <c r="BJ30" s="2" t="s">
        <v>3</v>
      </c>
      <c r="BK30" s="2"/>
      <c r="BL30" s="2"/>
      <c r="BM30" s="2">
        <v>674</v>
      </c>
      <c r="BN30" s="2">
        <v>7156650</v>
      </c>
      <c r="BO30" s="2" t="s">
        <v>3</v>
      </c>
      <c r="BP30" s="2">
        <v>0</v>
      </c>
      <c r="BQ30" s="2">
        <v>60</v>
      </c>
      <c r="BR30" s="2">
        <v>0</v>
      </c>
      <c r="BS30" s="2">
        <v>1</v>
      </c>
      <c r="BT30" s="2">
        <v>1</v>
      </c>
      <c r="BU30" s="2">
        <v>1</v>
      </c>
      <c r="BV30" s="2">
        <v>1</v>
      </c>
      <c r="BW30" s="2">
        <v>1</v>
      </c>
      <c r="BX30" s="2">
        <v>1</v>
      </c>
      <c r="BY30" s="2" t="s">
        <v>3</v>
      </c>
      <c r="BZ30" s="2">
        <v>0</v>
      </c>
      <c r="CA30" s="2">
        <v>0</v>
      </c>
      <c r="CB30" s="2"/>
      <c r="CC30" s="2"/>
      <c r="CD30" s="2"/>
      <c r="CE30" s="2"/>
      <c r="CF30" s="2">
        <v>0</v>
      </c>
      <c r="CG30" s="2">
        <v>0</v>
      </c>
      <c r="CH30" s="2"/>
      <c r="CI30" s="2"/>
      <c r="CJ30" s="2"/>
      <c r="CK30" s="2"/>
      <c r="CL30" s="2"/>
      <c r="CM30" s="2">
        <v>0</v>
      </c>
      <c r="CN30" s="2" t="s">
        <v>3</v>
      </c>
      <c r="CO30" s="2">
        <v>0</v>
      </c>
      <c r="CP30" s="2">
        <f t="shared" si="37"/>
        <v>0</v>
      </c>
      <c r="CQ30" s="2">
        <f t="shared" si="38"/>
        <v>0</v>
      </c>
      <c r="CR30" s="2">
        <f t="shared" si="39"/>
        <v>0</v>
      </c>
      <c r="CS30" s="2">
        <f t="shared" si="40"/>
        <v>0</v>
      </c>
      <c r="CT30" s="2">
        <f t="shared" si="41"/>
        <v>0</v>
      </c>
      <c r="CU30" s="2">
        <f t="shared" si="42"/>
        <v>0</v>
      </c>
      <c r="CV30" s="2">
        <f t="shared" si="43"/>
        <v>0</v>
      </c>
      <c r="CW30" s="2">
        <f t="shared" si="44"/>
        <v>0</v>
      </c>
      <c r="CX30" s="2">
        <f t="shared" si="45"/>
        <v>0</v>
      </c>
      <c r="CY30" s="2">
        <f t="shared" si="46"/>
        <v>0</v>
      </c>
      <c r="CZ30" s="2">
        <f t="shared" si="47"/>
        <v>0</v>
      </c>
      <c r="DA30" s="2"/>
      <c r="DB30" s="2"/>
      <c r="DC30" s="2" t="s">
        <v>3</v>
      </c>
      <c r="DD30" s="2" t="s">
        <v>3</v>
      </c>
      <c r="DE30" s="2" t="s">
        <v>3</v>
      </c>
      <c r="DF30" s="2" t="s">
        <v>3</v>
      </c>
      <c r="DG30" s="2" t="s">
        <v>3</v>
      </c>
      <c r="DH30" s="2" t="s">
        <v>3</v>
      </c>
      <c r="DI30" s="2" t="s">
        <v>3</v>
      </c>
      <c r="DJ30" s="2" t="s">
        <v>3</v>
      </c>
      <c r="DK30" s="2" t="s">
        <v>3</v>
      </c>
      <c r="DL30" s="2" t="s">
        <v>3</v>
      </c>
      <c r="DM30" s="2" t="s">
        <v>3</v>
      </c>
      <c r="DN30" s="2">
        <v>80</v>
      </c>
      <c r="DO30" s="2">
        <v>55</v>
      </c>
      <c r="DP30" s="2">
        <v>1.0469999999999999</v>
      </c>
      <c r="DQ30" s="2">
        <v>1</v>
      </c>
      <c r="DR30" s="2"/>
      <c r="DS30" s="2"/>
      <c r="DT30" s="2"/>
      <c r="DU30" s="2">
        <v>1009</v>
      </c>
      <c r="DV30" s="2" t="s">
        <v>29</v>
      </c>
      <c r="DW30" s="2" t="s">
        <v>29</v>
      </c>
      <c r="DX30" s="2">
        <v>1000</v>
      </c>
      <c r="DY30" s="2"/>
      <c r="DZ30" s="2"/>
      <c r="EA30" s="2"/>
      <c r="EB30" s="2"/>
      <c r="EC30" s="2"/>
      <c r="ED30" s="2"/>
      <c r="EE30" s="2">
        <v>44847181</v>
      </c>
      <c r="EF30" s="2">
        <v>60</v>
      </c>
      <c r="EG30" s="2" t="s">
        <v>23</v>
      </c>
      <c r="EH30" s="2">
        <v>0</v>
      </c>
      <c r="EI30" s="2" t="s">
        <v>3</v>
      </c>
      <c r="EJ30" s="2">
        <v>1</v>
      </c>
      <c r="EK30" s="2">
        <v>674</v>
      </c>
      <c r="EL30" s="2" t="s">
        <v>24</v>
      </c>
      <c r="EM30" s="2" t="s">
        <v>25</v>
      </c>
      <c r="EN30" s="2"/>
      <c r="EO30" s="2" t="s">
        <v>3</v>
      </c>
      <c r="EP30" s="2"/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>
        <v>0</v>
      </c>
      <c r="FR30" s="2">
        <f t="shared" si="48"/>
        <v>0</v>
      </c>
      <c r="FS30" s="2">
        <v>0</v>
      </c>
      <c r="FT30" s="2"/>
      <c r="FU30" s="2"/>
      <c r="FV30" s="2"/>
      <c r="FW30" s="2"/>
      <c r="FX30" s="2">
        <v>80</v>
      </c>
      <c r="FY30" s="2">
        <v>55</v>
      </c>
      <c r="FZ30" s="2"/>
      <c r="GA30" s="2" t="s">
        <v>3</v>
      </c>
      <c r="GB30" s="2"/>
      <c r="GC30" s="2"/>
      <c r="GD30" s="2">
        <v>0</v>
      </c>
      <c r="GE30" s="2"/>
      <c r="GF30" s="2">
        <v>-269224915</v>
      </c>
      <c r="GG30" s="2">
        <v>2</v>
      </c>
      <c r="GH30" s="2">
        <v>1</v>
      </c>
      <c r="GI30" s="2">
        <v>3</v>
      </c>
      <c r="GJ30" s="2">
        <v>0</v>
      </c>
      <c r="GK30" s="2">
        <f>ROUND(R30*(R12)/100,2)</f>
        <v>0</v>
      </c>
      <c r="GL30" s="2">
        <f t="shared" si="49"/>
        <v>0</v>
      </c>
      <c r="GM30" s="2">
        <f t="shared" si="50"/>
        <v>0</v>
      </c>
      <c r="GN30" s="2">
        <f t="shared" si="51"/>
        <v>0</v>
      </c>
      <c r="GO30" s="2">
        <f t="shared" si="52"/>
        <v>0</v>
      </c>
      <c r="GP30" s="2">
        <f t="shared" si="53"/>
        <v>0</v>
      </c>
      <c r="GQ30" s="2"/>
      <c r="GR30" s="2">
        <v>0</v>
      </c>
      <c r="GS30" s="2">
        <v>3</v>
      </c>
      <c r="GT30" s="2">
        <v>0</v>
      </c>
      <c r="GU30" s="2" t="s">
        <v>3</v>
      </c>
      <c r="GV30" s="2">
        <f t="shared" si="54"/>
        <v>0</v>
      </c>
      <c r="GW30" s="2">
        <v>1</v>
      </c>
      <c r="GX30" s="2">
        <f t="shared" si="55"/>
        <v>0</v>
      </c>
      <c r="GY30" s="2"/>
      <c r="GZ30" s="2"/>
      <c r="HA30" s="2">
        <v>0</v>
      </c>
      <c r="HB30" s="2">
        <v>0</v>
      </c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>
        <v>0</v>
      </c>
      <c r="IL30" s="2"/>
      <c r="IM30" s="2"/>
      <c r="IN30" s="2"/>
      <c r="IO30" s="2"/>
      <c r="IP30" s="2"/>
      <c r="IQ30" s="2"/>
      <c r="IR30" s="2"/>
      <c r="IS30" s="2"/>
      <c r="IT30" s="2"/>
      <c r="IU30" s="2"/>
    </row>
    <row r="31" spans="1:255" x14ac:dyDescent="0.2">
      <c r="A31">
        <v>18</v>
      </c>
      <c r="B31">
        <v>1</v>
      </c>
      <c r="C31">
        <v>12</v>
      </c>
      <c r="E31" t="s">
        <v>26</v>
      </c>
      <c r="F31" t="s">
        <v>27</v>
      </c>
      <c r="G31" t="s">
        <v>28</v>
      </c>
      <c r="H31" t="s">
        <v>29</v>
      </c>
      <c r="I31">
        <f>I29*J31</f>
        <v>3.0000000000000001E-3</v>
      </c>
      <c r="J31">
        <v>0.30895983522142123</v>
      </c>
      <c r="O31">
        <f t="shared" si="21"/>
        <v>0</v>
      </c>
      <c r="P31">
        <f t="shared" si="22"/>
        <v>0</v>
      </c>
      <c r="Q31">
        <f t="shared" si="23"/>
        <v>0</v>
      </c>
      <c r="R31">
        <f t="shared" si="24"/>
        <v>0</v>
      </c>
      <c r="S31">
        <f t="shared" si="25"/>
        <v>0</v>
      </c>
      <c r="T31">
        <f t="shared" si="26"/>
        <v>0</v>
      </c>
      <c r="U31">
        <f t="shared" si="27"/>
        <v>0</v>
      </c>
      <c r="V31">
        <f t="shared" si="28"/>
        <v>0</v>
      </c>
      <c r="W31">
        <f t="shared" si="29"/>
        <v>0</v>
      </c>
      <c r="X31">
        <f t="shared" si="30"/>
        <v>0</v>
      </c>
      <c r="Y31">
        <f t="shared" si="31"/>
        <v>0</v>
      </c>
      <c r="AA31">
        <v>45037307</v>
      </c>
      <c r="AB31">
        <f t="shared" si="32"/>
        <v>0</v>
      </c>
      <c r="AC31">
        <f t="shared" si="33"/>
        <v>0</v>
      </c>
      <c r="AD31">
        <f t="shared" si="33"/>
        <v>0</v>
      </c>
      <c r="AE31">
        <f t="shared" si="33"/>
        <v>0</v>
      </c>
      <c r="AF31">
        <f t="shared" si="33"/>
        <v>0</v>
      </c>
      <c r="AG31">
        <f t="shared" si="34"/>
        <v>0</v>
      </c>
      <c r="AH31">
        <f t="shared" si="35"/>
        <v>0</v>
      </c>
      <c r="AI31">
        <f t="shared" si="35"/>
        <v>0</v>
      </c>
      <c r="AJ31">
        <f t="shared" si="36"/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1</v>
      </c>
      <c r="AW31">
        <v>1</v>
      </c>
      <c r="AZ31">
        <v>1</v>
      </c>
      <c r="BA31">
        <v>1</v>
      </c>
      <c r="BB31">
        <v>1</v>
      </c>
      <c r="BC31">
        <v>1</v>
      </c>
      <c r="BD31" t="s">
        <v>3</v>
      </c>
      <c r="BE31" t="s">
        <v>3</v>
      </c>
      <c r="BF31" t="s">
        <v>3</v>
      </c>
      <c r="BG31" t="s">
        <v>3</v>
      </c>
      <c r="BH31">
        <v>3</v>
      </c>
      <c r="BI31">
        <v>1</v>
      </c>
      <c r="BJ31" t="s">
        <v>3</v>
      </c>
      <c r="BM31">
        <v>674</v>
      </c>
      <c r="BN31">
        <v>7156650</v>
      </c>
      <c r="BO31" t="s">
        <v>3</v>
      </c>
      <c r="BP31">
        <v>0</v>
      </c>
      <c r="BQ31">
        <v>60</v>
      </c>
      <c r="BR31">
        <v>0</v>
      </c>
      <c r="BS31">
        <v>1</v>
      </c>
      <c r="BT31">
        <v>1</v>
      </c>
      <c r="BU31">
        <v>1</v>
      </c>
      <c r="BV31">
        <v>1</v>
      </c>
      <c r="BW31">
        <v>1</v>
      </c>
      <c r="BX31">
        <v>1</v>
      </c>
      <c r="BY31" t="s">
        <v>3</v>
      </c>
      <c r="BZ31">
        <v>0</v>
      </c>
      <c r="CA31">
        <v>0</v>
      </c>
      <c r="CF31">
        <v>0</v>
      </c>
      <c r="CG31">
        <v>0</v>
      </c>
      <c r="CM31">
        <v>0</v>
      </c>
      <c r="CN31" t="s">
        <v>3</v>
      </c>
      <c r="CO31">
        <v>0</v>
      </c>
      <c r="CP31">
        <f t="shared" si="37"/>
        <v>0</v>
      </c>
      <c r="CQ31">
        <f t="shared" si="38"/>
        <v>0</v>
      </c>
      <c r="CR31">
        <f t="shared" si="39"/>
        <v>0</v>
      </c>
      <c r="CS31">
        <f t="shared" si="40"/>
        <v>0</v>
      </c>
      <c r="CT31">
        <f t="shared" si="41"/>
        <v>0</v>
      </c>
      <c r="CU31">
        <f t="shared" si="42"/>
        <v>0</v>
      </c>
      <c r="CV31">
        <f t="shared" si="43"/>
        <v>0</v>
      </c>
      <c r="CW31">
        <f t="shared" si="44"/>
        <v>0</v>
      </c>
      <c r="CX31">
        <f t="shared" si="45"/>
        <v>0</v>
      </c>
      <c r="CY31">
        <f t="shared" si="46"/>
        <v>0</v>
      </c>
      <c r="CZ31">
        <f t="shared" si="47"/>
        <v>0</v>
      </c>
      <c r="DC31" t="s">
        <v>3</v>
      </c>
      <c r="DD31" t="s">
        <v>3</v>
      </c>
      <c r="DE31" t="s">
        <v>3</v>
      </c>
      <c r="DF31" t="s">
        <v>3</v>
      </c>
      <c r="DG31" t="s">
        <v>3</v>
      </c>
      <c r="DH31" t="s">
        <v>3</v>
      </c>
      <c r="DI31" t="s">
        <v>3</v>
      </c>
      <c r="DJ31" t="s">
        <v>3</v>
      </c>
      <c r="DK31" t="s">
        <v>3</v>
      </c>
      <c r="DL31" t="s">
        <v>3</v>
      </c>
      <c r="DM31" t="s">
        <v>3</v>
      </c>
      <c r="DN31">
        <v>80</v>
      </c>
      <c r="DO31">
        <v>55</v>
      </c>
      <c r="DP31">
        <v>1.0469999999999999</v>
      </c>
      <c r="DQ31">
        <v>1</v>
      </c>
      <c r="DU31">
        <v>1009</v>
      </c>
      <c r="DV31" t="s">
        <v>29</v>
      </c>
      <c r="DW31" t="s">
        <v>29</v>
      </c>
      <c r="DX31">
        <v>1000</v>
      </c>
      <c r="EE31">
        <v>44847181</v>
      </c>
      <c r="EF31">
        <v>60</v>
      </c>
      <c r="EG31" t="s">
        <v>23</v>
      </c>
      <c r="EH31">
        <v>0</v>
      </c>
      <c r="EI31" t="s">
        <v>3</v>
      </c>
      <c r="EJ31">
        <v>1</v>
      </c>
      <c r="EK31">
        <v>674</v>
      </c>
      <c r="EL31" t="s">
        <v>24</v>
      </c>
      <c r="EM31" t="s">
        <v>25</v>
      </c>
      <c r="EO31" t="s">
        <v>3</v>
      </c>
      <c r="EQ31">
        <v>0</v>
      </c>
      <c r="ER31">
        <v>0</v>
      </c>
      <c r="ES31">
        <v>0</v>
      </c>
      <c r="ET31">
        <v>0</v>
      </c>
      <c r="EU31">
        <v>0</v>
      </c>
      <c r="EV31">
        <v>0</v>
      </c>
      <c r="EW31">
        <v>0</v>
      </c>
      <c r="EX31">
        <v>0</v>
      </c>
      <c r="FQ31">
        <v>0</v>
      </c>
      <c r="FR31">
        <f t="shared" si="48"/>
        <v>0</v>
      </c>
      <c r="FS31">
        <v>0</v>
      </c>
      <c r="FX31">
        <v>80</v>
      </c>
      <c r="FY31">
        <v>55</v>
      </c>
      <c r="GA31" t="s">
        <v>3</v>
      </c>
      <c r="GD31">
        <v>0</v>
      </c>
      <c r="GF31">
        <v>-269224915</v>
      </c>
      <c r="GG31">
        <v>2</v>
      </c>
      <c r="GH31">
        <v>1</v>
      </c>
      <c r="GI31">
        <v>3</v>
      </c>
      <c r="GJ31">
        <v>0</v>
      </c>
      <c r="GK31">
        <f>ROUND(R31*(S12)/100,2)</f>
        <v>0</v>
      </c>
      <c r="GL31">
        <f t="shared" si="49"/>
        <v>0</v>
      </c>
      <c r="GM31">
        <f t="shared" si="50"/>
        <v>0</v>
      </c>
      <c r="GN31">
        <f t="shared" si="51"/>
        <v>0</v>
      </c>
      <c r="GO31">
        <f t="shared" si="52"/>
        <v>0</v>
      </c>
      <c r="GP31">
        <f t="shared" si="53"/>
        <v>0</v>
      </c>
      <c r="GR31">
        <v>0</v>
      </c>
      <c r="GS31">
        <v>3</v>
      </c>
      <c r="GT31">
        <v>0</v>
      </c>
      <c r="GU31" t="s">
        <v>3</v>
      </c>
      <c r="GV31">
        <f t="shared" si="54"/>
        <v>0</v>
      </c>
      <c r="GW31">
        <v>1</v>
      </c>
      <c r="GX31">
        <f t="shared" si="55"/>
        <v>0</v>
      </c>
      <c r="HA31">
        <v>0</v>
      </c>
      <c r="HB31">
        <v>0</v>
      </c>
      <c r="IK31">
        <v>0</v>
      </c>
    </row>
    <row r="32" spans="1:255" x14ac:dyDescent="0.2">
      <c r="A32" s="2">
        <v>17</v>
      </c>
      <c r="B32" s="2">
        <v>1</v>
      </c>
      <c r="C32" s="2">
        <f>ROW(SmtRes!A13)</f>
        <v>13</v>
      </c>
      <c r="D32" s="2">
        <f>ROW(EtalonRes!A11)</f>
        <v>11</v>
      </c>
      <c r="E32" s="2" t="s">
        <v>30</v>
      </c>
      <c r="F32" s="2" t="s">
        <v>31</v>
      </c>
      <c r="G32" s="2" t="s">
        <v>32</v>
      </c>
      <c r="H32" s="2" t="s">
        <v>33</v>
      </c>
      <c r="I32" s="2">
        <f>ROUND(3.29/100,9)</f>
        <v>3.2899999999999999E-2</v>
      </c>
      <c r="J32" s="2">
        <v>0</v>
      </c>
      <c r="K32" s="2"/>
      <c r="L32" s="2"/>
      <c r="M32" s="2"/>
      <c r="N32" s="2"/>
      <c r="O32" s="2">
        <f t="shared" si="21"/>
        <v>133.21</v>
      </c>
      <c r="P32" s="2">
        <f t="shared" si="22"/>
        <v>0</v>
      </c>
      <c r="Q32" s="2">
        <f t="shared" si="23"/>
        <v>0</v>
      </c>
      <c r="R32" s="2">
        <f t="shared" si="24"/>
        <v>0</v>
      </c>
      <c r="S32" s="2">
        <f t="shared" si="25"/>
        <v>133.21</v>
      </c>
      <c r="T32" s="2">
        <f t="shared" si="26"/>
        <v>0</v>
      </c>
      <c r="U32" s="2">
        <f t="shared" si="27"/>
        <v>12.449606749999999</v>
      </c>
      <c r="V32" s="2">
        <f t="shared" si="28"/>
        <v>0</v>
      </c>
      <c r="W32" s="2">
        <f t="shared" si="29"/>
        <v>0</v>
      </c>
      <c r="X32" s="2">
        <f t="shared" si="30"/>
        <v>0</v>
      </c>
      <c r="Y32" s="2">
        <f t="shared" si="31"/>
        <v>0</v>
      </c>
      <c r="Z32" s="2"/>
      <c r="AA32" s="2">
        <v>45037306</v>
      </c>
      <c r="AB32" s="2">
        <f t="shared" si="32"/>
        <v>4048.9544999999998</v>
      </c>
      <c r="AC32" s="2">
        <f t="shared" ref="AC32:AC41" si="56">ROUND((ES32),6)</f>
        <v>0</v>
      </c>
      <c r="AD32" s="2">
        <f>ROUND(((ET32*1.25)),6)</f>
        <v>0</v>
      </c>
      <c r="AE32" s="2">
        <f>ROUND(((EU32*1.25)),6)</f>
        <v>0</v>
      </c>
      <c r="AF32" s="2">
        <f>ROUND(((EV32*1.15)),6)</f>
        <v>4048.9544999999998</v>
      </c>
      <c r="AG32" s="2">
        <f t="shared" si="34"/>
        <v>0</v>
      </c>
      <c r="AH32" s="2">
        <f>((EW32*1.15))</f>
        <v>378.40749999999997</v>
      </c>
      <c r="AI32" s="2">
        <f>((EX32*1.25))</f>
        <v>0</v>
      </c>
      <c r="AJ32" s="2">
        <f t="shared" si="36"/>
        <v>0</v>
      </c>
      <c r="AK32" s="2">
        <v>3520.83</v>
      </c>
      <c r="AL32" s="2">
        <v>0</v>
      </c>
      <c r="AM32" s="2">
        <v>0</v>
      </c>
      <c r="AN32" s="2">
        <v>0</v>
      </c>
      <c r="AO32" s="2">
        <v>3520.83</v>
      </c>
      <c r="AP32" s="2">
        <v>0</v>
      </c>
      <c r="AQ32" s="2">
        <v>329.05</v>
      </c>
      <c r="AR32" s="2">
        <v>0</v>
      </c>
      <c r="AS32" s="2">
        <v>0</v>
      </c>
      <c r="AT32" s="2">
        <v>0</v>
      </c>
      <c r="AU32" s="2">
        <v>0</v>
      </c>
      <c r="AV32" s="2">
        <v>1</v>
      </c>
      <c r="AW32" s="2">
        <v>1</v>
      </c>
      <c r="AX32" s="2"/>
      <c r="AY32" s="2"/>
      <c r="AZ32" s="2">
        <v>1</v>
      </c>
      <c r="BA32" s="2">
        <v>1</v>
      </c>
      <c r="BB32" s="2">
        <v>1</v>
      </c>
      <c r="BC32" s="2">
        <v>1</v>
      </c>
      <c r="BD32" s="2" t="s">
        <v>3</v>
      </c>
      <c r="BE32" s="2" t="s">
        <v>3</v>
      </c>
      <c r="BF32" s="2" t="s">
        <v>3</v>
      </c>
      <c r="BG32" s="2" t="s">
        <v>3</v>
      </c>
      <c r="BH32" s="2">
        <v>0</v>
      </c>
      <c r="BI32" s="2">
        <v>1</v>
      </c>
      <c r="BJ32" s="2" t="s">
        <v>34</v>
      </c>
      <c r="BK32" s="2"/>
      <c r="BL32" s="2"/>
      <c r="BM32" s="2">
        <v>16</v>
      </c>
      <c r="BN32" s="2">
        <v>7156650</v>
      </c>
      <c r="BO32" s="2" t="s">
        <v>3</v>
      </c>
      <c r="BP32" s="2">
        <v>0</v>
      </c>
      <c r="BQ32" s="2">
        <v>30</v>
      </c>
      <c r="BR32" s="2">
        <v>0</v>
      </c>
      <c r="BS32" s="2">
        <v>1</v>
      </c>
      <c r="BT32" s="2">
        <v>1</v>
      </c>
      <c r="BU32" s="2">
        <v>1</v>
      </c>
      <c r="BV32" s="2">
        <v>1</v>
      </c>
      <c r="BW32" s="2">
        <v>1</v>
      </c>
      <c r="BX32" s="2">
        <v>1</v>
      </c>
      <c r="BY32" s="2" t="s">
        <v>3</v>
      </c>
      <c r="BZ32" s="2">
        <v>0</v>
      </c>
      <c r="CA32" s="2">
        <v>0</v>
      </c>
      <c r="CB32" s="2"/>
      <c r="CC32" s="2"/>
      <c r="CD32" s="2"/>
      <c r="CE32" s="2"/>
      <c r="CF32" s="2">
        <v>0</v>
      </c>
      <c r="CG32" s="2">
        <v>0</v>
      </c>
      <c r="CH32" s="2"/>
      <c r="CI32" s="2"/>
      <c r="CJ32" s="2"/>
      <c r="CK32" s="2"/>
      <c r="CL32" s="2"/>
      <c r="CM32" s="2">
        <v>0</v>
      </c>
      <c r="CN32" s="2" t="s">
        <v>35</v>
      </c>
      <c r="CO32" s="2">
        <v>0</v>
      </c>
      <c r="CP32" s="2">
        <f t="shared" si="37"/>
        <v>133.21</v>
      </c>
      <c r="CQ32" s="2">
        <f t="shared" si="38"/>
        <v>0</v>
      </c>
      <c r="CR32" s="2">
        <f t="shared" si="39"/>
        <v>0</v>
      </c>
      <c r="CS32" s="2">
        <f t="shared" si="40"/>
        <v>0</v>
      </c>
      <c r="CT32" s="2">
        <f t="shared" si="41"/>
        <v>4048.9544999999998</v>
      </c>
      <c r="CU32" s="2">
        <f t="shared" si="42"/>
        <v>0</v>
      </c>
      <c r="CV32" s="2">
        <f t="shared" si="43"/>
        <v>378.40749999999997</v>
      </c>
      <c r="CW32" s="2">
        <f t="shared" si="44"/>
        <v>0</v>
      </c>
      <c r="CX32" s="2">
        <f t="shared" si="45"/>
        <v>0</v>
      </c>
      <c r="CY32" s="2">
        <f t="shared" si="46"/>
        <v>0</v>
      </c>
      <c r="CZ32" s="2">
        <f t="shared" si="47"/>
        <v>0</v>
      </c>
      <c r="DA32" s="2"/>
      <c r="DB32" s="2"/>
      <c r="DC32" s="2" t="s">
        <v>3</v>
      </c>
      <c r="DD32" s="2" t="s">
        <v>3</v>
      </c>
      <c r="DE32" s="2" t="s">
        <v>36</v>
      </c>
      <c r="DF32" s="2" t="s">
        <v>36</v>
      </c>
      <c r="DG32" s="2" t="s">
        <v>37</v>
      </c>
      <c r="DH32" s="2" t="s">
        <v>3</v>
      </c>
      <c r="DI32" s="2" t="s">
        <v>37</v>
      </c>
      <c r="DJ32" s="2" t="s">
        <v>36</v>
      </c>
      <c r="DK32" s="2" t="s">
        <v>3</v>
      </c>
      <c r="DL32" s="2" t="s">
        <v>3</v>
      </c>
      <c r="DM32" s="2" t="s">
        <v>3</v>
      </c>
      <c r="DN32" s="2">
        <v>91</v>
      </c>
      <c r="DO32" s="2">
        <v>67</v>
      </c>
      <c r="DP32" s="2">
        <v>1.248</v>
      </c>
      <c r="DQ32" s="2">
        <v>1</v>
      </c>
      <c r="DR32" s="2"/>
      <c r="DS32" s="2"/>
      <c r="DT32" s="2"/>
      <c r="DU32" s="2">
        <v>1013</v>
      </c>
      <c r="DV32" s="2" t="s">
        <v>33</v>
      </c>
      <c r="DW32" s="2" t="s">
        <v>33</v>
      </c>
      <c r="DX32" s="2">
        <v>1</v>
      </c>
      <c r="DY32" s="2"/>
      <c r="DZ32" s="2"/>
      <c r="EA32" s="2"/>
      <c r="EB32" s="2"/>
      <c r="EC32" s="2"/>
      <c r="ED32" s="2"/>
      <c r="EE32" s="2">
        <v>44846523</v>
      </c>
      <c r="EF32" s="2">
        <v>30</v>
      </c>
      <c r="EG32" s="2" t="s">
        <v>38</v>
      </c>
      <c r="EH32" s="2">
        <v>0</v>
      </c>
      <c r="EI32" s="2" t="s">
        <v>3</v>
      </c>
      <c r="EJ32" s="2">
        <v>1</v>
      </c>
      <c r="EK32" s="2">
        <v>16</v>
      </c>
      <c r="EL32" s="2" t="s">
        <v>39</v>
      </c>
      <c r="EM32" s="2" t="s">
        <v>40</v>
      </c>
      <c r="EN32" s="2"/>
      <c r="EO32" s="2" t="s">
        <v>41</v>
      </c>
      <c r="EP32" s="2"/>
      <c r="EQ32" s="2">
        <v>131072</v>
      </c>
      <c r="ER32" s="2">
        <v>3520.83</v>
      </c>
      <c r="ES32" s="2">
        <v>0</v>
      </c>
      <c r="ET32" s="2">
        <v>0</v>
      </c>
      <c r="EU32" s="2">
        <v>0</v>
      </c>
      <c r="EV32" s="2">
        <v>3520.83</v>
      </c>
      <c r="EW32" s="2">
        <v>329.05</v>
      </c>
      <c r="EX32" s="2">
        <v>0</v>
      </c>
      <c r="EY32" s="2">
        <v>0</v>
      </c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>
        <v>0</v>
      </c>
      <c r="FR32" s="2">
        <f t="shared" si="48"/>
        <v>0</v>
      </c>
      <c r="FS32" s="2">
        <v>0</v>
      </c>
      <c r="FT32" s="2"/>
      <c r="FU32" s="2"/>
      <c r="FV32" s="2"/>
      <c r="FW32" s="2"/>
      <c r="FX32" s="2">
        <v>91</v>
      </c>
      <c r="FY32" s="2">
        <v>67</v>
      </c>
      <c r="FZ32" s="2"/>
      <c r="GA32" s="2" t="s">
        <v>3</v>
      </c>
      <c r="GB32" s="2"/>
      <c r="GC32" s="2"/>
      <c r="GD32" s="2">
        <v>0</v>
      </c>
      <c r="GE32" s="2"/>
      <c r="GF32" s="2">
        <v>-450981772</v>
      </c>
      <c r="GG32" s="2">
        <v>2</v>
      </c>
      <c r="GH32" s="2">
        <v>1</v>
      </c>
      <c r="GI32" s="2">
        <v>3</v>
      </c>
      <c r="GJ32" s="2">
        <v>0</v>
      </c>
      <c r="GK32" s="2">
        <f>ROUND(R32*(R12)/100,2)</f>
        <v>0</v>
      </c>
      <c r="GL32" s="2">
        <f t="shared" si="49"/>
        <v>0</v>
      </c>
      <c r="GM32" s="2">
        <f t="shared" si="50"/>
        <v>133.21</v>
      </c>
      <c r="GN32" s="2">
        <f t="shared" si="51"/>
        <v>133.21</v>
      </c>
      <c r="GO32" s="2">
        <f t="shared" si="52"/>
        <v>0</v>
      </c>
      <c r="GP32" s="2">
        <f t="shared" si="53"/>
        <v>0</v>
      </c>
      <c r="GQ32" s="2"/>
      <c r="GR32" s="2">
        <v>0</v>
      </c>
      <c r="GS32" s="2">
        <v>3</v>
      </c>
      <c r="GT32" s="2">
        <v>0</v>
      </c>
      <c r="GU32" s="2" t="s">
        <v>3</v>
      </c>
      <c r="GV32" s="2">
        <f t="shared" si="54"/>
        <v>0</v>
      </c>
      <c r="GW32" s="2">
        <v>1</v>
      </c>
      <c r="GX32" s="2">
        <f t="shared" si="55"/>
        <v>0</v>
      </c>
      <c r="GY32" s="2"/>
      <c r="GZ32" s="2"/>
      <c r="HA32" s="2">
        <v>0</v>
      </c>
      <c r="HB32" s="2">
        <v>0</v>
      </c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>
        <v>0</v>
      </c>
      <c r="IL32" s="2"/>
      <c r="IM32" s="2"/>
      <c r="IN32" s="2"/>
      <c r="IO32" s="2"/>
      <c r="IP32" s="2"/>
      <c r="IQ32" s="2"/>
      <c r="IR32" s="2"/>
      <c r="IS32" s="2"/>
      <c r="IT32" s="2"/>
      <c r="IU32" s="2"/>
    </row>
    <row r="33" spans="1:255" x14ac:dyDescent="0.2">
      <c r="A33">
        <v>17</v>
      </c>
      <c r="B33">
        <v>1</v>
      </c>
      <c r="C33">
        <f>ROW(SmtRes!A14)</f>
        <v>14</v>
      </c>
      <c r="D33">
        <f>ROW(EtalonRes!A12)</f>
        <v>12</v>
      </c>
      <c r="E33" t="s">
        <v>30</v>
      </c>
      <c r="F33" t="s">
        <v>31</v>
      </c>
      <c r="G33" t="s">
        <v>32</v>
      </c>
      <c r="H33" t="s">
        <v>33</v>
      </c>
      <c r="I33">
        <f>ROUND(3.29/100,9)</f>
        <v>3.2899999999999999E-2</v>
      </c>
      <c r="J33">
        <v>0</v>
      </c>
      <c r="O33">
        <f t="shared" si="21"/>
        <v>2717.5</v>
      </c>
      <c r="P33">
        <f t="shared" si="22"/>
        <v>0</v>
      </c>
      <c r="Q33">
        <f t="shared" si="23"/>
        <v>0</v>
      </c>
      <c r="R33">
        <f t="shared" si="24"/>
        <v>0</v>
      </c>
      <c r="S33">
        <f t="shared" si="25"/>
        <v>2717.5</v>
      </c>
      <c r="T33">
        <f t="shared" si="26"/>
        <v>0</v>
      </c>
      <c r="U33">
        <f t="shared" si="27"/>
        <v>12.449606749999999</v>
      </c>
      <c r="V33">
        <f t="shared" si="28"/>
        <v>0</v>
      </c>
      <c r="W33">
        <f t="shared" si="29"/>
        <v>0</v>
      </c>
      <c r="X33">
        <f t="shared" si="30"/>
        <v>1983.78</v>
      </c>
      <c r="Y33">
        <f t="shared" si="31"/>
        <v>1114.18</v>
      </c>
      <c r="AA33">
        <v>45037307</v>
      </c>
      <c r="AB33">
        <f t="shared" si="32"/>
        <v>4048.9544999999998</v>
      </c>
      <c r="AC33">
        <f t="shared" si="56"/>
        <v>0</v>
      </c>
      <c r="AD33">
        <f>ROUND(((ET33*1.25)),6)</f>
        <v>0</v>
      </c>
      <c r="AE33">
        <f>ROUND(((EU33*1.25)),6)</f>
        <v>0</v>
      </c>
      <c r="AF33">
        <f>ROUND(((EV33*1.15)),6)</f>
        <v>4048.9544999999998</v>
      </c>
      <c r="AG33">
        <f t="shared" si="34"/>
        <v>0</v>
      </c>
      <c r="AH33">
        <f>((EW33*1.15))</f>
        <v>378.40749999999997</v>
      </c>
      <c r="AI33">
        <f>((EX33*1.25))</f>
        <v>0</v>
      </c>
      <c r="AJ33">
        <f t="shared" si="36"/>
        <v>0</v>
      </c>
      <c r="AK33">
        <v>3520.83</v>
      </c>
      <c r="AL33">
        <v>0</v>
      </c>
      <c r="AM33">
        <v>0</v>
      </c>
      <c r="AN33">
        <v>0</v>
      </c>
      <c r="AO33">
        <v>3520.83</v>
      </c>
      <c r="AP33">
        <v>0</v>
      </c>
      <c r="AQ33">
        <v>329.05</v>
      </c>
      <c r="AR33">
        <v>0</v>
      </c>
      <c r="AS33">
        <v>0</v>
      </c>
      <c r="AT33">
        <v>73</v>
      </c>
      <c r="AU33">
        <v>41</v>
      </c>
      <c r="AV33">
        <v>1</v>
      </c>
      <c r="AW33">
        <v>1</v>
      </c>
      <c r="AZ33">
        <v>1</v>
      </c>
      <c r="BA33">
        <v>20.399999999999999</v>
      </c>
      <c r="BB33">
        <v>1</v>
      </c>
      <c r="BC33">
        <v>1</v>
      </c>
      <c r="BD33" t="s">
        <v>3</v>
      </c>
      <c r="BE33" t="s">
        <v>3</v>
      </c>
      <c r="BF33" t="s">
        <v>3</v>
      </c>
      <c r="BG33" t="s">
        <v>3</v>
      </c>
      <c r="BH33">
        <v>0</v>
      </c>
      <c r="BI33">
        <v>1</v>
      </c>
      <c r="BJ33" t="s">
        <v>34</v>
      </c>
      <c r="BM33">
        <v>16</v>
      </c>
      <c r="BN33">
        <v>7156650</v>
      </c>
      <c r="BO33" t="s">
        <v>31</v>
      </c>
      <c r="BP33">
        <v>1</v>
      </c>
      <c r="BQ33">
        <v>30</v>
      </c>
      <c r="BR33">
        <v>0</v>
      </c>
      <c r="BS33">
        <v>20.399999999999999</v>
      </c>
      <c r="BT33">
        <v>1</v>
      </c>
      <c r="BU33">
        <v>1</v>
      </c>
      <c r="BV33">
        <v>1</v>
      </c>
      <c r="BW33">
        <v>1</v>
      </c>
      <c r="BX33">
        <v>1</v>
      </c>
      <c r="BY33" t="s">
        <v>3</v>
      </c>
      <c r="BZ33">
        <v>73</v>
      </c>
      <c r="CA33">
        <v>41</v>
      </c>
      <c r="CF33">
        <v>0</v>
      </c>
      <c r="CG33">
        <v>0</v>
      </c>
      <c r="CM33">
        <v>0</v>
      </c>
      <c r="CN33" t="s">
        <v>35</v>
      </c>
      <c r="CO33">
        <v>0</v>
      </c>
      <c r="CP33">
        <f t="shared" si="37"/>
        <v>2717.5</v>
      </c>
      <c r="CQ33">
        <f t="shared" si="38"/>
        <v>0</v>
      </c>
      <c r="CR33">
        <f t="shared" si="39"/>
        <v>0</v>
      </c>
      <c r="CS33">
        <f t="shared" si="40"/>
        <v>0</v>
      </c>
      <c r="CT33">
        <f t="shared" si="41"/>
        <v>82598.671799999996</v>
      </c>
      <c r="CU33">
        <f t="shared" si="42"/>
        <v>0</v>
      </c>
      <c r="CV33">
        <f t="shared" si="43"/>
        <v>378.40749999999997</v>
      </c>
      <c r="CW33">
        <f t="shared" si="44"/>
        <v>0</v>
      </c>
      <c r="CX33">
        <f t="shared" si="45"/>
        <v>0</v>
      </c>
      <c r="CY33">
        <f t="shared" si="46"/>
        <v>1983.7749999999999</v>
      </c>
      <c r="CZ33">
        <f t="shared" si="47"/>
        <v>1114.175</v>
      </c>
      <c r="DC33" t="s">
        <v>3</v>
      </c>
      <c r="DD33" t="s">
        <v>3</v>
      </c>
      <c r="DE33" t="s">
        <v>36</v>
      </c>
      <c r="DF33" t="s">
        <v>36</v>
      </c>
      <c r="DG33" t="s">
        <v>37</v>
      </c>
      <c r="DH33" t="s">
        <v>3</v>
      </c>
      <c r="DI33" t="s">
        <v>37</v>
      </c>
      <c r="DJ33" t="s">
        <v>36</v>
      </c>
      <c r="DK33" t="s">
        <v>3</v>
      </c>
      <c r="DL33" t="s">
        <v>3</v>
      </c>
      <c r="DM33" t="s">
        <v>3</v>
      </c>
      <c r="DN33">
        <v>91</v>
      </c>
      <c r="DO33">
        <v>67</v>
      </c>
      <c r="DP33">
        <v>1.248</v>
      </c>
      <c r="DQ33">
        <v>1</v>
      </c>
      <c r="DU33">
        <v>1013</v>
      </c>
      <c r="DV33" t="s">
        <v>33</v>
      </c>
      <c r="DW33" t="s">
        <v>33</v>
      </c>
      <c r="DX33">
        <v>1</v>
      </c>
      <c r="EE33">
        <v>44846523</v>
      </c>
      <c r="EF33">
        <v>30</v>
      </c>
      <c r="EG33" t="s">
        <v>38</v>
      </c>
      <c r="EH33">
        <v>0</v>
      </c>
      <c r="EI33" t="s">
        <v>3</v>
      </c>
      <c r="EJ33">
        <v>1</v>
      </c>
      <c r="EK33">
        <v>16</v>
      </c>
      <c r="EL33" t="s">
        <v>39</v>
      </c>
      <c r="EM33" t="s">
        <v>40</v>
      </c>
      <c r="EO33" t="s">
        <v>41</v>
      </c>
      <c r="EQ33">
        <v>131072</v>
      </c>
      <c r="ER33">
        <v>3520.83</v>
      </c>
      <c r="ES33">
        <v>0</v>
      </c>
      <c r="ET33">
        <v>0</v>
      </c>
      <c r="EU33">
        <v>0</v>
      </c>
      <c r="EV33">
        <v>3520.83</v>
      </c>
      <c r="EW33">
        <v>329.05</v>
      </c>
      <c r="EX33">
        <v>0</v>
      </c>
      <c r="EY33">
        <v>0</v>
      </c>
      <c r="FQ33">
        <v>0</v>
      </c>
      <c r="FR33">
        <f t="shared" si="48"/>
        <v>0</v>
      </c>
      <c r="FS33">
        <v>0</v>
      </c>
      <c r="FX33">
        <v>91</v>
      </c>
      <c r="FY33">
        <v>67</v>
      </c>
      <c r="GA33" t="s">
        <v>3</v>
      </c>
      <c r="GD33">
        <v>0</v>
      </c>
      <c r="GF33">
        <v>-450981772</v>
      </c>
      <c r="GG33">
        <v>2</v>
      </c>
      <c r="GH33">
        <v>1</v>
      </c>
      <c r="GI33">
        <v>3</v>
      </c>
      <c r="GJ33">
        <v>0</v>
      </c>
      <c r="GK33">
        <f>ROUND(R33*(S12)/100,2)</f>
        <v>0</v>
      </c>
      <c r="GL33">
        <f t="shared" si="49"/>
        <v>0</v>
      </c>
      <c r="GM33">
        <f t="shared" si="50"/>
        <v>5815.46</v>
      </c>
      <c r="GN33">
        <f t="shared" si="51"/>
        <v>5815.46</v>
      </c>
      <c r="GO33">
        <f t="shared" si="52"/>
        <v>0</v>
      </c>
      <c r="GP33">
        <f t="shared" si="53"/>
        <v>0</v>
      </c>
      <c r="GR33">
        <v>0</v>
      </c>
      <c r="GS33">
        <v>3</v>
      </c>
      <c r="GT33">
        <v>0</v>
      </c>
      <c r="GU33" t="s">
        <v>3</v>
      </c>
      <c r="GV33">
        <f t="shared" si="54"/>
        <v>0</v>
      </c>
      <c r="GW33">
        <v>1</v>
      </c>
      <c r="GX33">
        <f t="shared" si="55"/>
        <v>0</v>
      </c>
      <c r="HA33">
        <v>0</v>
      </c>
      <c r="HB33">
        <v>0</v>
      </c>
      <c r="IK33">
        <v>0</v>
      </c>
    </row>
    <row r="34" spans="1:255" x14ac:dyDescent="0.2">
      <c r="A34" s="2">
        <v>17</v>
      </c>
      <c r="B34" s="2">
        <v>1</v>
      </c>
      <c r="C34" s="2">
        <f>ROW(SmtRes!A17)</f>
        <v>17</v>
      </c>
      <c r="D34" s="2">
        <f>ROW(EtalonRes!A15)</f>
        <v>15</v>
      </c>
      <c r="E34" s="2" t="s">
        <v>42</v>
      </c>
      <c r="F34" s="2" t="s">
        <v>43</v>
      </c>
      <c r="G34" s="2" t="s">
        <v>44</v>
      </c>
      <c r="H34" s="2" t="s">
        <v>45</v>
      </c>
      <c r="I34" s="2">
        <f>ROUND(8.69/100,9)</f>
        <v>8.6900000000000005E-2</v>
      </c>
      <c r="J34" s="2">
        <v>0</v>
      </c>
      <c r="K34" s="2"/>
      <c r="L34" s="2"/>
      <c r="M34" s="2"/>
      <c r="N34" s="2"/>
      <c r="O34" s="2">
        <f t="shared" si="21"/>
        <v>60.52</v>
      </c>
      <c r="P34" s="2">
        <f t="shared" si="22"/>
        <v>0</v>
      </c>
      <c r="Q34" s="2">
        <f t="shared" si="23"/>
        <v>17.73</v>
      </c>
      <c r="R34" s="2">
        <f t="shared" si="24"/>
        <v>1.0900000000000001</v>
      </c>
      <c r="S34" s="2">
        <f t="shared" si="25"/>
        <v>42.79</v>
      </c>
      <c r="T34" s="2">
        <f t="shared" si="26"/>
        <v>0</v>
      </c>
      <c r="U34" s="2">
        <f t="shared" si="27"/>
        <v>4.1103699999999996</v>
      </c>
      <c r="V34" s="2">
        <f t="shared" si="28"/>
        <v>0</v>
      </c>
      <c r="W34" s="2">
        <f t="shared" si="29"/>
        <v>0</v>
      </c>
      <c r="X34" s="2">
        <f t="shared" si="30"/>
        <v>0</v>
      </c>
      <c r="Y34" s="2">
        <f t="shared" si="31"/>
        <v>0</v>
      </c>
      <c r="Z34" s="2"/>
      <c r="AA34" s="2">
        <v>45037306</v>
      </c>
      <c r="AB34" s="2">
        <f t="shared" si="32"/>
        <v>696.37</v>
      </c>
      <c r="AC34" s="2">
        <f t="shared" si="56"/>
        <v>0</v>
      </c>
      <c r="AD34" s="2">
        <f t="shared" ref="AD34:AF37" si="57">ROUND((ET34),6)</f>
        <v>203.98</v>
      </c>
      <c r="AE34" s="2">
        <f t="shared" si="57"/>
        <v>12.6</v>
      </c>
      <c r="AF34" s="2">
        <f t="shared" si="57"/>
        <v>492.39</v>
      </c>
      <c r="AG34" s="2">
        <f t="shared" si="34"/>
        <v>0</v>
      </c>
      <c r="AH34" s="2">
        <f t="shared" ref="AH34:AI37" si="58">(EW34)</f>
        <v>47.3</v>
      </c>
      <c r="AI34" s="2">
        <f t="shared" si="58"/>
        <v>0</v>
      </c>
      <c r="AJ34" s="2">
        <f t="shared" si="36"/>
        <v>0</v>
      </c>
      <c r="AK34" s="2">
        <v>696.37</v>
      </c>
      <c r="AL34" s="2">
        <v>0</v>
      </c>
      <c r="AM34" s="2">
        <v>203.98</v>
      </c>
      <c r="AN34" s="2">
        <v>12.6</v>
      </c>
      <c r="AO34" s="2">
        <v>492.39</v>
      </c>
      <c r="AP34" s="2">
        <v>0</v>
      </c>
      <c r="AQ34" s="2">
        <v>47.3</v>
      </c>
      <c r="AR34" s="2">
        <v>0</v>
      </c>
      <c r="AS34" s="2">
        <v>0</v>
      </c>
      <c r="AT34" s="2">
        <v>0</v>
      </c>
      <c r="AU34" s="2">
        <v>0</v>
      </c>
      <c r="AV34" s="2">
        <v>1</v>
      </c>
      <c r="AW34" s="2">
        <v>1</v>
      </c>
      <c r="AX34" s="2"/>
      <c r="AY34" s="2"/>
      <c r="AZ34" s="2">
        <v>1</v>
      </c>
      <c r="BA34" s="2">
        <v>1</v>
      </c>
      <c r="BB34" s="2">
        <v>1</v>
      </c>
      <c r="BC34" s="2">
        <v>1</v>
      </c>
      <c r="BD34" s="2" t="s">
        <v>3</v>
      </c>
      <c r="BE34" s="2" t="s">
        <v>3</v>
      </c>
      <c r="BF34" s="2" t="s">
        <v>3</v>
      </c>
      <c r="BG34" s="2" t="s">
        <v>3</v>
      </c>
      <c r="BH34" s="2">
        <v>0</v>
      </c>
      <c r="BI34" s="2">
        <v>1</v>
      </c>
      <c r="BJ34" s="2" t="s">
        <v>46</v>
      </c>
      <c r="BK34" s="2"/>
      <c r="BL34" s="2"/>
      <c r="BM34" s="2">
        <v>445</v>
      </c>
      <c r="BN34" s="2">
        <v>7156650</v>
      </c>
      <c r="BO34" s="2" t="s">
        <v>3</v>
      </c>
      <c r="BP34" s="2">
        <v>0</v>
      </c>
      <c r="BQ34" s="2">
        <v>60</v>
      </c>
      <c r="BR34" s="2">
        <v>0</v>
      </c>
      <c r="BS34" s="2">
        <v>1</v>
      </c>
      <c r="BT34" s="2">
        <v>1</v>
      </c>
      <c r="BU34" s="2">
        <v>1</v>
      </c>
      <c r="BV34" s="2">
        <v>1</v>
      </c>
      <c r="BW34" s="2">
        <v>1</v>
      </c>
      <c r="BX34" s="2">
        <v>1</v>
      </c>
      <c r="BY34" s="2" t="s">
        <v>3</v>
      </c>
      <c r="BZ34" s="2">
        <v>0</v>
      </c>
      <c r="CA34" s="2">
        <v>0</v>
      </c>
      <c r="CB34" s="2"/>
      <c r="CC34" s="2"/>
      <c r="CD34" s="2"/>
      <c r="CE34" s="2"/>
      <c r="CF34" s="2">
        <v>0</v>
      </c>
      <c r="CG34" s="2">
        <v>0</v>
      </c>
      <c r="CH34" s="2"/>
      <c r="CI34" s="2"/>
      <c r="CJ34" s="2"/>
      <c r="CK34" s="2"/>
      <c r="CL34" s="2"/>
      <c r="CM34" s="2">
        <v>0</v>
      </c>
      <c r="CN34" s="2" t="s">
        <v>3</v>
      </c>
      <c r="CO34" s="2">
        <v>0</v>
      </c>
      <c r="CP34" s="2">
        <f t="shared" si="37"/>
        <v>60.519999999999996</v>
      </c>
      <c r="CQ34" s="2">
        <f t="shared" si="38"/>
        <v>0</v>
      </c>
      <c r="CR34" s="2">
        <f t="shared" si="39"/>
        <v>203.98</v>
      </c>
      <c r="CS34" s="2">
        <f t="shared" si="40"/>
        <v>12.6</v>
      </c>
      <c r="CT34" s="2">
        <f t="shared" si="41"/>
        <v>492.39</v>
      </c>
      <c r="CU34" s="2">
        <f t="shared" si="42"/>
        <v>0</v>
      </c>
      <c r="CV34" s="2">
        <f t="shared" si="43"/>
        <v>47.3</v>
      </c>
      <c r="CW34" s="2">
        <f t="shared" si="44"/>
        <v>0</v>
      </c>
      <c r="CX34" s="2">
        <f t="shared" si="45"/>
        <v>0</v>
      </c>
      <c r="CY34" s="2">
        <f t="shared" si="46"/>
        <v>0</v>
      </c>
      <c r="CZ34" s="2">
        <f t="shared" si="47"/>
        <v>0</v>
      </c>
      <c r="DA34" s="2"/>
      <c r="DB34" s="2"/>
      <c r="DC34" s="2" t="s">
        <v>3</v>
      </c>
      <c r="DD34" s="2" t="s">
        <v>3</v>
      </c>
      <c r="DE34" s="2" t="s">
        <v>3</v>
      </c>
      <c r="DF34" s="2" t="s">
        <v>3</v>
      </c>
      <c r="DG34" s="2" t="s">
        <v>3</v>
      </c>
      <c r="DH34" s="2" t="s">
        <v>3</v>
      </c>
      <c r="DI34" s="2" t="s">
        <v>3</v>
      </c>
      <c r="DJ34" s="2" t="s">
        <v>3</v>
      </c>
      <c r="DK34" s="2" t="s">
        <v>3</v>
      </c>
      <c r="DL34" s="2" t="s">
        <v>3</v>
      </c>
      <c r="DM34" s="2" t="s">
        <v>3</v>
      </c>
      <c r="DN34" s="2">
        <v>80</v>
      </c>
      <c r="DO34" s="2">
        <v>55</v>
      </c>
      <c r="DP34" s="2">
        <v>1.0469999999999999</v>
      </c>
      <c r="DQ34" s="2">
        <v>1</v>
      </c>
      <c r="DR34" s="2"/>
      <c r="DS34" s="2"/>
      <c r="DT34" s="2"/>
      <c r="DU34" s="2">
        <v>1013</v>
      </c>
      <c r="DV34" s="2" t="s">
        <v>45</v>
      </c>
      <c r="DW34" s="2" t="s">
        <v>45</v>
      </c>
      <c r="DX34" s="2">
        <v>1</v>
      </c>
      <c r="DY34" s="2"/>
      <c r="DZ34" s="2"/>
      <c r="EA34" s="2"/>
      <c r="EB34" s="2"/>
      <c r="EC34" s="2"/>
      <c r="ED34" s="2"/>
      <c r="EE34" s="2">
        <v>44846952</v>
      </c>
      <c r="EF34" s="2">
        <v>60</v>
      </c>
      <c r="EG34" s="2" t="s">
        <v>23</v>
      </c>
      <c r="EH34" s="2">
        <v>0</v>
      </c>
      <c r="EI34" s="2" t="s">
        <v>3</v>
      </c>
      <c r="EJ34" s="2">
        <v>1</v>
      </c>
      <c r="EK34" s="2">
        <v>445</v>
      </c>
      <c r="EL34" s="2" t="s">
        <v>47</v>
      </c>
      <c r="EM34" s="2" t="s">
        <v>48</v>
      </c>
      <c r="EN34" s="2"/>
      <c r="EO34" s="2" t="s">
        <v>3</v>
      </c>
      <c r="EP34" s="2"/>
      <c r="EQ34" s="2">
        <v>131072</v>
      </c>
      <c r="ER34" s="2">
        <v>696.37</v>
      </c>
      <c r="ES34" s="2">
        <v>0</v>
      </c>
      <c r="ET34" s="2">
        <v>203.98</v>
      </c>
      <c r="EU34" s="2">
        <v>12.6</v>
      </c>
      <c r="EV34" s="2">
        <v>492.39</v>
      </c>
      <c r="EW34" s="2">
        <v>47.3</v>
      </c>
      <c r="EX34" s="2">
        <v>0</v>
      </c>
      <c r="EY34" s="2">
        <v>0</v>
      </c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>
        <v>0</v>
      </c>
      <c r="FR34" s="2">
        <f t="shared" si="48"/>
        <v>0</v>
      </c>
      <c r="FS34" s="2">
        <v>0</v>
      </c>
      <c r="FT34" s="2"/>
      <c r="FU34" s="2"/>
      <c r="FV34" s="2"/>
      <c r="FW34" s="2"/>
      <c r="FX34" s="2">
        <v>80</v>
      </c>
      <c r="FY34" s="2">
        <v>55</v>
      </c>
      <c r="FZ34" s="2"/>
      <c r="GA34" s="2" t="s">
        <v>3</v>
      </c>
      <c r="GB34" s="2"/>
      <c r="GC34" s="2"/>
      <c r="GD34" s="2">
        <v>0</v>
      </c>
      <c r="GE34" s="2"/>
      <c r="GF34" s="2">
        <v>758570315</v>
      </c>
      <c r="GG34" s="2">
        <v>2</v>
      </c>
      <c r="GH34" s="2">
        <v>2</v>
      </c>
      <c r="GI34" s="2">
        <v>3</v>
      </c>
      <c r="GJ34" s="2">
        <v>0</v>
      </c>
      <c r="GK34" s="2">
        <f>ROUND(R34*(R12)/100,2)</f>
        <v>1.96</v>
      </c>
      <c r="GL34" s="2">
        <f t="shared" si="49"/>
        <v>0</v>
      </c>
      <c r="GM34" s="2">
        <f t="shared" si="50"/>
        <v>62.48</v>
      </c>
      <c r="GN34" s="2">
        <f t="shared" si="51"/>
        <v>62.48</v>
      </c>
      <c r="GO34" s="2">
        <f t="shared" si="52"/>
        <v>0</v>
      </c>
      <c r="GP34" s="2">
        <f t="shared" si="53"/>
        <v>0</v>
      </c>
      <c r="GQ34" s="2"/>
      <c r="GR34" s="2">
        <v>0</v>
      </c>
      <c r="GS34" s="2">
        <v>3</v>
      </c>
      <c r="GT34" s="2">
        <v>0</v>
      </c>
      <c r="GU34" s="2" t="s">
        <v>3</v>
      </c>
      <c r="GV34" s="2">
        <f t="shared" si="54"/>
        <v>0</v>
      </c>
      <c r="GW34" s="2">
        <v>1</v>
      </c>
      <c r="GX34" s="2">
        <f t="shared" si="55"/>
        <v>0</v>
      </c>
      <c r="GY34" s="2"/>
      <c r="GZ34" s="2"/>
      <c r="HA34" s="2">
        <v>0</v>
      </c>
      <c r="HB34" s="2">
        <v>0</v>
      </c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>
        <v>0</v>
      </c>
      <c r="IL34" s="2"/>
      <c r="IM34" s="2"/>
      <c r="IN34" s="2"/>
      <c r="IO34" s="2"/>
      <c r="IP34" s="2"/>
      <c r="IQ34" s="2"/>
      <c r="IR34" s="2"/>
      <c r="IS34" s="2"/>
      <c r="IT34" s="2"/>
      <c r="IU34" s="2"/>
    </row>
    <row r="35" spans="1:255" x14ac:dyDescent="0.2">
      <c r="A35">
        <v>17</v>
      </c>
      <c r="B35">
        <v>1</v>
      </c>
      <c r="C35">
        <f>ROW(SmtRes!A20)</f>
        <v>20</v>
      </c>
      <c r="D35">
        <f>ROW(EtalonRes!A18)</f>
        <v>18</v>
      </c>
      <c r="E35" t="s">
        <v>42</v>
      </c>
      <c r="F35" t="s">
        <v>43</v>
      </c>
      <c r="G35" t="s">
        <v>44</v>
      </c>
      <c r="H35" t="s">
        <v>45</v>
      </c>
      <c r="I35">
        <f>ROUND(8.69/100,9)</f>
        <v>8.6900000000000005E-2</v>
      </c>
      <c r="J35">
        <v>0</v>
      </c>
      <c r="O35">
        <f t="shared" si="21"/>
        <v>985.27</v>
      </c>
      <c r="P35">
        <f t="shared" si="22"/>
        <v>0</v>
      </c>
      <c r="Q35">
        <f t="shared" si="23"/>
        <v>112.38</v>
      </c>
      <c r="R35">
        <f t="shared" si="24"/>
        <v>22.34</v>
      </c>
      <c r="S35">
        <f t="shared" si="25"/>
        <v>872.89</v>
      </c>
      <c r="T35">
        <f t="shared" si="26"/>
        <v>0</v>
      </c>
      <c r="U35">
        <f t="shared" si="27"/>
        <v>4.1103699999999996</v>
      </c>
      <c r="V35">
        <f t="shared" si="28"/>
        <v>0</v>
      </c>
      <c r="W35">
        <f t="shared" si="29"/>
        <v>0</v>
      </c>
      <c r="X35">
        <f t="shared" si="30"/>
        <v>593.57000000000005</v>
      </c>
      <c r="Y35">
        <f t="shared" si="31"/>
        <v>357.88</v>
      </c>
      <c r="AA35">
        <v>45037307</v>
      </c>
      <c r="AB35">
        <f t="shared" si="32"/>
        <v>696.37</v>
      </c>
      <c r="AC35">
        <f t="shared" si="56"/>
        <v>0</v>
      </c>
      <c r="AD35">
        <f t="shared" si="57"/>
        <v>203.98</v>
      </c>
      <c r="AE35">
        <f t="shared" si="57"/>
        <v>12.6</v>
      </c>
      <c r="AF35">
        <f t="shared" si="57"/>
        <v>492.39</v>
      </c>
      <c r="AG35">
        <f t="shared" si="34"/>
        <v>0</v>
      </c>
      <c r="AH35">
        <f t="shared" si="58"/>
        <v>47.3</v>
      </c>
      <c r="AI35">
        <f t="shared" si="58"/>
        <v>0</v>
      </c>
      <c r="AJ35">
        <f t="shared" si="36"/>
        <v>0</v>
      </c>
      <c r="AK35">
        <v>696.37</v>
      </c>
      <c r="AL35">
        <v>0</v>
      </c>
      <c r="AM35">
        <v>203.98</v>
      </c>
      <c r="AN35">
        <v>12.6</v>
      </c>
      <c r="AO35">
        <v>492.39</v>
      </c>
      <c r="AP35">
        <v>0</v>
      </c>
      <c r="AQ35">
        <v>47.3</v>
      </c>
      <c r="AR35">
        <v>0</v>
      </c>
      <c r="AS35">
        <v>0</v>
      </c>
      <c r="AT35">
        <v>68</v>
      </c>
      <c r="AU35">
        <v>41</v>
      </c>
      <c r="AV35">
        <v>1</v>
      </c>
      <c r="AW35">
        <v>1</v>
      </c>
      <c r="AZ35">
        <v>1</v>
      </c>
      <c r="BA35">
        <v>20.399999999999999</v>
      </c>
      <c r="BB35">
        <v>6.34</v>
      </c>
      <c r="BC35">
        <v>1</v>
      </c>
      <c r="BD35" t="s">
        <v>3</v>
      </c>
      <c r="BE35" t="s">
        <v>3</v>
      </c>
      <c r="BF35" t="s">
        <v>3</v>
      </c>
      <c r="BG35" t="s">
        <v>3</v>
      </c>
      <c r="BH35">
        <v>0</v>
      </c>
      <c r="BI35">
        <v>1</v>
      </c>
      <c r="BJ35" t="s">
        <v>46</v>
      </c>
      <c r="BM35">
        <v>445</v>
      </c>
      <c r="BN35">
        <v>7156650</v>
      </c>
      <c r="BO35" t="s">
        <v>43</v>
      </c>
      <c r="BP35">
        <v>1</v>
      </c>
      <c r="BQ35">
        <v>60</v>
      </c>
      <c r="BR35">
        <v>0</v>
      </c>
      <c r="BS35">
        <v>20.399999999999999</v>
      </c>
      <c r="BT35">
        <v>1</v>
      </c>
      <c r="BU35">
        <v>1</v>
      </c>
      <c r="BV35">
        <v>1</v>
      </c>
      <c r="BW35">
        <v>1</v>
      </c>
      <c r="BX35">
        <v>1</v>
      </c>
      <c r="BY35" t="s">
        <v>3</v>
      </c>
      <c r="BZ35">
        <v>68</v>
      </c>
      <c r="CA35">
        <v>41</v>
      </c>
      <c r="CF35">
        <v>0</v>
      </c>
      <c r="CG35">
        <v>0</v>
      </c>
      <c r="CM35">
        <v>0</v>
      </c>
      <c r="CN35" t="s">
        <v>3</v>
      </c>
      <c r="CO35">
        <v>0</v>
      </c>
      <c r="CP35">
        <f t="shared" si="37"/>
        <v>985.27</v>
      </c>
      <c r="CQ35">
        <f t="shared" si="38"/>
        <v>0</v>
      </c>
      <c r="CR35">
        <f t="shared" si="39"/>
        <v>1293.2331999999999</v>
      </c>
      <c r="CS35">
        <f t="shared" si="40"/>
        <v>257.03999999999996</v>
      </c>
      <c r="CT35">
        <f t="shared" si="41"/>
        <v>10044.755999999999</v>
      </c>
      <c r="CU35">
        <f t="shared" si="42"/>
        <v>0</v>
      </c>
      <c r="CV35">
        <f t="shared" si="43"/>
        <v>47.3</v>
      </c>
      <c r="CW35">
        <f t="shared" si="44"/>
        <v>0</v>
      </c>
      <c r="CX35">
        <f t="shared" si="45"/>
        <v>0</v>
      </c>
      <c r="CY35">
        <f t="shared" si="46"/>
        <v>593.5652</v>
      </c>
      <c r="CZ35">
        <f t="shared" si="47"/>
        <v>357.88489999999996</v>
      </c>
      <c r="DC35" t="s">
        <v>3</v>
      </c>
      <c r="DD35" t="s">
        <v>3</v>
      </c>
      <c r="DE35" t="s">
        <v>3</v>
      </c>
      <c r="DF35" t="s">
        <v>3</v>
      </c>
      <c r="DG35" t="s">
        <v>3</v>
      </c>
      <c r="DH35" t="s">
        <v>3</v>
      </c>
      <c r="DI35" t="s">
        <v>3</v>
      </c>
      <c r="DJ35" t="s">
        <v>3</v>
      </c>
      <c r="DK35" t="s">
        <v>3</v>
      </c>
      <c r="DL35" t="s">
        <v>3</v>
      </c>
      <c r="DM35" t="s">
        <v>3</v>
      </c>
      <c r="DN35">
        <v>80</v>
      </c>
      <c r="DO35">
        <v>55</v>
      </c>
      <c r="DP35">
        <v>1.0469999999999999</v>
      </c>
      <c r="DQ35">
        <v>1</v>
      </c>
      <c r="DU35">
        <v>1013</v>
      </c>
      <c r="DV35" t="s">
        <v>45</v>
      </c>
      <c r="DW35" t="s">
        <v>45</v>
      </c>
      <c r="DX35">
        <v>1</v>
      </c>
      <c r="EE35">
        <v>44846952</v>
      </c>
      <c r="EF35">
        <v>60</v>
      </c>
      <c r="EG35" t="s">
        <v>23</v>
      </c>
      <c r="EH35">
        <v>0</v>
      </c>
      <c r="EI35" t="s">
        <v>3</v>
      </c>
      <c r="EJ35">
        <v>1</v>
      </c>
      <c r="EK35">
        <v>445</v>
      </c>
      <c r="EL35" t="s">
        <v>47</v>
      </c>
      <c r="EM35" t="s">
        <v>48</v>
      </c>
      <c r="EO35" t="s">
        <v>3</v>
      </c>
      <c r="EQ35">
        <v>131072</v>
      </c>
      <c r="ER35">
        <v>696.37</v>
      </c>
      <c r="ES35">
        <v>0</v>
      </c>
      <c r="ET35">
        <v>203.98</v>
      </c>
      <c r="EU35">
        <v>12.6</v>
      </c>
      <c r="EV35">
        <v>492.39</v>
      </c>
      <c r="EW35">
        <v>47.3</v>
      </c>
      <c r="EX35">
        <v>0</v>
      </c>
      <c r="EY35">
        <v>0</v>
      </c>
      <c r="FQ35">
        <v>0</v>
      </c>
      <c r="FR35">
        <f t="shared" si="48"/>
        <v>0</v>
      </c>
      <c r="FS35">
        <v>0</v>
      </c>
      <c r="FX35">
        <v>80</v>
      </c>
      <c r="FY35">
        <v>55</v>
      </c>
      <c r="GA35" t="s">
        <v>3</v>
      </c>
      <c r="GD35">
        <v>0</v>
      </c>
      <c r="GF35">
        <v>758570315</v>
      </c>
      <c r="GG35">
        <v>2</v>
      </c>
      <c r="GH35">
        <v>1</v>
      </c>
      <c r="GI35">
        <v>3</v>
      </c>
      <c r="GJ35">
        <v>0</v>
      </c>
      <c r="GK35">
        <f>ROUND(R35*(S12)/100,2)</f>
        <v>37.53</v>
      </c>
      <c r="GL35">
        <f t="shared" si="49"/>
        <v>0</v>
      </c>
      <c r="GM35">
        <f t="shared" si="50"/>
        <v>1974.25</v>
      </c>
      <c r="GN35">
        <f t="shared" si="51"/>
        <v>1974.25</v>
      </c>
      <c r="GO35">
        <f t="shared" si="52"/>
        <v>0</v>
      </c>
      <c r="GP35">
        <f t="shared" si="53"/>
        <v>0</v>
      </c>
      <c r="GR35">
        <v>0</v>
      </c>
      <c r="GS35">
        <v>3</v>
      </c>
      <c r="GT35">
        <v>0</v>
      </c>
      <c r="GU35" t="s">
        <v>3</v>
      </c>
      <c r="GV35">
        <f t="shared" si="54"/>
        <v>0</v>
      </c>
      <c r="GW35">
        <v>1</v>
      </c>
      <c r="GX35">
        <f t="shared" si="55"/>
        <v>0</v>
      </c>
      <c r="HA35">
        <v>0</v>
      </c>
      <c r="HB35">
        <v>0</v>
      </c>
      <c r="IK35">
        <v>0</v>
      </c>
    </row>
    <row r="36" spans="1:255" x14ac:dyDescent="0.2">
      <c r="A36" s="2">
        <v>18</v>
      </c>
      <c r="B36" s="2">
        <v>1</v>
      </c>
      <c r="C36" s="2">
        <v>17</v>
      </c>
      <c r="D36" s="2"/>
      <c r="E36" s="2" t="s">
        <v>49</v>
      </c>
      <c r="F36" s="2" t="s">
        <v>27</v>
      </c>
      <c r="G36" s="2" t="s">
        <v>50</v>
      </c>
      <c r="H36" s="2" t="s">
        <v>29</v>
      </c>
      <c r="I36" s="2">
        <f>I34*J36</f>
        <v>-0.21725</v>
      </c>
      <c r="J36" s="2">
        <v>-2.5</v>
      </c>
      <c r="K36" s="2"/>
      <c r="L36" s="2"/>
      <c r="M36" s="2"/>
      <c r="N36" s="2"/>
      <c r="O36" s="2">
        <f t="shared" si="21"/>
        <v>0</v>
      </c>
      <c r="P36" s="2">
        <f t="shared" si="22"/>
        <v>0</v>
      </c>
      <c r="Q36" s="2">
        <f t="shared" si="23"/>
        <v>0</v>
      </c>
      <c r="R36" s="2">
        <f t="shared" si="24"/>
        <v>0</v>
      </c>
      <c r="S36" s="2">
        <f t="shared" si="25"/>
        <v>0</v>
      </c>
      <c r="T36" s="2">
        <f t="shared" si="26"/>
        <v>0</v>
      </c>
      <c r="U36" s="2">
        <f t="shared" si="27"/>
        <v>0</v>
      </c>
      <c r="V36" s="2">
        <f t="shared" si="28"/>
        <v>0</v>
      </c>
      <c r="W36" s="2">
        <f t="shared" si="29"/>
        <v>0</v>
      </c>
      <c r="X36" s="2">
        <f t="shared" si="30"/>
        <v>0</v>
      </c>
      <c r="Y36" s="2">
        <f t="shared" si="31"/>
        <v>0</v>
      </c>
      <c r="Z36" s="2"/>
      <c r="AA36" s="2">
        <v>45037306</v>
      </c>
      <c r="AB36" s="2">
        <f t="shared" si="32"/>
        <v>0</v>
      </c>
      <c r="AC36" s="2">
        <f t="shared" si="56"/>
        <v>0</v>
      </c>
      <c r="AD36" s="2">
        <f t="shared" si="57"/>
        <v>0</v>
      </c>
      <c r="AE36" s="2">
        <f t="shared" si="57"/>
        <v>0</v>
      </c>
      <c r="AF36" s="2">
        <f t="shared" si="57"/>
        <v>0</v>
      </c>
      <c r="AG36" s="2">
        <f t="shared" si="34"/>
        <v>0</v>
      </c>
      <c r="AH36" s="2">
        <f t="shared" si="58"/>
        <v>0</v>
      </c>
      <c r="AI36" s="2">
        <f t="shared" si="58"/>
        <v>0</v>
      </c>
      <c r="AJ36" s="2">
        <f t="shared" si="36"/>
        <v>0</v>
      </c>
      <c r="AK36" s="2">
        <v>0</v>
      </c>
      <c r="AL36" s="2">
        <v>0</v>
      </c>
      <c r="AM36" s="2">
        <v>0</v>
      </c>
      <c r="AN36" s="2">
        <v>0</v>
      </c>
      <c r="AO36" s="2">
        <v>0</v>
      </c>
      <c r="AP36" s="2">
        <v>0</v>
      </c>
      <c r="AQ36" s="2">
        <v>0</v>
      </c>
      <c r="AR36" s="2">
        <v>0</v>
      </c>
      <c r="AS36" s="2">
        <v>0</v>
      </c>
      <c r="AT36" s="2">
        <v>0</v>
      </c>
      <c r="AU36" s="2">
        <v>0</v>
      </c>
      <c r="AV36" s="2">
        <v>1</v>
      </c>
      <c r="AW36" s="2">
        <v>1</v>
      </c>
      <c r="AX36" s="2"/>
      <c r="AY36" s="2"/>
      <c r="AZ36" s="2">
        <v>1</v>
      </c>
      <c r="BA36" s="2">
        <v>1</v>
      </c>
      <c r="BB36" s="2">
        <v>1</v>
      </c>
      <c r="BC36" s="2">
        <v>1</v>
      </c>
      <c r="BD36" s="2" t="s">
        <v>3</v>
      </c>
      <c r="BE36" s="2" t="s">
        <v>3</v>
      </c>
      <c r="BF36" s="2" t="s">
        <v>3</v>
      </c>
      <c r="BG36" s="2" t="s">
        <v>3</v>
      </c>
      <c r="BH36" s="2">
        <v>3</v>
      </c>
      <c r="BI36" s="2">
        <v>1</v>
      </c>
      <c r="BJ36" s="2" t="s">
        <v>3</v>
      </c>
      <c r="BK36" s="2"/>
      <c r="BL36" s="2"/>
      <c r="BM36" s="2">
        <v>445</v>
      </c>
      <c r="BN36" s="2">
        <v>7156650</v>
      </c>
      <c r="BO36" s="2" t="s">
        <v>3</v>
      </c>
      <c r="BP36" s="2">
        <v>0</v>
      </c>
      <c r="BQ36" s="2">
        <v>60</v>
      </c>
      <c r="BR36" s="2">
        <v>1</v>
      </c>
      <c r="BS36" s="2">
        <v>1</v>
      </c>
      <c r="BT36" s="2">
        <v>1</v>
      </c>
      <c r="BU36" s="2">
        <v>1</v>
      </c>
      <c r="BV36" s="2">
        <v>1</v>
      </c>
      <c r="BW36" s="2">
        <v>1</v>
      </c>
      <c r="BX36" s="2">
        <v>1</v>
      </c>
      <c r="BY36" s="2" t="s">
        <v>3</v>
      </c>
      <c r="BZ36" s="2">
        <v>0</v>
      </c>
      <c r="CA36" s="2">
        <v>0</v>
      </c>
      <c r="CB36" s="2"/>
      <c r="CC36" s="2"/>
      <c r="CD36" s="2"/>
      <c r="CE36" s="2"/>
      <c r="CF36" s="2">
        <v>0</v>
      </c>
      <c r="CG36" s="2">
        <v>0</v>
      </c>
      <c r="CH36" s="2"/>
      <c r="CI36" s="2"/>
      <c r="CJ36" s="2"/>
      <c r="CK36" s="2"/>
      <c r="CL36" s="2"/>
      <c r="CM36" s="2">
        <v>0</v>
      </c>
      <c r="CN36" s="2" t="s">
        <v>3</v>
      </c>
      <c r="CO36" s="2">
        <v>0</v>
      </c>
      <c r="CP36" s="2">
        <f t="shared" si="37"/>
        <v>0</v>
      </c>
      <c r="CQ36" s="2">
        <f t="shared" si="38"/>
        <v>0</v>
      </c>
      <c r="CR36" s="2">
        <f t="shared" si="39"/>
        <v>0</v>
      </c>
      <c r="CS36" s="2">
        <f t="shared" si="40"/>
        <v>0</v>
      </c>
      <c r="CT36" s="2">
        <f t="shared" si="41"/>
        <v>0</v>
      </c>
      <c r="CU36" s="2">
        <f t="shared" si="42"/>
        <v>0</v>
      </c>
      <c r="CV36" s="2">
        <f t="shared" si="43"/>
        <v>0</v>
      </c>
      <c r="CW36" s="2">
        <f t="shared" si="44"/>
        <v>0</v>
      </c>
      <c r="CX36" s="2">
        <f t="shared" si="45"/>
        <v>0</v>
      </c>
      <c r="CY36" s="2">
        <f t="shared" si="46"/>
        <v>0</v>
      </c>
      <c r="CZ36" s="2">
        <f t="shared" si="47"/>
        <v>0</v>
      </c>
      <c r="DA36" s="2"/>
      <c r="DB36" s="2"/>
      <c r="DC36" s="2" t="s">
        <v>3</v>
      </c>
      <c r="DD36" s="2" t="s">
        <v>3</v>
      </c>
      <c r="DE36" s="2" t="s">
        <v>3</v>
      </c>
      <c r="DF36" s="2" t="s">
        <v>3</v>
      </c>
      <c r="DG36" s="2" t="s">
        <v>3</v>
      </c>
      <c r="DH36" s="2" t="s">
        <v>3</v>
      </c>
      <c r="DI36" s="2" t="s">
        <v>3</v>
      </c>
      <c r="DJ36" s="2" t="s">
        <v>3</v>
      </c>
      <c r="DK36" s="2" t="s">
        <v>3</v>
      </c>
      <c r="DL36" s="2" t="s">
        <v>3</v>
      </c>
      <c r="DM36" s="2" t="s">
        <v>3</v>
      </c>
      <c r="DN36" s="2">
        <v>80</v>
      </c>
      <c r="DO36" s="2">
        <v>55</v>
      </c>
      <c r="DP36" s="2">
        <v>1.0469999999999999</v>
      </c>
      <c r="DQ36" s="2">
        <v>1</v>
      </c>
      <c r="DR36" s="2"/>
      <c r="DS36" s="2"/>
      <c r="DT36" s="2"/>
      <c r="DU36" s="2">
        <v>1009</v>
      </c>
      <c r="DV36" s="2" t="s">
        <v>29</v>
      </c>
      <c r="DW36" s="2" t="s">
        <v>29</v>
      </c>
      <c r="DX36" s="2">
        <v>1000</v>
      </c>
      <c r="DY36" s="2"/>
      <c r="DZ36" s="2"/>
      <c r="EA36" s="2"/>
      <c r="EB36" s="2"/>
      <c r="EC36" s="2"/>
      <c r="ED36" s="2"/>
      <c r="EE36" s="2">
        <v>44846952</v>
      </c>
      <c r="EF36" s="2">
        <v>60</v>
      </c>
      <c r="EG36" s="2" t="s">
        <v>23</v>
      </c>
      <c r="EH36" s="2">
        <v>0</v>
      </c>
      <c r="EI36" s="2" t="s">
        <v>3</v>
      </c>
      <c r="EJ36" s="2">
        <v>1</v>
      </c>
      <c r="EK36" s="2">
        <v>445</v>
      </c>
      <c r="EL36" s="2" t="s">
        <v>47</v>
      </c>
      <c r="EM36" s="2" t="s">
        <v>48</v>
      </c>
      <c r="EN36" s="2"/>
      <c r="EO36" s="2" t="s">
        <v>3</v>
      </c>
      <c r="EP36" s="2"/>
      <c r="EQ36" s="2">
        <v>32768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>
        <v>0</v>
      </c>
      <c r="FR36" s="2">
        <f t="shared" si="48"/>
        <v>0</v>
      </c>
      <c r="FS36" s="2">
        <v>0</v>
      </c>
      <c r="FT36" s="2"/>
      <c r="FU36" s="2"/>
      <c r="FV36" s="2"/>
      <c r="FW36" s="2"/>
      <c r="FX36" s="2">
        <v>80</v>
      </c>
      <c r="FY36" s="2">
        <v>55</v>
      </c>
      <c r="FZ36" s="2"/>
      <c r="GA36" s="2" t="s">
        <v>3</v>
      </c>
      <c r="GB36" s="2"/>
      <c r="GC36" s="2"/>
      <c r="GD36" s="2">
        <v>0</v>
      </c>
      <c r="GE36" s="2"/>
      <c r="GF36" s="2">
        <v>1489638031</v>
      </c>
      <c r="GG36" s="2">
        <v>2</v>
      </c>
      <c r="GH36" s="2">
        <v>1</v>
      </c>
      <c r="GI36" s="2">
        <v>3</v>
      </c>
      <c r="GJ36" s="2">
        <v>0</v>
      </c>
      <c r="GK36" s="2">
        <f>ROUND(R36*(R12)/100,2)</f>
        <v>0</v>
      </c>
      <c r="GL36" s="2">
        <f t="shared" si="49"/>
        <v>0</v>
      </c>
      <c r="GM36" s="2">
        <f t="shared" si="50"/>
        <v>0</v>
      </c>
      <c r="GN36" s="2">
        <f t="shared" si="51"/>
        <v>0</v>
      </c>
      <c r="GO36" s="2">
        <f t="shared" si="52"/>
        <v>0</v>
      </c>
      <c r="GP36" s="2">
        <f t="shared" si="53"/>
        <v>0</v>
      </c>
      <c r="GQ36" s="2"/>
      <c r="GR36" s="2">
        <v>0</v>
      </c>
      <c r="GS36" s="2">
        <v>3</v>
      </c>
      <c r="GT36" s="2">
        <v>0</v>
      </c>
      <c r="GU36" s="2" t="s">
        <v>3</v>
      </c>
      <c r="GV36" s="2">
        <f t="shared" si="54"/>
        <v>0</v>
      </c>
      <c r="GW36" s="2">
        <v>1</v>
      </c>
      <c r="GX36" s="2">
        <f t="shared" si="55"/>
        <v>0</v>
      </c>
      <c r="GY36" s="2"/>
      <c r="GZ36" s="2"/>
      <c r="HA36" s="2">
        <v>0</v>
      </c>
      <c r="HB36" s="2">
        <v>0</v>
      </c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>
        <v>0</v>
      </c>
      <c r="IL36" s="2"/>
      <c r="IM36" s="2"/>
      <c r="IN36" s="2"/>
      <c r="IO36" s="2"/>
      <c r="IP36" s="2"/>
      <c r="IQ36" s="2"/>
      <c r="IR36" s="2"/>
      <c r="IS36" s="2"/>
      <c r="IT36" s="2"/>
      <c r="IU36" s="2"/>
    </row>
    <row r="37" spans="1:255" x14ac:dyDescent="0.2">
      <c r="A37">
        <v>18</v>
      </c>
      <c r="B37">
        <v>1</v>
      </c>
      <c r="C37">
        <v>20</v>
      </c>
      <c r="E37" t="s">
        <v>49</v>
      </c>
      <c r="F37" t="s">
        <v>27</v>
      </c>
      <c r="G37" t="s">
        <v>50</v>
      </c>
      <c r="H37" t="s">
        <v>29</v>
      </c>
      <c r="I37">
        <f>I35*J37</f>
        <v>-0.21725</v>
      </c>
      <c r="J37">
        <v>-2.5</v>
      </c>
      <c r="O37">
        <f t="shared" si="21"/>
        <v>0</v>
      </c>
      <c r="P37">
        <f t="shared" si="22"/>
        <v>0</v>
      </c>
      <c r="Q37">
        <f t="shared" si="23"/>
        <v>0</v>
      </c>
      <c r="R37">
        <f t="shared" si="24"/>
        <v>0</v>
      </c>
      <c r="S37">
        <f t="shared" si="25"/>
        <v>0</v>
      </c>
      <c r="T37">
        <f t="shared" si="26"/>
        <v>0</v>
      </c>
      <c r="U37">
        <f t="shared" si="27"/>
        <v>0</v>
      </c>
      <c r="V37">
        <f t="shared" si="28"/>
        <v>0</v>
      </c>
      <c r="W37">
        <f t="shared" si="29"/>
        <v>0</v>
      </c>
      <c r="X37">
        <f t="shared" si="30"/>
        <v>0</v>
      </c>
      <c r="Y37">
        <f t="shared" si="31"/>
        <v>0</v>
      </c>
      <c r="AA37">
        <v>45037307</v>
      </c>
      <c r="AB37">
        <f t="shared" si="32"/>
        <v>0</v>
      </c>
      <c r="AC37">
        <f t="shared" si="56"/>
        <v>0</v>
      </c>
      <c r="AD37">
        <f t="shared" si="57"/>
        <v>0</v>
      </c>
      <c r="AE37">
        <f t="shared" si="57"/>
        <v>0</v>
      </c>
      <c r="AF37">
        <f t="shared" si="57"/>
        <v>0</v>
      </c>
      <c r="AG37">
        <f t="shared" si="34"/>
        <v>0</v>
      </c>
      <c r="AH37">
        <f t="shared" si="58"/>
        <v>0</v>
      </c>
      <c r="AI37">
        <f t="shared" si="58"/>
        <v>0</v>
      </c>
      <c r="AJ37">
        <f t="shared" si="36"/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1</v>
      </c>
      <c r="AW37">
        <v>1</v>
      </c>
      <c r="AZ37">
        <v>1</v>
      </c>
      <c r="BA37">
        <v>1</v>
      </c>
      <c r="BB37">
        <v>1</v>
      </c>
      <c r="BC37">
        <v>1</v>
      </c>
      <c r="BD37" t="s">
        <v>3</v>
      </c>
      <c r="BE37" t="s">
        <v>3</v>
      </c>
      <c r="BF37" t="s">
        <v>3</v>
      </c>
      <c r="BG37" t="s">
        <v>3</v>
      </c>
      <c r="BH37">
        <v>3</v>
      </c>
      <c r="BI37">
        <v>1</v>
      </c>
      <c r="BJ37" t="s">
        <v>3</v>
      </c>
      <c r="BM37">
        <v>445</v>
      </c>
      <c r="BN37">
        <v>7156650</v>
      </c>
      <c r="BO37" t="s">
        <v>3</v>
      </c>
      <c r="BP37">
        <v>0</v>
      </c>
      <c r="BQ37">
        <v>60</v>
      </c>
      <c r="BR37">
        <v>1</v>
      </c>
      <c r="BS37">
        <v>1</v>
      </c>
      <c r="BT37">
        <v>1</v>
      </c>
      <c r="BU37">
        <v>1</v>
      </c>
      <c r="BV37">
        <v>1</v>
      </c>
      <c r="BW37">
        <v>1</v>
      </c>
      <c r="BX37">
        <v>1</v>
      </c>
      <c r="BY37" t="s">
        <v>3</v>
      </c>
      <c r="BZ37">
        <v>0</v>
      </c>
      <c r="CA37">
        <v>0</v>
      </c>
      <c r="CF37">
        <v>0</v>
      </c>
      <c r="CG37">
        <v>0</v>
      </c>
      <c r="CM37">
        <v>0</v>
      </c>
      <c r="CN37" t="s">
        <v>3</v>
      </c>
      <c r="CO37">
        <v>0</v>
      </c>
      <c r="CP37">
        <f t="shared" si="37"/>
        <v>0</v>
      </c>
      <c r="CQ37">
        <f t="shared" si="38"/>
        <v>0</v>
      </c>
      <c r="CR37">
        <f t="shared" si="39"/>
        <v>0</v>
      </c>
      <c r="CS37">
        <f t="shared" si="40"/>
        <v>0</v>
      </c>
      <c r="CT37">
        <f t="shared" si="41"/>
        <v>0</v>
      </c>
      <c r="CU37">
        <f t="shared" si="42"/>
        <v>0</v>
      </c>
      <c r="CV37">
        <f t="shared" si="43"/>
        <v>0</v>
      </c>
      <c r="CW37">
        <f t="shared" si="44"/>
        <v>0</v>
      </c>
      <c r="CX37">
        <f t="shared" si="45"/>
        <v>0</v>
      </c>
      <c r="CY37">
        <f t="shared" si="46"/>
        <v>0</v>
      </c>
      <c r="CZ37">
        <f t="shared" si="47"/>
        <v>0</v>
      </c>
      <c r="DC37" t="s">
        <v>3</v>
      </c>
      <c r="DD37" t="s">
        <v>3</v>
      </c>
      <c r="DE37" t="s">
        <v>3</v>
      </c>
      <c r="DF37" t="s">
        <v>3</v>
      </c>
      <c r="DG37" t="s">
        <v>3</v>
      </c>
      <c r="DH37" t="s">
        <v>3</v>
      </c>
      <c r="DI37" t="s">
        <v>3</v>
      </c>
      <c r="DJ37" t="s">
        <v>3</v>
      </c>
      <c r="DK37" t="s">
        <v>3</v>
      </c>
      <c r="DL37" t="s">
        <v>3</v>
      </c>
      <c r="DM37" t="s">
        <v>3</v>
      </c>
      <c r="DN37">
        <v>80</v>
      </c>
      <c r="DO37">
        <v>55</v>
      </c>
      <c r="DP37">
        <v>1.0469999999999999</v>
      </c>
      <c r="DQ37">
        <v>1</v>
      </c>
      <c r="DU37">
        <v>1009</v>
      </c>
      <c r="DV37" t="s">
        <v>29</v>
      </c>
      <c r="DW37" t="s">
        <v>29</v>
      </c>
      <c r="DX37">
        <v>1000</v>
      </c>
      <c r="EE37">
        <v>44846952</v>
      </c>
      <c r="EF37">
        <v>60</v>
      </c>
      <c r="EG37" t="s">
        <v>23</v>
      </c>
      <c r="EH37">
        <v>0</v>
      </c>
      <c r="EI37" t="s">
        <v>3</v>
      </c>
      <c r="EJ37">
        <v>1</v>
      </c>
      <c r="EK37">
        <v>445</v>
      </c>
      <c r="EL37" t="s">
        <v>47</v>
      </c>
      <c r="EM37" t="s">
        <v>48</v>
      </c>
      <c r="EO37" t="s">
        <v>3</v>
      </c>
      <c r="EQ37">
        <v>32768</v>
      </c>
      <c r="ER37">
        <v>0</v>
      </c>
      <c r="ES37">
        <v>0</v>
      </c>
      <c r="ET37">
        <v>0</v>
      </c>
      <c r="EU37">
        <v>0</v>
      </c>
      <c r="EV37">
        <v>0</v>
      </c>
      <c r="EW37">
        <v>0</v>
      </c>
      <c r="EX37">
        <v>0</v>
      </c>
      <c r="FQ37">
        <v>0</v>
      </c>
      <c r="FR37">
        <f t="shared" si="48"/>
        <v>0</v>
      </c>
      <c r="FS37">
        <v>0</v>
      </c>
      <c r="FX37">
        <v>80</v>
      </c>
      <c r="FY37">
        <v>55</v>
      </c>
      <c r="GA37" t="s">
        <v>3</v>
      </c>
      <c r="GD37">
        <v>0</v>
      </c>
      <c r="GF37">
        <v>1489638031</v>
      </c>
      <c r="GG37">
        <v>2</v>
      </c>
      <c r="GH37">
        <v>1</v>
      </c>
      <c r="GI37">
        <v>3</v>
      </c>
      <c r="GJ37">
        <v>0</v>
      </c>
      <c r="GK37">
        <f>ROUND(R37*(S12)/100,2)</f>
        <v>0</v>
      </c>
      <c r="GL37">
        <f t="shared" si="49"/>
        <v>0</v>
      </c>
      <c r="GM37">
        <f t="shared" si="50"/>
        <v>0</v>
      </c>
      <c r="GN37">
        <f t="shared" si="51"/>
        <v>0</v>
      </c>
      <c r="GO37">
        <f t="shared" si="52"/>
        <v>0</v>
      </c>
      <c r="GP37">
        <f t="shared" si="53"/>
        <v>0</v>
      </c>
      <c r="GR37">
        <v>0</v>
      </c>
      <c r="GS37">
        <v>3</v>
      </c>
      <c r="GT37">
        <v>0</v>
      </c>
      <c r="GU37" t="s">
        <v>3</v>
      </c>
      <c r="GV37">
        <f t="shared" si="54"/>
        <v>0</v>
      </c>
      <c r="GW37">
        <v>1</v>
      </c>
      <c r="GX37">
        <f t="shared" si="55"/>
        <v>0</v>
      </c>
      <c r="HA37">
        <v>0</v>
      </c>
      <c r="HB37">
        <v>0</v>
      </c>
      <c r="IK37">
        <v>0</v>
      </c>
    </row>
    <row r="38" spans="1:255" x14ac:dyDescent="0.2">
      <c r="A38" s="2">
        <v>17</v>
      </c>
      <c r="B38" s="2">
        <v>1</v>
      </c>
      <c r="C38" s="2">
        <f>ROW(SmtRes!A31)</f>
        <v>31</v>
      </c>
      <c r="D38" s="2">
        <f>ROW(EtalonRes!A29)</f>
        <v>29</v>
      </c>
      <c r="E38" s="2" t="s">
        <v>51</v>
      </c>
      <c r="F38" s="2" t="s">
        <v>52</v>
      </c>
      <c r="G38" s="2" t="s">
        <v>53</v>
      </c>
      <c r="H38" s="2" t="s">
        <v>54</v>
      </c>
      <c r="I38" s="2">
        <f>ROUND(19.41/100,9)</f>
        <v>0.19409999999999999</v>
      </c>
      <c r="J38" s="2">
        <v>0</v>
      </c>
      <c r="K38" s="2"/>
      <c r="L38" s="2"/>
      <c r="M38" s="2"/>
      <c r="N38" s="2"/>
      <c r="O38" s="2">
        <f t="shared" si="21"/>
        <v>124.59</v>
      </c>
      <c r="P38" s="2">
        <f t="shared" si="22"/>
        <v>11.22</v>
      </c>
      <c r="Q38" s="2">
        <f t="shared" si="23"/>
        <v>101.72</v>
      </c>
      <c r="R38" s="2">
        <f t="shared" si="24"/>
        <v>18.489999999999998</v>
      </c>
      <c r="S38" s="2">
        <f t="shared" si="25"/>
        <v>11.65</v>
      </c>
      <c r="T38" s="2">
        <f t="shared" si="26"/>
        <v>0</v>
      </c>
      <c r="U38" s="2">
        <f t="shared" si="27"/>
        <v>0.95759234999999987</v>
      </c>
      <c r="V38" s="2">
        <f t="shared" si="28"/>
        <v>0</v>
      </c>
      <c r="W38" s="2">
        <f t="shared" si="29"/>
        <v>0</v>
      </c>
      <c r="X38" s="2">
        <f t="shared" si="30"/>
        <v>0</v>
      </c>
      <c r="Y38" s="2">
        <f t="shared" si="31"/>
        <v>0</v>
      </c>
      <c r="Z38" s="2"/>
      <c r="AA38" s="2">
        <v>45037306</v>
      </c>
      <c r="AB38" s="2">
        <f t="shared" si="32"/>
        <v>641.86300000000006</v>
      </c>
      <c r="AC38" s="2">
        <f t="shared" si="56"/>
        <v>57.83</v>
      </c>
      <c r="AD38" s="2">
        <f>ROUND(((ET38*1.25)),6)</f>
        <v>524.03750000000002</v>
      </c>
      <c r="AE38" s="2">
        <f>ROUND(((EU38*1.25)),6)</f>
        <v>95.275000000000006</v>
      </c>
      <c r="AF38" s="2">
        <f>ROUND(((EV38*1.15)),6)</f>
        <v>59.9955</v>
      </c>
      <c r="AG38" s="2">
        <f t="shared" si="34"/>
        <v>0</v>
      </c>
      <c r="AH38" s="2">
        <f>((EW38*1.15))</f>
        <v>4.9334999999999996</v>
      </c>
      <c r="AI38" s="2">
        <f>((EX38*1.25))</f>
        <v>0</v>
      </c>
      <c r="AJ38" s="2">
        <f t="shared" si="36"/>
        <v>0</v>
      </c>
      <c r="AK38" s="2">
        <v>529.23</v>
      </c>
      <c r="AL38" s="2">
        <v>57.83</v>
      </c>
      <c r="AM38" s="2">
        <v>419.23</v>
      </c>
      <c r="AN38" s="2">
        <v>76.22</v>
      </c>
      <c r="AO38" s="2">
        <v>52.17</v>
      </c>
      <c r="AP38" s="2">
        <v>0</v>
      </c>
      <c r="AQ38" s="2">
        <v>4.29</v>
      </c>
      <c r="AR38" s="2">
        <v>0</v>
      </c>
      <c r="AS38" s="2">
        <v>0</v>
      </c>
      <c r="AT38" s="2">
        <v>0</v>
      </c>
      <c r="AU38" s="2">
        <v>0</v>
      </c>
      <c r="AV38" s="2">
        <v>1</v>
      </c>
      <c r="AW38" s="2">
        <v>1</v>
      </c>
      <c r="AX38" s="2"/>
      <c r="AY38" s="2"/>
      <c r="AZ38" s="2">
        <v>1</v>
      </c>
      <c r="BA38" s="2">
        <v>1</v>
      </c>
      <c r="BB38" s="2">
        <v>1</v>
      </c>
      <c r="BC38" s="2">
        <v>1</v>
      </c>
      <c r="BD38" s="2" t="s">
        <v>3</v>
      </c>
      <c r="BE38" s="2" t="s">
        <v>3</v>
      </c>
      <c r="BF38" s="2" t="s">
        <v>3</v>
      </c>
      <c r="BG38" s="2" t="s">
        <v>3</v>
      </c>
      <c r="BH38" s="2">
        <v>0</v>
      </c>
      <c r="BI38" s="2">
        <v>1</v>
      </c>
      <c r="BJ38" s="2" t="s">
        <v>55</v>
      </c>
      <c r="BK38" s="2"/>
      <c r="BL38" s="2"/>
      <c r="BM38" s="2">
        <v>158</v>
      </c>
      <c r="BN38" s="2">
        <v>7156650</v>
      </c>
      <c r="BO38" s="2" t="s">
        <v>3</v>
      </c>
      <c r="BP38" s="2">
        <v>0</v>
      </c>
      <c r="BQ38" s="2">
        <v>30</v>
      </c>
      <c r="BR38" s="2">
        <v>0</v>
      </c>
      <c r="BS38" s="2">
        <v>1</v>
      </c>
      <c r="BT38" s="2">
        <v>1</v>
      </c>
      <c r="BU38" s="2">
        <v>1</v>
      </c>
      <c r="BV38" s="2">
        <v>1</v>
      </c>
      <c r="BW38" s="2">
        <v>1</v>
      </c>
      <c r="BX38" s="2">
        <v>1</v>
      </c>
      <c r="BY38" s="2" t="s">
        <v>3</v>
      </c>
      <c r="BZ38" s="2">
        <v>0</v>
      </c>
      <c r="CA38" s="2">
        <v>0</v>
      </c>
      <c r="CB38" s="2"/>
      <c r="CC38" s="2"/>
      <c r="CD38" s="2"/>
      <c r="CE38" s="2"/>
      <c r="CF38" s="2">
        <v>0</v>
      </c>
      <c r="CG38" s="2">
        <v>0</v>
      </c>
      <c r="CH38" s="2"/>
      <c r="CI38" s="2"/>
      <c r="CJ38" s="2"/>
      <c r="CK38" s="2"/>
      <c r="CL38" s="2"/>
      <c r="CM38" s="2">
        <v>0</v>
      </c>
      <c r="CN38" s="2" t="s">
        <v>3</v>
      </c>
      <c r="CO38" s="2">
        <v>0</v>
      </c>
      <c r="CP38" s="2">
        <f t="shared" si="37"/>
        <v>124.59</v>
      </c>
      <c r="CQ38" s="2">
        <f t="shared" si="38"/>
        <v>57.83</v>
      </c>
      <c r="CR38" s="2">
        <f t="shared" si="39"/>
        <v>524.03750000000002</v>
      </c>
      <c r="CS38" s="2">
        <f t="shared" si="40"/>
        <v>95.275000000000006</v>
      </c>
      <c r="CT38" s="2">
        <f t="shared" si="41"/>
        <v>59.9955</v>
      </c>
      <c r="CU38" s="2">
        <f t="shared" si="42"/>
        <v>0</v>
      </c>
      <c r="CV38" s="2">
        <f t="shared" si="43"/>
        <v>4.9334999999999996</v>
      </c>
      <c r="CW38" s="2">
        <f t="shared" si="44"/>
        <v>0</v>
      </c>
      <c r="CX38" s="2">
        <f t="shared" si="45"/>
        <v>0</v>
      </c>
      <c r="CY38" s="2">
        <f t="shared" si="46"/>
        <v>0</v>
      </c>
      <c r="CZ38" s="2">
        <f t="shared" si="47"/>
        <v>0</v>
      </c>
      <c r="DA38" s="2"/>
      <c r="DB38" s="2"/>
      <c r="DC38" s="2" t="s">
        <v>3</v>
      </c>
      <c r="DD38" s="2" t="s">
        <v>3</v>
      </c>
      <c r="DE38" s="2" t="s">
        <v>36</v>
      </c>
      <c r="DF38" s="2" t="s">
        <v>36</v>
      </c>
      <c r="DG38" s="2" t="s">
        <v>37</v>
      </c>
      <c r="DH38" s="2" t="s">
        <v>3</v>
      </c>
      <c r="DI38" s="2" t="s">
        <v>37</v>
      </c>
      <c r="DJ38" s="2" t="s">
        <v>36</v>
      </c>
      <c r="DK38" s="2" t="s">
        <v>3</v>
      </c>
      <c r="DL38" s="2" t="s">
        <v>3</v>
      </c>
      <c r="DM38" s="2" t="s">
        <v>3</v>
      </c>
      <c r="DN38" s="2">
        <v>140</v>
      </c>
      <c r="DO38" s="2">
        <v>79</v>
      </c>
      <c r="DP38" s="2">
        <v>1.0469999999999999</v>
      </c>
      <c r="DQ38" s="2">
        <v>1</v>
      </c>
      <c r="DR38" s="2"/>
      <c r="DS38" s="2"/>
      <c r="DT38" s="2"/>
      <c r="DU38" s="2">
        <v>1013</v>
      </c>
      <c r="DV38" s="2" t="s">
        <v>54</v>
      </c>
      <c r="DW38" s="2" t="s">
        <v>54</v>
      </c>
      <c r="DX38" s="2">
        <v>1</v>
      </c>
      <c r="DY38" s="2"/>
      <c r="DZ38" s="2"/>
      <c r="EA38" s="2"/>
      <c r="EB38" s="2"/>
      <c r="EC38" s="2"/>
      <c r="ED38" s="2"/>
      <c r="EE38" s="2">
        <v>44846665</v>
      </c>
      <c r="EF38" s="2">
        <v>30</v>
      </c>
      <c r="EG38" s="2" t="s">
        <v>38</v>
      </c>
      <c r="EH38" s="2">
        <v>0</v>
      </c>
      <c r="EI38" s="2" t="s">
        <v>3</v>
      </c>
      <c r="EJ38" s="2">
        <v>1</v>
      </c>
      <c r="EK38" s="2">
        <v>158</v>
      </c>
      <c r="EL38" s="2" t="s">
        <v>56</v>
      </c>
      <c r="EM38" s="2" t="s">
        <v>57</v>
      </c>
      <c r="EN38" s="2"/>
      <c r="EO38" s="2" t="s">
        <v>3</v>
      </c>
      <c r="EP38" s="2"/>
      <c r="EQ38" s="2">
        <v>131072</v>
      </c>
      <c r="ER38" s="2">
        <v>529.23</v>
      </c>
      <c r="ES38" s="2">
        <v>57.83</v>
      </c>
      <c r="ET38" s="2">
        <v>419.23</v>
      </c>
      <c r="EU38" s="2">
        <v>76.22</v>
      </c>
      <c r="EV38" s="2">
        <v>52.17</v>
      </c>
      <c r="EW38" s="2">
        <v>4.29</v>
      </c>
      <c r="EX38" s="2">
        <v>0</v>
      </c>
      <c r="EY38" s="2">
        <v>0</v>
      </c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>
        <v>0</v>
      </c>
      <c r="FR38" s="2">
        <f t="shared" si="48"/>
        <v>0</v>
      </c>
      <c r="FS38" s="2">
        <v>0</v>
      </c>
      <c r="FT38" s="2"/>
      <c r="FU38" s="2"/>
      <c r="FV38" s="2"/>
      <c r="FW38" s="2"/>
      <c r="FX38" s="2">
        <v>140</v>
      </c>
      <c r="FY38" s="2">
        <v>79</v>
      </c>
      <c r="FZ38" s="2"/>
      <c r="GA38" s="2" t="s">
        <v>3</v>
      </c>
      <c r="GB38" s="2"/>
      <c r="GC38" s="2"/>
      <c r="GD38" s="2">
        <v>0</v>
      </c>
      <c r="GE38" s="2"/>
      <c r="GF38" s="2">
        <v>432644731</v>
      </c>
      <c r="GG38" s="2">
        <v>2</v>
      </c>
      <c r="GH38" s="2">
        <v>1</v>
      </c>
      <c r="GI38" s="2">
        <v>3</v>
      </c>
      <c r="GJ38" s="2">
        <v>0</v>
      </c>
      <c r="GK38" s="2">
        <f>ROUND(R38*(R12)/100,2)</f>
        <v>33.28</v>
      </c>
      <c r="GL38" s="2">
        <f t="shared" si="49"/>
        <v>0</v>
      </c>
      <c r="GM38" s="2">
        <f t="shared" si="50"/>
        <v>157.87</v>
      </c>
      <c r="GN38" s="2">
        <f t="shared" si="51"/>
        <v>157.87</v>
      </c>
      <c r="GO38" s="2">
        <f t="shared" si="52"/>
        <v>0</v>
      </c>
      <c r="GP38" s="2">
        <f t="shared" si="53"/>
        <v>0</v>
      </c>
      <c r="GQ38" s="2"/>
      <c r="GR38" s="2">
        <v>0</v>
      </c>
      <c r="GS38" s="2">
        <v>3</v>
      </c>
      <c r="GT38" s="2">
        <v>0</v>
      </c>
      <c r="GU38" s="2" t="s">
        <v>3</v>
      </c>
      <c r="GV38" s="2">
        <f t="shared" si="54"/>
        <v>0</v>
      </c>
      <c r="GW38" s="2">
        <v>1</v>
      </c>
      <c r="GX38" s="2">
        <f t="shared" si="55"/>
        <v>0</v>
      </c>
      <c r="GY38" s="2"/>
      <c r="GZ38" s="2"/>
      <c r="HA38" s="2">
        <v>0</v>
      </c>
      <c r="HB38" s="2">
        <v>0</v>
      </c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>
        <v>0</v>
      </c>
      <c r="IL38" s="2"/>
      <c r="IM38" s="2"/>
      <c r="IN38" s="2"/>
      <c r="IO38" s="2"/>
      <c r="IP38" s="2"/>
      <c r="IQ38" s="2"/>
      <c r="IR38" s="2"/>
      <c r="IS38" s="2"/>
      <c r="IT38" s="2"/>
      <c r="IU38" s="2"/>
    </row>
    <row r="39" spans="1:255" x14ac:dyDescent="0.2">
      <c r="A39">
        <v>17</v>
      </c>
      <c r="B39">
        <v>1</v>
      </c>
      <c r="C39">
        <f>ROW(SmtRes!A42)</f>
        <v>42</v>
      </c>
      <c r="D39">
        <f>ROW(EtalonRes!A40)</f>
        <v>40</v>
      </c>
      <c r="E39" t="s">
        <v>51</v>
      </c>
      <c r="F39" t="s">
        <v>52</v>
      </c>
      <c r="G39" t="s">
        <v>53</v>
      </c>
      <c r="H39" t="s">
        <v>54</v>
      </c>
      <c r="I39">
        <f>ROUND(19.41/100,9)</f>
        <v>0.19409999999999999</v>
      </c>
      <c r="J39">
        <v>0</v>
      </c>
      <c r="O39">
        <f t="shared" si="21"/>
        <v>1308.5</v>
      </c>
      <c r="P39">
        <f t="shared" si="22"/>
        <v>100.57</v>
      </c>
      <c r="Q39">
        <f t="shared" si="23"/>
        <v>970.37</v>
      </c>
      <c r="R39">
        <f t="shared" si="24"/>
        <v>377.25</v>
      </c>
      <c r="S39">
        <f t="shared" si="25"/>
        <v>237.56</v>
      </c>
      <c r="T39">
        <f t="shared" si="26"/>
        <v>0</v>
      </c>
      <c r="U39">
        <f t="shared" si="27"/>
        <v>0.95759234999999987</v>
      </c>
      <c r="V39">
        <f t="shared" si="28"/>
        <v>0</v>
      </c>
      <c r="W39">
        <f t="shared" si="29"/>
        <v>0</v>
      </c>
      <c r="X39">
        <f t="shared" si="30"/>
        <v>266.07</v>
      </c>
      <c r="Y39">
        <f t="shared" si="31"/>
        <v>97.4</v>
      </c>
      <c r="AA39">
        <v>45037307</v>
      </c>
      <c r="AB39">
        <f t="shared" si="32"/>
        <v>641.86300000000006</v>
      </c>
      <c r="AC39">
        <f t="shared" si="56"/>
        <v>57.83</v>
      </c>
      <c r="AD39">
        <f>ROUND(((ET39*1.25)),6)</f>
        <v>524.03750000000002</v>
      </c>
      <c r="AE39">
        <f>ROUND(((EU39*1.25)),6)</f>
        <v>95.275000000000006</v>
      </c>
      <c r="AF39">
        <f>ROUND(((EV39*1.15)),6)</f>
        <v>59.9955</v>
      </c>
      <c r="AG39">
        <f t="shared" si="34"/>
        <v>0</v>
      </c>
      <c r="AH39">
        <f>((EW39*1.15))</f>
        <v>4.9334999999999996</v>
      </c>
      <c r="AI39">
        <f>((EX39*1.25))</f>
        <v>0</v>
      </c>
      <c r="AJ39">
        <f t="shared" si="36"/>
        <v>0</v>
      </c>
      <c r="AK39">
        <v>529.23</v>
      </c>
      <c r="AL39">
        <v>57.83</v>
      </c>
      <c r="AM39">
        <v>419.23</v>
      </c>
      <c r="AN39">
        <v>76.22</v>
      </c>
      <c r="AO39">
        <v>52.17</v>
      </c>
      <c r="AP39">
        <v>0</v>
      </c>
      <c r="AQ39">
        <v>4.29</v>
      </c>
      <c r="AR39">
        <v>0</v>
      </c>
      <c r="AS39">
        <v>0</v>
      </c>
      <c r="AT39">
        <v>112</v>
      </c>
      <c r="AU39">
        <v>41</v>
      </c>
      <c r="AV39">
        <v>1</v>
      </c>
      <c r="AW39">
        <v>1</v>
      </c>
      <c r="AZ39">
        <v>1</v>
      </c>
      <c r="BA39">
        <v>20.399999999999999</v>
      </c>
      <c r="BB39">
        <v>9.5399999999999991</v>
      </c>
      <c r="BC39">
        <v>8.9600000000000009</v>
      </c>
      <c r="BD39" t="s">
        <v>3</v>
      </c>
      <c r="BE39" t="s">
        <v>3</v>
      </c>
      <c r="BF39" t="s">
        <v>3</v>
      </c>
      <c r="BG39" t="s">
        <v>3</v>
      </c>
      <c r="BH39">
        <v>0</v>
      </c>
      <c r="BI39">
        <v>1</v>
      </c>
      <c r="BJ39" t="s">
        <v>55</v>
      </c>
      <c r="BM39">
        <v>158</v>
      </c>
      <c r="BN39">
        <v>7156650</v>
      </c>
      <c r="BO39" t="s">
        <v>52</v>
      </c>
      <c r="BP39">
        <v>1</v>
      </c>
      <c r="BQ39">
        <v>30</v>
      </c>
      <c r="BR39">
        <v>0</v>
      </c>
      <c r="BS39">
        <v>20.399999999999999</v>
      </c>
      <c r="BT39">
        <v>1</v>
      </c>
      <c r="BU39">
        <v>1</v>
      </c>
      <c r="BV39">
        <v>1</v>
      </c>
      <c r="BW39">
        <v>1</v>
      </c>
      <c r="BX39">
        <v>1</v>
      </c>
      <c r="BY39" t="s">
        <v>3</v>
      </c>
      <c r="BZ39">
        <v>112</v>
      </c>
      <c r="CA39">
        <v>41</v>
      </c>
      <c r="CF39">
        <v>0</v>
      </c>
      <c r="CG39">
        <v>0</v>
      </c>
      <c r="CM39">
        <v>0</v>
      </c>
      <c r="CN39" t="s">
        <v>3</v>
      </c>
      <c r="CO39">
        <v>0</v>
      </c>
      <c r="CP39">
        <f t="shared" si="37"/>
        <v>1308.5</v>
      </c>
      <c r="CQ39">
        <f t="shared" si="38"/>
        <v>518.15680000000009</v>
      </c>
      <c r="CR39">
        <f t="shared" si="39"/>
        <v>4999.3177500000002</v>
      </c>
      <c r="CS39">
        <f t="shared" si="40"/>
        <v>1943.61</v>
      </c>
      <c r="CT39">
        <f t="shared" si="41"/>
        <v>1223.9081999999999</v>
      </c>
      <c r="CU39">
        <f t="shared" si="42"/>
        <v>0</v>
      </c>
      <c r="CV39">
        <f t="shared" si="43"/>
        <v>4.9334999999999996</v>
      </c>
      <c r="CW39">
        <f t="shared" si="44"/>
        <v>0</v>
      </c>
      <c r="CX39">
        <f t="shared" si="45"/>
        <v>0</v>
      </c>
      <c r="CY39">
        <f t="shared" si="46"/>
        <v>266.06720000000001</v>
      </c>
      <c r="CZ39">
        <f t="shared" si="47"/>
        <v>97.399599999999992</v>
      </c>
      <c r="DC39" t="s">
        <v>3</v>
      </c>
      <c r="DD39" t="s">
        <v>3</v>
      </c>
      <c r="DE39" t="s">
        <v>36</v>
      </c>
      <c r="DF39" t="s">
        <v>36</v>
      </c>
      <c r="DG39" t="s">
        <v>37</v>
      </c>
      <c r="DH39" t="s">
        <v>3</v>
      </c>
      <c r="DI39" t="s">
        <v>37</v>
      </c>
      <c r="DJ39" t="s">
        <v>36</v>
      </c>
      <c r="DK39" t="s">
        <v>3</v>
      </c>
      <c r="DL39" t="s">
        <v>3</v>
      </c>
      <c r="DM39" t="s">
        <v>3</v>
      </c>
      <c r="DN39">
        <v>140</v>
      </c>
      <c r="DO39">
        <v>79</v>
      </c>
      <c r="DP39">
        <v>1.0469999999999999</v>
      </c>
      <c r="DQ39">
        <v>1</v>
      </c>
      <c r="DU39">
        <v>1013</v>
      </c>
      <c r="DV39" t="s">
        <v>54</v>
      </c>
      <c r="DW39" t="s">
        <v>54</v>
      </c>
      <c r="DX39">
        <v>1</v>
      </c>
      <c r="EE39">
        <v>44846665</v>
      </c>
      <c r="EF39">
        <v>30</v>
      </c>
      <c r="EG39" t="s">
        <v>38</v>
      </c>
      <c r="EH39">
        <v>0</v>
      </c>
      <c r="EI39" t="s">
        <v>3</v>
      </c>
      <c r="EJ39">
        <v>1</v>
      </c>
      <c r="EK39">
        <v>158</v>
      </c>
      <c r="EL39" t="s">
        <v>56</v>
      </c>
      <c r="EM39" t="s">
        <v>57</v>
      </c>
      <c r="EO39" t="s">
        <v>3</v>
      </c>
      <c r="EQ39">
        <v>131072</v>
      </c>
      <c r="ER39">
        <v>529.23</v>
      </c>
      <c r="ES39">
        <v>57.83</v>
      </c>
      <c r="ET39">
        <v>419.23</v>
      </c>
      <c r="EU39">
        <v>76.22</v>
      </c>
      <c r="EV39">
        <v>52.17</v>
      </c>
      <c r="EW39">
        <v>4.29</v>
      </c>
      <c r="EX39">
        <v>0</v>
      </c>
      <c r="EY39">
        <v>0</v>
      </c>
      <c r="FQ39">
        <v>0</v>
      </c>
      <c r="FR39">
        <f t="shared" si="48"/>
        <v>0</v>
      </c>
      <c r="FS39">
        <v>0</v>
      </c>
      <c r="FX39">
        <v>140</v>
      </c>
      <c r="FY39">
        <v>79</v>
      </c>
      <c r="GA39" t="s">
        <v>3</v>
      </c>
      <c r="GD39">
        <v>0</v>
      </c>
      <c r="GF39">
        <v>432644731</v>
      </c>
      <c r="GG39">
        <v>2</v>
      </c>
      <c r="GH39">
        <v>1</v>
      </c>
      <c r="GI39">
        <v>3</v>
      </c>
      <c r="GJ39">
        <v>0</v>
      </c>
      <c r="GK39">
        <f>ROUND(R39*(S12)/100,2)</f>
        <v>633.78</v>
      </c>
      <c r="GL39">
        <f t="shared" si="49"/>
        <v>0</v>
      </c>
      <c r="GM39">
        <f t="shared" si="50"/>
        <v>2305.75</v>
      </c>
      <c r="GN39">
        <f t="shared" si="51"/>
        <v>2305.75</v>
      </c>
      <c r="GO39">
        <f t="shared" si="52"/>
        <v>0</v>
      </c>
      <c r="GP39">
        <f t="shared" si="53"/>
        <v>0</v>
      </c>
      <c r="GR39">
        <v>0</v>
      </c>
      <c r="GS39">
        <v>3</v>
      </c>
      <c r="GT39">
        <v>0</v>
      </c>
      <c r="GU39" t="s">
        <v>3</v>
      </c>
      <c r="GV39">
        <f t="shared" si="54"/>
        <v>0</v>
      </c>
      <c r="GW39">
        <v>1</v>
      </c>
      <c r="GX39">
        <f t="shared" si="55"/>
        <v>0</v>
      </c>
      <c r="HA39">
        <v>0</v>
      </c>
      <c r="HB39">
        <v>0</v>
      </c>
      <c r="IK39">
        <v>0</v>
      </c>
    </row>
    <row r="40" spans="1:255" x14ac:dyDescent="0.2">
      <c r="A40" s="2">
        <v>18</v>
      </c>
      <c r="B40" s="2">
        <v>1</v>
      </c>
      <c r="C40" s="2">
        <v>31</v>
      </c>
      <c r="D40" s="2"/>
      <c r="E40" s="2" t="s">
        <v>58</v>
      </c>
      <c r="F40" s="2" t="s">
        <v>59</v>
      </c>
      <c r="G40" s="2" t="s">
        <v>60</v>
      </c>
      <c r="H40" s="2" t="s">
        <v>29</v>
      </c>
      <c r="I40" s="2">
        <f>I38*J40</f>
        <v>1.859478</v>
      </c>
      <c r="J40" s="2">
        <v>9.58</v>
      </c>
      <c r="K40" s="2"/>
      <c r="L40" s="2"/>
      <c r="M40" s="2"/>
      <c r="N40" s="2"/>
      <c r="O40" s="2">
        <f t="shared" si="21"/>
        <v>568.54</v>
      </c>
      <c r="P40" s="2">
        <f t="shared" si="22"/>
        <v>568.54</v>
      </c>
      <c r="Q40" s="2">
        <f t="shared" si="23"/>
        <v>0</v>
      </c>
      <c r="R40" s="2">
        <f t="shared" si="24"/>
        <v>0</v>
      </c>
      <c r="S40" s="2">
        <f t="shared" si="25"/>
        <v>0</v>
      </c>
      <c r="T40" s="2">
        <f t="shared" si="26"/>
        <v>0</v>
      </c>
      <c r="U40" s="2">
        <f t="shared" si="27"/>
        <v>0</v>
      </c>
      <c r="V40" s="2">
        <f t="shared" si="28"/>
        <v>0</v>
      </c>
      <c r="W40" s="2">
        <f t="shared" si="29"/>
        <v>0</v>
      </c>
      <c r="X40" s="2">
        <f t="shared" si="30"/>
        <v>0</v>
      </c>
      <c r="Y40" s="2">
        <f t="shared" si="31"/>
        <v>0</v>
      </c>
      <c r="Z40" s="2"/>
      <c r="AA40" s="2">
        <v>45037306</v>
      </c>
      <c r="AB40" s="2">
        <f t="shared" si="32"/>
        <v>305.75</v>
      </c>
      <c r="AC40" s="2">
        <f t="shared" si="56"/>
        <v>305.75</v>
      </c>
      <c r="AD40" s="2">
        <f t="shared" ref="AD40:AF41" si="59">ROUND((ET40),6)</f>
        <v>0</v>
      </c>
      <c r="AE40" s="2">
        <f t="shared" si="59"/>
        <v>0</v>
      </c>
      <c r="AF40" s="2">
        <f t="shared" si="59"/>
        <v>0</v>
      </c>
      <c r="AG40" s="2">
        <f t="shared" si="34"/>
        <v>0</v>
      </c>
      <c r="AH40" s="2">
        <f>(EW40)</f>
        <v>0</v>
      </c>
      <c r="AI40" s="2">
        <f>(EX40)</f>
        <v>0</v>
      </c>
      <c r="AJ40" s="2">
        <f t="shared" si="36"/>
        <v>0</v>
      </c>
      <c r="AK40" s="2">
        <v>305.75</v>
      </c>
      <c r="AL40" s="2">
        <v>305.75</v>
      </c>
      <c r="AM40" s="2">
        <v>0</v>
      </c>
      <c r="AN40" s="2">
        <v>0</v>
      </c>
      <c r="AO40" s="2">
        <v>0</v>
      </c>
      <c r="AP40" s="2">
        <v>0</v>
      </c>
      <c r="AQ40" s="2">
        <v>0</v>
      </c>
      <c r="AR40" s="2">
        <v>0</v>
      </c>
      <c r="AS40" s="2">
        <v>0</v>
      </c>
      <c r="AT40" s="2">
        <v>0</v>
      </c>
      <c r="AU40" s="2">
        <v>0</v>
      </c>
      <c r="AV40" s="2">
        <v>1</v>
      </c>
      <c r="AW40" s="2">
        <v>1</v>
      </c>
      <c r="AX40" s="2"/>
      <c r="AY40" s="2"/>
      <c r="AZ40" s="2">
        <v>1</v>
      </c>
      <c r="BA40" s="2">
        <v>1</v>
      </c>
      <c r="BB40" s="2">
        <v>1</v>
      </c>
      <c r="BC40" s="2">
        <v>1</v>
      </c>
      <c r="BD40" s="2" t="s">
        <v>3</v>
      </c>
      <c r="BE40" s="2" t="s">
        <v>3</v>
      </c>
      <c r="BF40" s="2" t="s">
        <v>3</v>
      </c>
      <c r="BG40" s="2" t="s">
        <v>3</v>
      </c>
      <c r="BH40" s="2">
        <v>3</v>
      </c>
      <c r="BI40" s="2">
        <v>1</v>
      </c>
      <c r="BJ40" s="2" t="s">
        <v>61</v>
      </c>
      <c r="BK40" s="2"/>
      <c r="BL40" s="2"/>
      <c r="BM40" s="2">
        <v>158</v>
      </c>
      <c r="BN40" s="2">
        <v>7156650</v>
      </c>
      <c r="BO40" s="2" t="s">
        <v>3</v>
      </c>
      <c r="BP40" s="2">
        <v>0</v>
      </c>
      <c r="BQ40" s="2">
        <v>30</v>
      </c>
      <c r="BR40" s="2">
        <v>0</v>
      </c>
      <c r="BS40" s="2">
        <v>1</v>
      </c>
      <c r="BT40" s="2">
        <v>1</v>
      </c>
      <c r="BU40" s="2">
        <v>1</v>
      </c>
      <c r="BV40" s="2">
        <v>1</v>
      </c>
      <c r="BW40" s="2">
        <v>1</v>
      </c>
      <c r="BX40" s="2">
        <v>1</v>
      </c>
      <c r="BY40" s="2" t="s">
        <v>3</v>
      </c>
      <c r="BZ40" s="2">
        <v>0</v>
      </c>
      <c r="CA40" s="2">
        <v>0</v>
      </c>
      <c r="CB40" s="2"/>
      <c r="CC40" s="2"/>
      <c r="CD40" s="2"/>
      <c r="CE40" s="2"/>
      <c r="CF40" s="2">
        <v>0</v>
      </c>
      <c r="CG40" s="2">
        <v>0</v>
      </c>
      <c r="CH40" s="2"/>
      <c r="CI40" s="2"/>
      <c r="CJ40" s="2"/>
      <c r="CK40" s="2"/>
      <c r="CL40" s="2"/>
      <c r="CM40" s="2">
        <v>0</v>
      </c>
      <c r="CN40" s="2" t="s">
        <v>3</v>
      </c>
      <c r="CO40" s="2">
        <v>0</v>
      </c>
      <c r="CP40" s="2">
        <f t="shared" si="37"/>
        <v>568.54</v>
      </c>
      <c r="CQ40" s="2">
        <f t="shared" si="38"/>
        <v>305.75</v>
      </c>
      <c r="CR40" s="2">
        <f t="shared" si="39"/>
        <v>0</v>
      </c>
      <c r="CS40" s="2">
        <f t="shared" si="40"/>
        <v>0</v>
      </c>
      <c r="CT40" s="2">
        <f t="shared" si="41"/>
        <v>0</v>
      </c>
      <c r="CU40" s="2">
        <f t="shared" si="42"/>
        <v>0</v>
      </c>
      <c r="CV40" s="2">
        <f t="shared" si="43"/>
        <v>0</v>
      </c>
      <c r="CW40" s="2">
        <f t="shared" si="44"/>
        <v>0</v>
      </c>
      <c r="CX40" s="2">
        <f t="shared" si="45"/>
        <v>0</v>
      </c>
      <c r="CY40" s="2">
        <f t="shared" si="46"/>
        <v>0</v>
      </c>
      <c r="CZ40" s="2">
        <f t="shared" si="47"/>
        <v>0</v>
      </c>
      <c r="DA40" s="2"/>
      <c r="DB40" s="2"/>
      <c r="DC40" s="2" t="s">
        <v>3</v>
      </c>
      <c r="DD40" s="2" t="s">
        <v>3</v>
      </c>
      <c r="DE40" s="2" t="s">
        <v>3</v>
      </c>
      <c r="DF40" s="2" t="s">
        <v>3</v>
      </c>
      <c r="DG40" s="2" t="s">
        <v>3</v>
      </c>
      <c r="DH40" s="2" t="s">
        <v>3</v>
      </c>
      <c r="DI40" s="2" t="s">
        <v>3</v>
      </c>
      <c r="DJ40" s="2" t="s">
        <v>3</v>
      </c>
      <c r="DK40" s="2" t="s">
        <v>3</v>
      </c>
      <c r="DL40" s="2" t="s">
        <v>3</v>
      </c>
      <c r="DM40" s="2" t="s">
        <v>3</v>
      </c>
      <c r="DN40" s="2">
        <v>140</v>
      </c>
      <c r="DO40" s="2">
        <v>79</v>
      </c>
      <c r="DP40" s="2">
        <v>1.0469999999999999</v>
      </c>
      <c r="DQ40" s="2">
        <v>1</v>
      </c>
      <c r="DR40" s="2"/>
      <c r="DS40" s="2"/>
      <c r="DT40" s="2"/>
      <c r="DU40" s="2">
        <v>1009</v>
      </c>
      <c r="DV40" s="2" t="s">
        <v>29</v>
      </c>
      <c r="DW40" s="2" t="s">
        <v>29</v>
      </c>
      <c r="DX40" s="2">
        <v>1000</v>
      </c>
      <c r="DY40" s="2"/>
      <c r="DZ40" s="2"/>
      <c r="EA40" s="2"/>
      <c r="EB40" s="2"/>
      <c r="EC40" s="2"/>
      <c r="ED40" s="2"/>
      <c r="EE40" s="2">
        <v>44846665</v>
      </c>
      <c r="EF40" s="2">
        <v>30</v>
      </c>
      <c r="EG40" s="2" t="s">
        <v>38</v>
      </c>
      <c r="EH40" s="2">
        <v>0</v>
      </c>
      <c r="EI40" s="2" t="s">
        <v>3</v>
      </c>
      <c r="EJ40" s="2">
        <v>1</v>
      </c>
      <c r="EK40" s="2">
        <v>158</v>
      </c>
      <c r="EL40" s="2" t="s">
        <v>56</v>
      </c>
      <c r="EM40" s="2" t="s">
        <v>57</v>
      </c>
      <c r="EN40" s="2"/>
      <c r="EO40" s="2" t="s">
        <v>3</v>
      </c>
      <c r="EP40" s="2"/>
      <c r="EQ40" s="2">
        <v>0</v>
      </c>
      <c r="ER40" s="2">
        <v>305.75</v>
      </c>
      <c r="ES40" s="2">
        <v>305.75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>
        <v>0</v>
      </c>
      <c r="FR40" s="2">
        <f t="shared" si="48"/>
        <v>0</v>
      </c>
      <c r="FS40" s="2">
        <v>0</v>
      </c>
      <c r="FT40" s="2"/>
      <c r="FU40" s="2"/>
      <c r="FV40" s="2"/>
      <c r="FW40" s="2"/>
      <c r="FX40" s="2">
        <v>140</v>
      </c>
      <c r="FY40" s="2">
        <v>79</v>
      </c>
      <c r="FZ40" s="2"/>
      <c r="GA40" s="2" t="s">
        <v>3</v>
      </c>
      <c r="GB40" s="2"/>
      <c r="GC40" s="2"/>
      <c r="GD40" s="2">
        <v>0</v>
      </c>
      <c r="GE40" s="2"/>
      <c r="GF40" s="2">
        <v>-2137020924</v>
      </c>
      <c r="GG40" s="2">
        <v>2</v>
      </c>
      <c r="GH40" s="2">
        <v>1</v>
      </c>
      <c r="GI40" s="2">
        <v>3</v>
      </c>
      <c r="GJ40" s="2">
        <v>0</v>
      </c>
      <c r="GK40" s="2">
        <f>ROUND(R40*(R12)/100,2)</f>
        <v>0</v>
      </c>
      <c r="GL40" s="2">
        <f t="shared" si="49"/>
        <v>0</v>
      </c>
      <c r="GM40" s="2">
        <f t="shared" si="50"/>
        <v>568.54</v>
      </c>
      <c r="GN40" s="2">
        <f t="shared" si="51"/>
        <v>568.54</v>
      </c>
      <c r="GO40" s="2">
        <f t="shared" si="52"/>
        <v>0</v>
      </c>
      <c r="GP40" s="2">
        <f t="shared" si="53"/>
        <v>0</v>
      </c>
      <c r="GQ40" s="2"/>
      <c r="GR40" s="2">
        <v>0</v>
      </c>
      <c r="GS40" s="2">
        <v>3</v>
      </c>
      <c r="GT40" s="2">
        <v>0</v>
      </c>
      <c r="GU40" s="2" t="s">
        <v>3</v>
      </c>
      <c r="GV40" s="2">
        <f t="shared" si="54"/>
        <v>0</v>
      </c>
      <c r="GW40" s="2">
        <v>1</v>
      </c>
      <c r="GX40" s="2">
        <f t="shared" si="55"/>
        <v>0</v>
      </c>
      <c r="GY40" s="2"/>
      <c r="GZ40" s="2"/>
      <c r="HA40" s="2">
        <v>0</v>
      </c>
      <c r="HB40" s="2">
        <v>0</v>
      </c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>
        <v>0</v>
      </c>
      <c r="IL40" s="2"/>
      <c r="IM40" s="2"/>
      <c r="IN40" s="2"/>
      <c r="IO40" s="2"/>
      <c r="IP40" s="2"/>
      <c r="IQ40" s="2"/>
      <c r="IR40" s="2"/>
      <c r="IS40" s="2"/>
      <c r="IT40" s="2"/>
      <c r="IU40" s="2"/>
    </row>
    <row r="41" spans="1:255" x14ac:dyDescent="0.2">
      <c r="A41">
        <v>18</v>
      </c>
      <c r="B41">
        <v>1</v>
      </c>
      <c r="C41">
        <v>42</v>
      </c>
      <c r="E41" t="s">
        <v>58</v>
      </c>
      <c r="F41" t="s">
        <v>59</v>
      </c>
      <c r="G41" t="s">
        <v>60</v>
      </c>
      <c r="H41" t="s">
        <v>29</v>
      </c>
      <c r="I41">
        <f>I39*J41</f>
        <v>1.859478</v>
      </c>
      <c r="J41">
        <v>9.58</v>
      </c>
      <c r="O41">
        <f t="shared" si="21"/>
        <v>4798.4399999999996</v>
      </c>
      <c r="P41">
        <f t="shared" si="22"/>
        <v>4798.4399999999996</v>
      </c>
      <c r="Q41">
        <f t="shared" si="23"/>
        <v>0</v>
      </c>
      <c r="R41">
        <f t="shared" si="24"/>
        <v>0</v>
      </c>
      <c r="S41">
        <f t="shared" si="25"/>
        <v>0</v>
      </c>
      <c r="T41">
        <f t="shared" si="26"/>
        <v>0</v>
      </c>
      <c r="U41">
        <f t="shared" si="27"/>
        <v>0</v>
      </c>
      <c r="V41">
        <f t="shared" si="28"/>
        <v>0</v>
      </c>
      <c r="W41">
        <f t="shared" si="29"/>
        <v>0</v>
      </c>
      <c r="X41">
        <f t="shared" si="30"/>
        <v>0</v>
      </c>
      <c r="Y41">
        <f t="shared" si="31"/>
        <v>0</v>
      </c>
      <c r="AA41">
        <v>45037307</v>
      </c>
      <c r="AB41">
        <f t="shared" si="32"/>
        <v>305.75</v>
      </c>
      <c r="AC41">
        <f t="shared" si="56"/>
        <v>305.75</v>
      </c>
      <c r="AD41">
        <f t="shared" si="59"/>
        <v>0</v>
      </c>
      <c r="AE41">
        <f t="shared" si="59"/>
        <v>0</v>
      </c>
      <c r="AF41">
        <f t="shared" si="59"/>
        <v>0</v>
      </c>
      <c r="AG41">
        <f t="shared" si="34"/>
        <v>0</v>
      </c>
      <c r="AH41">
        <f>(EW41)</f>
        <v>0</v>
      </c>
      <c r="AI41">
        <f>(EX41)</f>
        <v>0</v>
      </c>
      <c r="AJ41">
        <f t="shared" si="36"/>
        <v>0</v>
      </c>
      <c r="AK41">
        <v>305.75</v>
      </c>
      <c r="AL41">
        <v>305.75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1</v>
      </c>
      <c r="AW41">
        <v>1</v>
      </c>
      <c r="AZ41">
        <v>1</v>
      </c>
      <c r="BA41">
        <v>1</v>
      </c>
      <c r="BB41">
        <v>1</v>
      </c>
      <c r="BC41">
        <v>8.44</v>
      </c>
      <c r="BD41" t="s">
        <v>3</v>
      </c>
      <c r="BE41" t="s">
        <v>3</v>
      </c>
      <c r="BF41" t="s">
        <v>3</v>
      </c>
      <c r="BG41" t="s">
        <v>3</v>
      </c>
      <c r="BH41">
        <v>3</v>
      </c>
      <c r="BI41">
        <v>1</v>
      </c>
      <c r="BJ41" t="s">
        <v>61</v>
      </c>
      <c r="BM41">
        <v>158</v>
      </c>
      <c r="BN41">
        <v>7156650</v>
      </c>
      <c r="BO41" t="s">
        <v>59</v>
      </c>
      <c r="BP41">
        <v>1</v>
      </c>
      <c r="BQ41">
        <v>30</v>
      </c>
      <c r="BR41">
        <v>0</v>
      </c>
      <c r="BS41">
        <v>1</v>
      </c>
      <c r="BT41">
        <v>1</v>
      </c>
      <c r="BU41">
        <v>1</v>
      </c>
      <c r="BV41">
        <v>1</v>
      </c>
      <c r="BW41">
        <v>1</v>
      </c>
      <c r="BX41">
        <v>1</v>
      </c>
      <c r="BY41" t="s">
        <v>3</v>
      </c>
      <c r="BZ41">
        <v>0</v>
      </c>
      <c r="CA41">
        <v>0</v>
      </c>
      <c r="CF41">
        <v>0</v>
      </c>
      <c r="CG41">
        <v>0</v>
      </c>
      <c r="CM41">
        <v>0</v>
      </c>
      <c r="CN41" t="s">
        <v>3</v>
      </c>
      <c r="CO41">
        <v>0</v>
      </c>
      <c r="CP41">
        <f t="shared" si="37"/>
        <v>4798.4399999999996</v>
      </c>
      <c r="CQ41">
        <f t="shared" si="38"/>
        <v>2580.5299999999997</v>
      </c>
      <c r="CR41">
        <f t="shared" si="39"/>
        <v>0</v>
      </c>
      <c r="CS41">
        <f t="shared" si="40"/>
        <v>0</v>
      </c>
      <c r="CT41">
        <f t="shared" si="41"/>
        <v>0</v>
      </c>
      <c r="CU41">
        <f t="shared" si="42"/>
        <v>0</v>
      </c>
      <c r="CV41">
        <f t="shared" si="43"/>
        <v>0</v>
      </c>
      <c r="CW41">
        <f t="shared" si="44"/>
        <v>0</v>
      </c>
      <c r="CX41">
        <f t="shared" si="45"/>
        <v>0</v>
      </c>
      <c r="CY41">
        <f t="shared" si="46"/>
        <v>0</v>
      </c>
      <c r="CZ41">
        <f t="shared" si="47"/>
        <v>0</v>
      </c>
      <c r="DC41" t="s">
        <v>3</v>
      </c>
      <c r="DD41" t="s">
        <v>3</v>
      </c>
      <c r="DE41" t="s">
        <v>3</v>
      </c>
      <c r="DF41" t="s">
        <v>3</v>
      </c>
      <c r="DG41" t="s">
        <v>3</v>
      </c>
      <c r="DH41" t="s">
        <v>3</v>
      </c>
      <c r="DI41" t="s">
        <v>3</v>
      </c>
      <c r="DJ41" t="s">
        <v>3</v>
      </c>
      <c r="DK41" t="s">
        <v>3</v>
      </c>
      <c r="DL41" t="s">
        <v>3</v>
      </c>
      <c r="DM41" t="s">
        <v>3</v>
      </c>
      <c r="DN41">
        <v>140</v>
      </c>
      <c r="DO41">
        <v>79</v>
      </c>
      <c r="DP41">
        <v>1.0469999999999999</v>
      </c>
      <c r="DQ41">
        <v>1</v>
      </c>
      <c r="DU41">
        <v>1009</v>
      </c>
      <c r="DV41" t="s">
        <v>29</v>
      </c>
      <c r="DW41" t="s">
        <v>29</v>
      </c>
      <c r="DX41">
        <v>1000</v>
      </c>
      <c r="EE41">
        <v>44846665</v>
      </c>
      <c r="EF41">
        <v>30</v>
      </c>
      <c r="EG41" t="s">
        <v>38</v>
      </c>
      <c r="EH41">
        <v>0</v>
      </c>
      <c r="EI41" t="s">
        <v>3</v>
      </c>
      <c r="EJ41">
        <v>1</v>
      </c>
      <c r="EK41">
        <v>158</v>
      </c>
      <c r="EL41" t="s">
        <v>56</v>
      </c>
      <c r="EM41" t="s">
        <v>57</v>
      </c>
      <c r="EO41" t="s">
        <v>3</v>
      </c>
      <c r="EQ41">
        <v>0</v>
      </c>
      <c r="ER41">
        <v>305.75</v>
      </c>
      <c r="ES41">
        <v>305.75</v>
      </c>
      <c r="ET41">
        <v>0</v>
      </c>
      <c r="EU41">
        <v>0</v>
      </c>
      <c r="EV41">
        <v>0</v>
      </c>
      <c r="EW41">
        <v>0</v>
      </c>
      <c r="EX41">
        <v>0</v>
      </c>
      <c r="FQ41">
        <v>0</v>
      </c>
      <c r="FR41">
        <f t="shared" si="48"/>
        <v>0</v>
      </c>
      <c r="FS41">
        <v>0</v>
      </c>
      <c r="FX41">
        <v>140</v>
      </c>
      <c r="FY41">
        <v>79</v>
      </c>
      <c r="GA41" t="s">
        <v>3</v>
      </c>
      <c r="GD41">
        <v>0</v>
      </c>
      <c r="GF41">
        <v>-2137020924</v>
      </c>
      <c r="GG41">
        <v>2</v>
      </c>
      <c r="GH41">
        <v>1</v>
      </c>
      <c r="GI41">
        <v>3</v>
      </c>
      <c r="GJ41">
        <v>0</v>
      </c>
      <c r="GK41">
        <f>ROUND(R41*(S12)/100,2)</f>
        <v>0</v>
      </c>
      <c r="GL41">
        <f t="shared" si="49"/>
        <v>0</v>
      </c>
      <c r="GM41">
        <f t="shared" si="50"/>
        <v>4798.4399999999996</v>
      </c>
      <c r="GN41">
        <f t="shared" si="51"/>
        <v>4798.4399999999996</v>
      </c>
      <c r="GO41">
        <f t="shared" si="52"/>
        <v>0</v>
      </c>
      <c r="GP41">
        <f t="shared" si="53"/>
        <v>0</v>
      </c>
      <c r="GR41">
        <v>0</v>
      </c>
      <c r="GS41">
        <v>3</v>
      </c>
      <c r="GT41">
        <v>0</v>
      </c>
      <c r="GU41" t="s">
        <v>3</v>
      </c>
      <c r="GV41">
        <f t="shared" si="54"/>
        <v>0</v>
      </c>
      <c r="GW41">
        <v>1</v>
      </c>
      <c r="GX41">
        <f t="shared" si="55"/>
        <v>0</v>
      </c>
      <c r="HA41">
        <v>0</v>
      </c>
      <c r="HB41">
        <v>0</v>
      </c>
      <c r="IK41">
        <v>0</v>
      </c>
    </row>
    <row r="42" spans="1:255" x14ac:dyDescent="0.2">
      <c r="A42" s="2">
        <v>17</v>
      </c>
      <c r="B42" s="2">
        <v>1</v>
      </c>
      <c r="C42" s="2">
        <f>ROW(SmtRes!A46)</f>
        <v>46</v>
      </c>
      <c r="D42" s="2">
        <f>ROW(EtalonRes!A44)</f>
        <v>44</v>
      </c>
      <c r="E42" s="2" t="s">
        <v>62</v>
      </c>
      <c r="F42" s="2" t="s">
        <v>63</v>
      </c>
      <c r="G42" s="2" t="s">
        <v>64</v>
      </c>
      <c r="H42" s="2" t="s">
        <v>54</v>
      </c>
      <c r="I42" s="2">
        <f>ROUND(19.41/100,9)</f>
        <v>0.19409999999999999</v>
      </c>
      <c r="J42" s="2">
        <v>0</v>
      </c>
      <c r="K42" s="2"/>
      <c r="L42" s="2"/>
      <c r="M42" s="2"/>
      <c r="N42" s="2"/>
      <c r="O42" s="2">
        <f t="shared" si="21"/>
        <v>51.81</v>
      </c>
      <c r="P42" s="2">
        <f t="shared" si="22"/>
        <v>0</v>
      </c>
      <c r="Q42" s="2">
        <f t="shared" si="23"/>
        <v>37.89</v>
      </c>
      <c r="R42" s="2">
        <f t="shared" si="24"/>
        <v>7.8</v>
      </c>
      <c r="S42" s="2">
        <f t="shared" si="25"/>
        <v>13.92</v>
      </c>
      <c r="T42" s="2">
        <f t="shared" si="26"/>
        <v>0</v>
      </c>
      <c r="U42" s="2">
        <f t="shared" si="27"/>
        <v>1.06473555</v>
      </c>
      <c r="V42" s="2">
        <f t="shared" si="28"/>
        <v>0</v>
      </c>
      <c r="W42" s="2">
        <f t="shared" si="29"/>
        <v>0</v>
      </c>
      <c r="X42" s="2">
        <f t="shared" si="30"/>
        <v>0</v>
      </c>
      <c r="Y42" s="2">
        <f t="shared" si="31"/>
        <v>0</v>
      </c>
      <c r="Z42" s="2"/>
      <c r="AA42" s="2">
        <v>45037306</v>
      </c>
      <c r="AB42" s="2">
        <f t="shared" si="32"/>
        <v>266.91300000000001</v>
      </c>
      <c r="AC42" s="2">
        <f>ROUND(((ES42*9)),6)</f>
        <v>0</v>
      </c>
      <c r="AD42" s="2">
        <f>ROUND(((ET42*9*1.25)),6)</f>
        <v>195.1875</v>
      </c>
      <c r="AE42" s="2">
        <f>ROUND(((EU42*9*1.25)),6)</f>
        <v>40.162500000000001</v>
      </c>
      <c r="AF42" s="2">
        <f>ROUND(((EV42*9*1.15)),6)</f>
        <v>71.725499999999997</v>
      </c>
      <c r="AG42" s="2">
        <f t="shared" si="34"/>
        <v>0</v>
      </c>
      <c r="AH42" s="2">
        <f>((EW42*9*1.15))</f>
        <v>5.4855</v>
      </c>
      <c r="AI42" s="2">
        <f>((EX42*9*1.25))</f>
        <v>0</v>
      </c>
      <c r="AJ42" s="2">
        <f t="shared" si="36"/>
        <v>0</v>
      </c>
      <c r="AK42" s="2">
        <v>24.28</v>
      </c>
      <c r="AL42" s="2">
        <v>0</v>
      </c>
      <c r="AM42" s="2">
        <v>17.350000000000001</v>
      </c>
      <c r="AN42" s="2">
        <v>3.57</v>
      </c>
      <c r="AO42" s="2">
        <v>6.93</v>
      </c>
      <c r="AP42" s="2">
        <v>0</v>
      </c>
      <c r="AQ42" s="2">
        <v>0.53</v>
      </c>
      <c r="AR42" s="2">
        <v>0</v>
      </c>
      <c r="AS42" s="2">
        <v>0</v>
      </c>
      <c r="AT42" s="2">
        <v>0</v>
      </c>
      <c r="AU42" s="2">
        <v>0</v>
      </c>
      <c r="AV42" s="2">
        <v>1</v>
      </c>
      <c r="AW42" s="2">
        <v>1</v>
      </c>
      <c r="AX42" s="2"/>
      <c r="AY42" s="2"/>
      <c r="AZ42" s="2">
        <v>1</v>
      </c>
      <c r="BA42" s="2">
        <v>1</v>
      </c>
      <c r="BB42" s="2">
        <v>1</v>
      </c>
      <c r="BC42" s="2">
        <v>1</v>
      </c>
      <c r="BD42" s="2" t="s">
        <v>3</v>
      </c>
      <c r="BE42" s="2" t="s">
        <v>3</v>
      </c>
      <c r="BF42" s="2" t="s">
        <v>3</v>
      </c>
      <c r="BG42" s="2" t="s">
        <v>3</v>
      </c>
      <c r="BH42" s="2">
        <v>0</v>
      </c>
      <c r="BI42" s="2">
        <v>1</v>
      </c>
      <c r="BJ42" s="2" t="s">
        <v>65</v>
      </c>
      <c r="BK42" s="2"/>
      <c r="BL42" s="2"/>
      <c r="BM42" s="2">
        <v>158</v>
      </c>
      <c r="BN42" s="2">
        <v>7156650</v>
      </c>
      <c r="BO42" s="2" t="s">
        <v>3</v>
      </c>
      <c r="BP42" s="2">
        <v>0</v>
      </c>
      <c r="BQ42" s="2">
        <v>30</v>
      </c>
      <c r="BR42" s="2">
        <v>0</v>
      </c>
      <c r="BS42" s="2">
        <v>1</v>
      </c>
      <c r="BT42" s="2">
        <v>1</v>
      </c>
      <c r="BU42" s="2">
        <v>1</v>
      </c>
      <c r="BV42" s="2">
        <v>1</v>
      </c>
      <c r="BW42" s="2">
        <v>1</v>
      </c>
      <c r="BX42" s="2">
        <v>1</v>
      </c>
      <c r="BY42" s="2" t="s">
        <v>3</v>
      </c>
      <c r="BZ42" s="2">
        <v>0</v>
      </c>
      <c r="CA42" s="2">
        <v>0</v>
      </c>
      <c r="CB42" s="2"/>
      <c r="CC42" s="2"/>
      <c r="CD42" s="2"/>
      <c r="CE42" s="2"/>
      <c r="CF42" s="2">
        <v>0</v>
      </c>
      <c r="CG42" s="2">
        <v>0</v>
      </c>
      <c r="CH42" s="2"/>
      <c r="CI42" s="2"/>
      <c r="CJ42" s="2"/>
      <c r="CK42" s="2"/>
      <c r="CL42" s="2"/>
      <c r="CM42" s="2">
        <v>0</v>
      </c>
      <c r="CN42" s="2" t="s">
        <v>3</v>
      </c>
      <c r="CO42" s="2">
        <v>0</v>
      </c>
      <c r="CP42" s="2">
        <f t="shared" si="37"/>
        <v>51.81</v>
      </c>
      <c r="CQ42" s="2">
        <f t="shared" si="38"/>
        <v>0</v>
      </c>
      <c r="CR42" s="2">
        <f t="shared" si="39"/>
        <v>195.1875</v>
      </c>
      <c r="CS42" s="2">
        <f t="shared" si="40"/>
        <v>40.162500000000001</v>
      </c>
      <c r="CT42" s="2">
        <f t="shared" si="41"/>
        <v>71.725499999999997</v>
      </c>
      <c r="CU42" s="2">
        <f t="shared" si="42"/>
        <v>0</v>
      </c>
      <c r="CV42" s="2">
        <f t="shared" si="43"/>
        <v>5.4855</v>
      </c>
      <c r="CW42" s="2">
        <f t="shared" si="44"/>
        <v>0</v>
      </c>
      <c r="CX42" s="2">
        <f t="shared" si="45"/>
        <v>0</v>
      </c>
      <c r="CY42" s="2">
        <f t="shared" si="46"/>
        <v>0</v>
      </c>
      <c r="CZ42" s="2">
        <f t="shared" si="47"/>
        <v>0</v>
      </c>
      <c r="DA42" s="2"/>
      <c r="DB42" s="2"/>
      <c r="DC42" s="2" t="s">
        <v>3</v>
      </c>
      <c r="DD42" s="2" t="s">
        <v>66</v>
      </c>
      <c r="DE42" s="2" t="s">
        <v>67</v>
      </c>
      <c r="DF42" s="2" t="s">
        <v>67</v>
      </c>
      <c r="DG42" s="2" t="s">
        <v>68</v>
      </c>
      <c r="DH42" s="2" t="s">
        <v>3</v>
      </c>
      <c r="DI42" s="2" t="s">
        <v>68</v>
      </c>
      <c r="DJ42" s="2" t="s">
        <v>67</v>
      </c>
      <c r="DK42" s="2" t="s">
        <v>3</v>
      </c>
      <c r="DL42" s="2" t="s">
        <v>3</v>
      </c>
      <c r="DM42" s="2" t="s">
        <v>3</v>
      </c>
      <c r="DN42" s="2">
        <v>140</v>
      </c>
      <c r="DO42" s="2">
        <v>79</v>
      </c>
      <c r="DP42" s="2">
        <v>1.0469999999999999</v>
      </c>
      <c r="DQ42" s="2">
        <v>1</v>
      </c>
      <c r="DR42" s="2"/>
      <c r="DS42" s="2"/>
      <c r="DT42" s="2"/>
      <c r="DU42" s="2">
        <v>1013</v>
      </c>
      <c r="DV42" s="2" t="s">
        <v>54</v>
      </c>
      <c r="DW42" s="2" t="s">
        <v>54</v>
      </c>
      <c r="DX42" s="2">
        <v>1</v>
      </c>
      <c r="DY42" s="2"/>
      <c r="DZ42" s="2"/>
      <c r="EA42" s="2"/>
      <c r="EB42" s="2"/>
      <c r="EC42" s="2"/>
      <c r="ED42" s="2"/>
      <c r="EE42" s="2">
        <v>44846665</v>
      </c>
      <c r="EF42" s="2">
        <v>30</v>
      </c>
      <c r="EG42" s="2" t="s">
        <v>38</v>
      </c>
      <c r="EH42" s="2">
        <v>0</v>
      </c>
      <c r="EI42" s="2" t="s">
        <v>3</v>
      </c>
      <c r="EJ42" s="2">
        <v>1</v>
      </c>
      <c r="EK42" s="2">
        <v>158</v>
      </c>
      <c r="EL42" s="2" t="s">
        <v>56</v>
      </c>
      <c r="EM42" s="2" t="s">
        <v>57</v>
      </c>
      <c r="EN42" s="2"/>
      <c r="EO42" s="2" t="s">
        <v>3</v>
      </c>
      <c r="EP42" s="2"/>
      <c r="EQ42" s="2">
        <v>131072</v>
      </c>
      <c r="ER42" s="2">
        <v>24.28</v>
      </c>
      <c r="ES42" s="2">
        <v>0</v>
      </c>
      <c r="ET42" s="2">
        <v>17.350000000000001</v>
      </c>
      <c r="EU42" s="2">
        <v>3.57</v>
      </c>
      <c r="EV42" s="2">
        <v>6.93</v>
      </c>
      <c r="EW42" s="2">
        <v>0.53</v>
      </c>
      <c r="EX42" s="2">
        <v>0</v>
      </c>
      <c r="EY42" s="2">
        <v>0</v>
      </c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>
        <v>0</v>
      </c>
      <c r="FR42" s="2">
        <f t="shared" si="48"/>
        <v>0</v>
      </c>
      <c r="FS42" s="2">
        <v>0</v>
      </c>
      <c r="FT42" s="2"/>
      <c r="FU42" s="2"/>
      <c r="FV42" s="2"/>
      <c r="FW42" s="2"/>
      <c r="FX42" s="2">
        <v>140</v>
      </c>
      <c r="FY42" s="2">
        <v>79</v>
      </c>
      <c r="FZ42" s="2"/>
      <c r="GA42" s="2" t="s">
        <v>3</v>
      </c>
      <c r="GB42" s="2"/>
      <c r="GC42" s="2"/>
      <c r="GD42" s="2">
        <v>0</v>
      </c>
      <c r="GE42" s="2"/>
      <c r="GF42" s="2">
        <v>-805844787</v>
      </c>
      <c r="GG42" s="2">
        <v>2</v>
      </c>
      <c r="GH42" s="2">
        <v>1</v>
      </c>
      <c r="GI42" s="2">
        <v>3</v>
      </c>
      <c r="GJ42" s="2">
        <v>0</v>
      </c>
      <c r="GK42" s="2">
        <f>ROUND(R42*(R12)/100,2)</f>
        <v>14.04</v>
      </c>
      <c r="GL42" s="2">
        <f t="shared" si="49"/>
        <v>0</v>
      </c>
      <c r="GM42" s="2">
        <f t="shared" si="50"/>
        <v>65.849999999999994</v>
      </c>
      <c r="GN42" s="2">
        <f t="shared" si="51"/>
        <v>65.849999999999994</v>
      </c>
      <c r="GO42" s="2">
        <f t="shared" si="52"/>
        <v>0</v>
      </c>
      <c r="GP42" s="2">
        <f t="shared" si="53"/>
        <v>0</v>
      </c>
      <c r="GQ42" s="2"/>
      <c r="GR42" s="2">
        <v>0</v>
      </c>
      <c r="GS42" s="2">
        <v>3</v>
      </c>
      <c r="GT42" s="2">
        <v>0</v>
      </c>
      <c r="GU42" s="2" t="s">
        <v>3</v>
      </c>
      <c r="GV42" s="2">
        <f t="shared" si="54"/>
        <v>0</v>
      </c>
      <c r="GW42" s="2">
        <v>1</v>
      </c>
      <c r="GX42" s="2">
        <f t="shared" si="55"/>
        <v>0</v>
      </c>
      <c r="GY42" s="2"/>
      <c r="GZ42" s="2"/>
      <c r="HA42" s="2">
        <v>0</v>
      </c>
      <c r="HB42" s="2">
        <v>0</v>
      </c>
      <c r="HC42" s="2"/>
      <c r="HD42" s="2"/>
      <c r="HE42" s="2"/>
      <c r="HF42" s="2"/>
      <c r="HG42" s="2"/>
      <c r="HH42" s="2"/>
      <c r="HI42" s="2"/>
      <c r="HJ42" s="2"/>
      <c r="HK42" s="2"/>
      <c r="HL42" s="2"/>
      <c r="HM42" s="2"/>
      <c r="HN42" s="2"/>
      <c r="HO42" s="2"/>
      <c r="HP42" s="2"/>
      <c r="HQ42" s="2"/>
      <c r="HR42" s="2"/>
      <c r="HS42" s="2"/>
      <c r="HT42" s="2"/>
      <c r="HU42" s="2"/>
      <c r="HV42" s="2"/>
      <c r="HW42" s="2"/>
      <c r="HX42" s="2"/>
      <c r="HY42" s="2"/>
      <c r="HZ42" s="2"/>
      <c r="IA42" s="2"/>
      <c r="IB42" s="2"/>
      <c r="IC42" s="2"/>
      <c r="ID42" s="2"/>
      <c r="IE42" s="2"/>
      <c r="IF42" s="2"/>
      <c r="IG42" s="2"/>
      <c r="IH42" s="2"/>
      <c r="II42" s="2"/>
      <c r="IJ42" s="2"/>
      <c r="IK42" s="2">
        <v>0</v>
      </c>
      <c r="IL42" s="2"/>
      <c r="IM42" s="2"/>
      <c r="IN42" s="2"/>
      <c r="IO42" s="2"/>
      <c r="IP42" s="2"/>
      <c r="IQ42" s="2"/>
      <c r="IR42" s="2"/>
      <c r="IS42" s="2"/>
      <c r="IT42" s="2"/>
      <c r="IU42" s="2"/>
    </row>
    <row r="43" spans="1:255" x14ac:dyDescent="0.2">
      <c r="A43">
        <v>17</v>
      </c>
      <c r="B43">
        <v>1</v>
      </c>
      <c r="C43">
        <f>ROW(SmtRes!A50)</f>
        <v>50</v>
      </c>
      <c r="D43">
        <f>ROW(EtalonRes!A48)</f>
        <v>48</v>
      </c>
      <c r="E43" t="s">
        <v>62</v>
      </c>
      <c r="F43" t="s">
        <v>63</v>
      </c>
      <c r="G43" t="s">
        <v>64</v>
      </c>
      <c r="H43" t="s">
        <v>54</v>
      </c>
      <c r="I43">
        <f>ROUND(19.41/100,9)</f>
        <v>0.19409999999999999</v>
      </c>
      <c r="J43">
        <v>0</v>
      </c>
      <c r="O43">
        <f t="shared" si="21"/>
        <v>607.92999999999995</v>
      </c>
      <c r="P43">
        <f t="shared" si="22"/>
        <v>0</v>
      </c>
      <c r="Q43">
        <f t="shared" si="23"/>
        <v>323.92</v>
      </c>
      <c r="R43">
        <f t="shared" si="24"/>
        <v>159.03</v>
      </c>
      <c r="S43">
        <f t="shared" si="25"/>
        <v>284.01</v>
      </c>
      <c r="T43">
        <f t="shared" si="26"/>
        <v>0</v>
      </c>
      <c r="U43">
        <f t="shared" si="27"/>
        <v>1.06473555</v>
      </c>
      <c r="V43">
        <f t="shared" si="28"/>
        <v>0</v>
      </c>
      <c r="W43">
        <f t="shared" si="29"/>
        <v>0</v>
      </c>
      <c r="X43">
        <f t="shared" si="30"/>
        <v>318.08999999999997</v>
      </c>
      <c r="Y43">
        <f t="shared" si="31"/>
        <v>116.44</v>
      </c>
      <c r="AA43">
        <v>45037307</v>
      </c>
      <c r="AB43">
        <f t="shared" si="32"/>
        <v>266.91300000000001</v>
      </c>
      <c r="AC43">
        <f>ROUND(((ES43*9)),6)</f>
        <v>0</v>
      </c>
      <c r="AD43">
        <f>ROUND(((ET43*9*1.25)),6)</f>
        <v>195.1875</v>
      </c>
      <c r="AE43">
        <f>ROUND(((EU43*9*1.25)),6)</f>
        <v>40.162500000000001</v>
      </c>
      <c r="AF43">
        <f>ROUND(((EV43*9*1.15)),6)</f>
        <v>71.725499999999997</v>
      </c>
      <c r="AG43">
        <f t="shared" si="34"/>
        <v>0</v>
      </c>
      <c r="AH43">
        <f>((EW43*9*1.15))</f>
        <v>5.4855</v>
      </c>
      <c r="AI43">
        <f>((EX43*9*1.25))</f>
        <v>0</v>
      </c>
      <c r="AJ43">
        <f t="shared" si="36"/>
        <v>0</v>
      </c>
      <c r="AK43">
        <v>24.28</v>
      </c>
      <c r="AL43">
        <v>0</v>
      </c>
      <c r="AM43">
        <v>17.350000000000001</v>
      </c>
      <c r="AN43">
        <v>3.57</v>
      </c>
      <c r="AO43">
        <v>6.93</v>
      </c>
      <c r="AP43">
        <v>0</v>
      </c>
      <c r="AQ43">
        <v>0.53</v>
      </c>
      <c r="AR43">
        <v>0</v>
      </c>
      <c r="AS43">
        <v>0</v>
      </c>
      <c r="AT43">
        <v>112</v>
      </c>
      <c r="AU43">
        <v>41</v>
      </c>
      <c r="AV43">
        <v>1</v>
      </c>
      <c r="AW43">
        <v>1</v>
      </c>
      <c r="AZ43">
        <v>1</v>
      </c>
      <c r="BA43">
        <v>20.399999999999999</v>
      </c>
      <c r="BB43">
        <v>8.5500000000000007</v>
      </c>
      <c r="BC43">
        <v>1</v>
      </c>
      <c r="BD43" t="s">
        <v>3</v>
      </c>
      <c r="BE43" t="s">
        <v>3</v>
      </c>
      <c r="BF43" t="s">
        <v>3</v>
      </c>
      <c r="BG43" t="s">
        <v>3</v>
      </c>
      <c r="BH43">
        <v>0</v>
      </c>
      <c r="BI43">
        <v>1</v>
      </c>
      <c r="BJ43" t="s">
        <v>65</v>
      </c>
      <c r="BM43">
        <v>158</v>
      </c>
      <c r="BN43">
        <v>7156650</v>
      </c>
      <c r="BO43" t="s">
        <v>63</v>
      </c>
      <c r="BP43">
        <v>1</v>
      </c>
      <c r="BQ43">
        <v>30</v>
      </c>
      <c r="BR43">
        <v>0</v>
      </c>
      <c r="BS43">
        <v>20.399999999999999</v>
      </c>
      <c r="BT43">
        <v>1</v>
      </c>
      <c r="BU43">
        <v>1</v>
      </c>
      <c r="BV43">
        <v>1</v>
      </c>
      <c r="BW43">
        <v>1</v>
      </c>
      <c r="BX43">
        <v>1</v>
      </c>
      <c r="BY43" t="s">
        <v>3</v>
      </c>
      <c r="BZ43">
        <v>112</v>
      </c>
      <c r="CA43">
        <v>41</v>
      </c>
      <c r="CF43">
        <v>0</v>
      </c>
      <c r="CG43">
        <v>0</v>
      </c>
      <c r="CM43">
        <v>0</v>
      </c>
      <c r="CN43" t="s">
        <v>3</v>
      </c>
      <c r="CO43">
        <v>0</v>
      </c>
      <c r="CP43">
        <f t="shared" si="37"/>
        <v>607.93000000000006</v>
      </c>
      <c r="CQ43">
        <f t="shared" si="38"/>
        <v>0</v>
      </c>
      <c r="CR43">
        <f t="shared" si="39"/>
        <v>1668.8531250000001</v>
      </c>
      <c r="CS43">
        <f t="shared" si="40"/>
        <v>819.31499999999994</v>
      </c>
      <c r="CT43">
        <f t="shared" si="41"/>
        <v>1463.2001999999998</v>
      </c>
      <c r="CU43">
        <f t="shared" si="42"/>
        <v>0</v>
      </c>
      <c r="CV43">
        <f t="shared" si="43"/>
        <v>5.4855</v>
      </c>
      <c r="CW43">
        <f t="shared" si="44"/>
        <v>0</v>
      </c>
      <c r="CX43">
        <f t="shared" si="45"/>
        <v>0</v>
      </c>
      <c r="CY43">
        <f t="shared" si="46"/>
        <v>318.09120000000001</v>
      </c>
      <c r="CZ43">
        <f t="shared" si="47"/>
        <v>116.44409999999999</v>
      </c>
      <c r="DC43" t="s">
        <v>3</v>
      </c>
      <c r="DD43" t="s">
        <v>66</v>
      </c>
      <c r="DE43" t="s">
        <v>67</v>
      </c>
      <c r="DF43" t="s">
        <v>67</v>
      </c>
      <c r="DG43" t="s">
        <v>68</v>
      </c>
      <c r="DH43" t="s">
        <v>3</v>
      </c>
      <c r="DI43" t="s">
        <v>68</v>
      </c>
      <c r="DJ43" t="s">
        <v>67</v>
      </c>
      <c r="DK43" t="s">
        <v>3</v>
      </c>
      <c r="DL43" t="s">
        <v>3</v>
      </c>
      <c r="DM43" t="s">
        <v>3</v>
      </c>
      <c r="DN43">
        <v>140</v>
      </c>
      <c r="DO43">
        <v>79</v>
      </c>
      <c r="DP43">
        <v>1.0469999999999999</v>
      </c>
      <c r="DQ43">
        <v>1</v>
      </c>
      <c r="DU43">
        <v>1013</v>
      </c>
      <c r="DV43" t="s">
        <v>54</v>
      </c>
      <c r="DW43" t="s">
        <v>54</v>
      </c>
      <c r="DX43">
        <v>1</v>
      </c>
      <c r="EE43">
        <v>44846665</v>
      </c>
      <c r="EF43">
        <v>30</v>
      </c>
      <c r="EG43" t="s">
        <v>38</v>
      </c>
      <c r="EH43">
        <v>0</v>
      </c>
      <c r="EI43" t="s">
        <v>3</v>
      </c>
      <c r="EJ43">
        <v>1</v>
      </c>
      <c r="EK43">
        <v>158</v>
      </c>
      <c r="EL43" t="s">
        <v>56</v>
      </c>
      <c r="EM43" t="s">
        <v>57</v>
      </c>
      <c r="EO43" t="s">
        <v>3</v>
      </c>
      <c r="EQ43">
        <v>131072</v>
      </c>
      <c r="ER43">
        <v>24.28</v>
      </c>
      <c r="ES43">
        <v>0</v>
      </c>
      <c r="ET43">
        <v>17.350000000000001</v>
      </c>
      <c r="EU43">
        <v>3.57</v>
      </c>
      <c r="EV43">
        <v>6.93</v>
      </c>
      <c r="EW43">
        <v>0.53</v>
      </c>
      <c r="EX43">
        <v>0</v>
      </c>
      <c r="EY43">
        <v>0</v>
      </c>
      <c r="FQ43">
        <v>0</v>
      </c>
      <c r="FR43">
        <f t="shared" si="48"/>
        <v>0</v>
      </c>
      <c r="FS43">
        <v>0</v>
      </c>
      <c r="FX43">
        <v>140</v>
      </c>
      <c r="FY43">
        <v>79</v>
      </c>
      <c r="GA43" t="s">
        <v>3</v>
      </c>
      <c r="GD43">
        <v>0</v>
      </c>
      <c r="GF43">
        <v>-805844787</v>
      </c>
      <c r="GG43">
        <v>2</v>
      </c>
      <c r="GH43">
        <v>1</v>
      </c>
      <c r="GI43">
        <v>3</v>
      </c>
      <c r="GJ43">
        <v>0</v>
      </c>
      <c r="GK43">
        <f>ROUND(R43*(S12)/100,2)</f>
        <v>267.17</v>
      </c>
      <c r="GL43">
        <f t="shared" si="49"/>
        <v>0</v>
      </c>
      <c r="GM43">
        <f t="shared" si="50"/>
        <v>1309.6300000000001</v>
      </c>
      <c r="GN43">
        <f t="shared" si="51"/>
        <v>1309.6300000000001</v>
      </c>
      <c r="GO43">
        <f t="shared" si="52"/>
        <v>0</v>
      </c>
      <c r="GP43">
        <f t="shared" si="53"/>
        <v>0</v>
      </c>
      <c r="GR43">
        <v>0</v>
      </c>
      <c r="GS43">
        <v>3</v>
      </c>
      <c r="GT43">
        <v>0</v>
      </c>
      <c r="GU43" t="s">
        <v>3</v>
      </c>
      <c r="GV43">
        <f t="shared" si="54"/>
        <v>0</v>
      </c>
      <c r="GW43">
        <v>1</v>
      </c>
      <c r="GX43">
        <f t="shared" si="55"/>
        <v>0</v>
      </c>
      <c r="HA43">
        <v>0</v>
      </c>
      <c r="HB43">
        <v>0</v>
      </c>
      <c r="IK43">
        <v>0</v>
      </c>
    </row>
    <row r="44" spans="1:255" x14ac:dyDescent="0.2">
      <c r="A44" s="2">
        <v>18</v>
      </c>
      <c r="B44" s="2">
        <v>1</v>
      </c>
      <c r="C44" s="2">
        <v>46</v>
      </c>
      <c r="D44" s="2"/>
      <c r="E44" s="2" t="s">
        <v>69</v>
      </c>
      <c r="F44" s="2" t="s">
        <v>59</v>
      </c>
      <c r="G44" s="2" t="s">
        <v>60</v>
      </c>
      <c r="H44" s="2" t="s">
        <v>29</v>
      </c>
      <c r="I44" s="2">
        <f>I42*J44</f>
        <v>1.859478</v>
      </c>
      <c r="J44" s="2">
        <v>9.58</v>
      </c>
      <c r="K44" s="2"/>
      <c r="L44" s="2"/>
      <c r="M44" s="2"/>
      <c r="N44" s="2"/>
      <c r="O44" s="2">
        <f t="shared" si="21"/>
        <v>568.54</v>
      </c>
      <c r="P44" s="2">
        <f t="shared" si="22"/>
        <v>568.54</v>
      </c>
      <c r="Q44" s="2">
        <f t="shared" si="23"/>
        <v>0</v>
      </c>
      <c r="R44" s="2">
        <f t="shared" si="24"/>
        <v>0</v>
      </c>
      <c r="S44" s="2">
        <f t="shared" si="25"/>
        <v>0</v>
      </c>
      <c r="T44" s="2">
        <f t="shared" si="26"/>
        <v>0</v>
      </c>
      <c r="U44" s="2">
        <f t="shared" si="27"/>
        <v>0</v>
      </c>
      <c r="V44" s="2">
        <f t="shared" si="28"/>
        <v>0</v>
      </c>
      <c r="W44" s="2">
        <f t="shared" si="29"/>
        <v>0</v>
      </c>
      <c r="X44" s="2">
        <f t="shared" si="30"/>
        <v>0</v>
      </c>
      <c r="Y44" s="2">
        <f t="shared" si="31"/>
        <v>0</v>
      </c>
      <c r="Z44" s="2"/>
      <c r="AA44" s="2">
        <v>45037306</v>
      </c>
      <c r="AB44" s="2">
        <f t="shared" si="32"/>
        <v>305.75</v>
      </c>
      <c r="AC44" s="2">
        <f t="shared" ref="AC44:AF45" si="60">ROUND((ES44),6)</f>
        <v>305.75</v>
      </c>
      <c r="AD44" s="2">
        <f t="shared" si="60"/>
        <v>0</v>
      </c>
      <c r="AE44" s="2">
        <f t="shared" si="60"/>
        <v>0</v>
      </c>
      <c r="AF44" s="2">
        <f t="shared" si="60"/>
        <v>0</v>
      </c>
      <c r="AG44" s="2">
        <f t="shared" si="34"/>
        <v>0</v>
      </c>
      <c r="AH44" s="2">
        <f>(EW44)</f>
        <v>0</v>
      </c>
      <c r="AI44" s="2">
        <f>(EX44)</f>
        <v>0</v>
      </c>
      <c r="AJ44" s="2">
        <f t="shared" si="36"/>
        <v>0</v>
      </c>
      <c r="AK44" s="2">
        <v>305.75</v>
      </c>
      <c r="AL44" s="2">
        <v>305.75</v>
      </c>
      <c r="AM44" s="2">
        <v>0</v>
      </c>
      <c r="AN44" s="2">
        <v>0</v>
      </c>
      <c r="AO44" s="2">
        <v>0</v>
      </c>
      <c r="AP44" s="2">
        <v>0</v>
      </c>
      <c r="AQ44" s="2">
        <v>0</v>
      </c>
      <c r="AR44" s="2">
        <v>0</v>
      </c>
      <c r="AS44" s="2">
        <v>0</v>
      </c>
      <c r="AT44" s="2">
        <v>0</v>
      </c>
      <c r="AU44" s="2">
        <v>0</v>
      </c>
      <c r="AV44" s="2">
        <v>1</v>
      </c>
      <c r="AW44" s="2">
        <v>1</v>
      </c>
      <c r="AX44" s="2"/>
      <c r="AY44" s="2"/>
      <c r="AZ44" s="2">
        <v>1</v>
      </c>
      <c r="BA44" s="2">
        <v>1</v>
      </c>
      <c r="BB44" s="2">
        <v>1</v>
      </c>
      <c r="BC44" s="2">
        <v>1</v>
      </c>
      <c r="BD44" s="2" t="s">
        <v>3</v>
      </c>
      <c r="BE44" s="2" t="s">
        <v>3</v>
      </c>
      <c r="BF44" s="2" t="s">
        <v>3</v>
      </c>
      <c r="BG44" s="2" t="s">
        <v>3</v>
      </c>
      <c r="BH44" s="2">
        <v>3</v>
      </c>
      <c r="BI44" s="2">
        <v>1</v>
      </c>
      <c r="BJ44" s="2" t="s">
        <v>61</v>
      </c>
      <c r="BK44" s="2"/>
      <c r="BL44" s="2"/>
      <c r="BM44" s="2">
        <v>158</v>
      </c>
      <c r="BN44" s="2">
        <v>7156650</v>
      </c>
      <c r="BO44" s="2" t="s">
        <v>3</v>
      </c>
      <c r="BP44" s="2">
        <v>0</v>
      </c>
      <c r="BQ44" s="2">
        <v>30</v>
      </c>
      <c r="BR44" s="2">
        <v>0</v>
      </c>
      <c r="BS44" s="2">
        <v>1</v>
      </c>
      <c r="BT44" s="2">
        <v>1</v>
      </c>
      <c r="BU44" s="2">
        <v>1</v>
      </c>
      <c r="BV44" s="2">
        <v>1</v>
      </c>
      <c r="BW44" s="2">
        <v>1</v>
      </c>
      <c r="BX44" s="2">
        <v>1</v>
      </c>
      <c r="BY44" s="2" t="s">
        <v>3</v>
      </c>
      <c r="BZ44" s="2">
        <v>0</v>
      </c>
      <c r="CA44" s="2">
        <v>0</v>
      </c>
      <c r="CB44" s="2"/>
      <c r="CC44" s="2"/>
      <c r="CD44" s="2"/>
      <c r="CE44" s="2"/>
      <c r="CF44" s="2">
        <v>0</v>
      </c>
      <c r="CG44" s="2">
        <v>0</v>
      </c>
      <c r="CH44" s="2"/>
      <c r="CI44" s="2"/>
      <c r="CJ44" s="2"/>
      <c r="CK44" s="2"/>
      <c r="CL44" s="2"/>
      <c r="CM44" s="2">
        <v>0</v>
      </c>
      <c r="CN44" s="2" t="s">
        <v>3</v>
      </c>
      <c r="CO44" s="2">
        <v>0</v>
      </c>
      <c r="CP44" s="2">
        <f t="shared" si="37"/>
        <v>568.54</v>
      </c>
      <c r="CQ44" s="2">
        <f t="shared" si="38"/>
        <v>305.75</v>
      </c>
      <c r="CR44" s="2">
        <f t="shared" si="39"/>
        <v>0</v>
      </c>
      <c r="CS44" s="2">
        <f t="shared" si="40"/>
        <v>0</v>
      </c>
      <c r="CT44" s="2">
        <f t="shared" si="41"/>
        <v>0</v>
      </c>
      <c r="CU44" s="2">
        <f t="shared" si="42"/>
        <v>0</v>
      </c>
      <c r="CV44" s="2">
        <f t="shared" si="43"/>
        <v>0</v>
      </c>
      <c r="CW44" s="2">
        <f t="shared" si="44"/>
        <v>0</v>
      </c>
      <c r="CX44" s="2">
        <f t="shared" si="45"/>
        <v>0</v>
      </c>
      <c r="CY44" s="2">
        <f t="shared" si="46"/>
        <v>0</v>
      </c>
      <c r="CZ44" s="2">
        <f t="shared" si="47"/>
        <v>0</v>
      </c>
      <c r="DA44" s="2"/>
      <c r="DB44" s="2"/>
      <c r="DC44" s="2" t="s">
        <v>3</v>
      </c>
      <c r="DD44" s="2" t="s">
        <v>3</v>
      </c>
      <c r="DE44" s="2" t="s">
        <v>3</v>
      </c>
      <c r="DF44" s="2" t="s">
        <v>3</v>
      </c>
      <c r="DG44" s="2" t="s">
        <v>3</v>
      </c>
      <c r="DH44" s="2" t="s">
        <v>3</v>
      </c>
      <c r="DI44" s="2" t="s">
        <v>3</v>
      </c>
      <c r="DJ44" s="2" t="s">
        <v>3</v>
      </c>
      <c r="DK44" s="2" t="s">
        <v>3</v>
      </c>
      <c r="DL44" s="2" t="s">
        <v>3</v>
      </c>
      <c r="DM44" s="2" t="s">
        <v>3</v>
      </c>
      <c r="DN44" s="2">
        <v>140</v>
      </c>
      <c r="DO44" s="2">
        <v>79</v>
      </c>
      <c r="DP44" s="2">
        <v>1.0469999999999999</v>
      </c>
      <c r="DQ44" s="2">
        <v>1</v>
      </c>
      <c r="DR44" s="2"/>
      <c r="DS44" s="2"/>
      <c r="DT44" s="2"/>
      <c r="DU44" s="2">
        <v>1009</v>
      </c>
      <c r="DV44" s="2" t="s">
        <v>29</v>
      </c>
      <c r="DW44" s="2" t="s">
        <v>29</v>
      </c>
      <c r="DX44" s="2">
        <v>1000</v>
      </c>
      <c r="DY44" s="2"/>
      <c r="DZ44" s="2"/>
      <c r="EA44" s="2"/>
      <c r="EB44" s="2"/>
      <c r="EC44" s="2"/>
      <c r="ED44" s="2"/>
      <c r="EE44" s="2">
        <v>44846665</v>
      </c>
      <c r="EF44" s="2">
        <v>30</v>
      </c>
      <c r="EG44" s="2" t="s">
        <v>38</v>
      </c>
      <c r="EH44" s="2">
        <v>0</v>
      </c>
      <c r="EI44" s="2" t="s">
        <v>3</v>
      </c>
      <c r="EJ44" s="2">
        <v>1</v>
      </c>
      <c r="EK44" s="2">
        <v>158</v>
      </c>
      <c r="EL44" s="2" t="s">
        <v>56</v>
      </c>
      <c r="EM44" s="2" t="s">
        <v>57</v>
      </c>
      <c r="EN44" s="2"/>
      <c r="EO44" s="2" t="s">
        <v>3</v>
      </c>
      <c r="EP44" s="2"/>
      <c r="EQ44" s="2">
        <v>0</v>
      </c>
      <c r="ER44" s="2">
        <v>305.75</v>
      </c>
      <c r="ES44" s="2">
        <v>305.75</v>
      </c>
      <c r="ET44" s="2">
        <v>0</v>
      </c>
      <c r="EU44" s="2">
        <v>0</v>
      </c>
      <c r="EV44" s="2">
        <v>0</v>
      </c>
      <c r="EW44" s="2">
        <v>0</v>
      </c>
      <c r="EX44" s="2">
        <v>0</v>
      </c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>
        <v>0</v>
      </c>
      <c r="FR44" s="2">
        <f t="shared" si="48"/>
        <v>0</v>
      </c>
      <c r="FS44" s="2">
        <v>0</v>
      </c>
      <c r="FT44" s="2"/>
      <c r="FU44" s="2"/>
      <c r="FV44" s="2"/>
      <c r="FW44" s="2"/>
      <c r="FX44" s="2">
        <v>140</v>
      </c>
      <c r="FY44" s="2">
        <v>79</v>
      </c>
      <c r="FZ44" s="2"/>
      <c r="GA44" s="2" t="s">
        <v>3</v>
      </c>
      <c r="GB44" s="2"/>
      <c r="GC44" s="2"/>
      <c r="GD44" s="2">
        <v>0</v>
      </c>
      <c r="GE44" s="2"/>
      <c r="GF44" s="2">
        <v>-2137020924</v>
      </c>
      <c r="GG44" s="2">
        <v>2</v>
      </c>
      <c r="GH44" s="2">
        <v>1</v>
      </c>
      <c r="GI44" s="2">
        <v>3</v>
      </c>
      <c r="GJ44" s="2">
        <v>0</v>
      </c>
      <c r="GK44" s="2">
        <f>ROUND(R44*(R12)/100,2)</f>
        <v>0</v>
      </c>
      <c r="GL44" s="2">
        <f t="shared" si="49"/>
        <v>0</v>
      </c>
      <c r="GM44" s="2">
        <f t="shared" si="50"/>
        <v>568.54</v>
      </c>
      <c r="GN44" s="2">
        <f t="shared" si="51"/>
        <v>568.54</v>
      </c>
      <c r="GO44" s="2">
        <f t="shared" si="52"/>
        <v>0</v>
      </c>
      <c r="GP44" s="2">
        <f t="shared" si="53"/>
        <v>0</v>
      </c>
      <c r="GQ44" s="2"/>
      <c r="GR44" s="2">
        <v>0</v>
      </c>
      <c r="GS44" s="2">
        <v>3</v>
      </c>
      <c r="GT44" s="2">
        <v>0</v>
      </c>
      <c r="GU44" s="2" t="s">
        <v>3</v>
      </c>
      <c r="GV44" s="2">
        <f t="shared" si="54"/>
        <v>0</v>
      </c>
      <c r="GW44" s="2">
        <v>1</v>
      </c>
      <c r="GX44" s="2">
        <f t="shared" si="55"/>
        <v>0</v>
      </c>
      <c r="GY44" s="2"/>
      <c r="GZ44" s="2"/>
      <c r="HA44" s="2">
        <v>0</v>
      </c>
      <c r="HB44" s="2">
        <v>0</v>
      </c>
      <c r="HC44" s="2"/>
      <c r="HD44" s="2"/>
      <c r="HE44" s="2"/>
      <c r="HF44" s="2"/>
      <c r="HG44" s="2"/>
      <c r="HH44" s="2"/>
      <c r="HI44" s="2"/>
      <c r="HJ44" s="2"/>
      <c r="HK44" s="2"/>
      <c r="HL44" s="2"/>
      <c r="HM44" s="2"/>
      <c r="HN44" s="2"/>
      <c r="HO44" s="2"/>
      <c r="HP44" s="2"/>
      <c r="HQ44" s="2"/>
      <c r="HR44" s="2"/>
      <c r="HS44" s="2"/>
      <c r="HT44" s="2"/>
      <c r="HU44" s="2"/>
      <c r="HV44" s="2"/>
      <c r="HW44" s="2"/>
      <c r="HX44" s="2"/>
      <c r="HY44" s="2"/>
      <c r="HZ44" s="2"/>
      <c r="IA44" s="2"/>
      <c r="IB44" s="2"/>
      <c r="IC44" s="2"/>
      <c r="ID44" s="2"/>
      <c r="IE44" s="2"/>
      <c r="IF44" s="2"/>
      <c r="IG44" s="2"/>
      <c r="IH44" s="2"/>
      <c r="II44" s="2"/>
      <c r="IJ44" s="2"/>
      <c r="IK44" s="2">
        <v>0</v>
      </c>
      <c r="IL44" s="2"/>
      <c r="IM44" s="2"/>
      <c r="IN44" s="2"/>
      <c r="IO44" s="2"/>
      <c r="IP44" s="2"/>
      <c r="IQ44" s="2"/>
      <c r="IR44" s="2"/>
      <c r="IS44" s="2"/>
      <c r="IT44" s="2"/>
      <c r="IU44" s="2"/>
    </row>
    <row r="45" spans="1:255" x14ac:dyDescent="0.2">
      <c r="A45">
        <v>18</v>
      </c>
      <c r="B45">
        <v>1</v>
      </c>
      <c r="C45">
        <v>50</v>
      </c>
      <c r="E45" t="s">
        <v>69</v>
      </c>
      <c r="F45" t="s">
        <v>59</v>
      </c>
      <c r="G45" t="s">
        <v>60</v>
      </c>
      <c r="H45" t="s">
        <v>29</v>
      </c>
      <c r="I45">
        <f>I43*J45</f>
        <v>1.859478</v>
      </c>
      <c r="J45">
        <v>9.58</v>
      </c>
      <c r="O45">
        <f t="shared" si="21"/>
        <v>4798.4399999999996</v>
      </c>
      <c r="P45">
        <f t="shared" si="22"/>
        <v>4798.4399999999996</v>
      </c>
      <c r="Q45">
        <f t="shared" si="23"/>
        <v>0</v>
      </c>
      <c r="R45">
        <f t="shared" si="24"/>
        <v>0</v>
      </c>
      <c r="S45">
        <f t="shared" si="25"/>
        <v>0</v>
      </c>
      <c r="T45">
        <f t="shared" si="26"/>
        <v>0</v>
      </c>
      <c r="U45">
        <f t="shared" si="27"/>
        <v>0</v>
      </c>
      <c r="V45">
        <f t="shared" si="28"/>
        <v>0</v>
      </c>
      <c r="W45">
        <f t="shared" si="29"/>
        <v>0</v>
      </c>
      <c r="X45">
        <f t="shared" si="30"/>
        <v>0</v>
      </c>
      <c r="Y45">
        <f t="shared" si="31"/>
        <v>0</v>
      </c>
      <c r="AA45">
        <v>45037307</v>
      </c>
      <c r="AB45">
        <f t="shared" si="32"/>
        <v>305.75</v>
      </c>
      <c r="AC45">
        <f t="shared" si="60"/>
        <v>305.75</v>
      </c>
      <c r="AD45">
        <f t="shared" si="60"/>
        <v>0</v>
      </c>
      <c r="AE45">
        <f t="shared" si="60"/>
        <v>0</v>
      </c>
      <c r="AF45">
        <f t="shared" si="60"/>
        <v>0</v>
      </c>
      <c r="AG45">
        <f t="shared" si="34"/>
        <v>0</v>
      </c>
      <c r="AH45">
        <f>(EW45)</f>
        <v>0</v>
      </c>
      <c r="AI45">
        <f>(EX45)</f>
        <v>0</v>
      </c>
      <c r="AJ45">
        <f t="shared" si="36"/>
        <v>0</v>
      </c>
      <c r="AK45">
        <v>305.75</v>
      </c>
      <c r="AL45">
        <v>305.75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1</v>
      </c>
      <c r="AW45">
        <v>1</v>
      </c>
      <c r="AZ45">
        <v>1</v>
      </c>
      <c r="BA45">
        <v>1</v>
      </c>
      <c r="BB45">
        <v>1</v>
      </c>
      <c r="BC45">
        <v>8.44</v>
      </c>
      <c r="BD45" t="s">
        <v>3</v>
      </c>
      <c r="BE45" t="s">
        <v>3</v>
      </c>
      <c r="BF45" t="s">
        <v>3</v>
      </c>
      <c r="BG45" t="s">
        <v>3</v>
      </c>
      <c r="BH45">
        <v>3</v>
      </c>
      <c r="BI45">
        <v>1</v>
      </c>
      <c r="BJ45" t="s">
        <v>61</v>
      </c>
      <c r="BM45">
        <v>158</v>
      </c>
      <c r="BN45">
        <v>7156650</v>
      </c>
      <c r="BO45" t="s">
        <v>59</v>
      </c>
      <c r="BP45">
        <v>1</v>
      </c>
      <c r="BQ45">
        <v>30</v>
      </c>
      <c r="BR45">
        <v>0</v>
      </c>
      <c r="BS45">
        <v>1</v>
      </c>
      <c r="BT45">
        <v>1</v>
      </c>
      <c r="BU45">
        <v>1</v>
      </c>
      <c r="BV45">
        <v>1</v>
      </c>
      <c r="BW45">
        <v>1</v>
      </c>
      <c r="BX45">
        <v>1</v>
      </c>
      <c r="BY45" t="s">
        <v>3</v>
      </c>
      <c r="BZ45">
        <v>0</v>
      </c>
      <c r="CA45">
        <v>0</v>
      </c>
      <c r="CF45">
        <v>0</v>
      </c>
      <c r="CG45">
        <v>0</v>
      </c>
      <c r="CM45">
        <v>0</v>
      </c>
      <c r="CN45" t="s">
        <v>3</v>
      </c>
      <c r="CO45">
        <v>0</v>
      </c>
      <c r="CP45">
        <f t="shared" si="37"/>
        <v>4798.4399999999996</v>
      </c>
      <c r="CQ45">
        <f t="shared" si="38"/>
        <v>2580.5299999999997</v>
      </c>
      <c r="CR45">
        <f t="shared" si="39"/>
        <v>0</v>
      </c>
      <c r="CS45">
        <f t="shared" si="40"/>
        <v>0</v>
      </c>
      <c r="CT45">
        <f t="shared" si="41"/>
        <v>0</v>
      </c>
      <c r="CU45">
        <f t="shared" si="42"/>
        <v>0</v>
      </c>
      <c r="CV45">
        <f t="shared" si="43"/>
        <v>0</v>
      </c>
      <c r="CW45">
        <f t="shared" si="44"/>
        <v>0</v>
      </c>
      <c r="CX45">
        <f t="shared" si="45"/>
        <v>0</v>
      </c>
      <c r="CY45">
        <f t="shared" si="46"/>
        <v>0</v>
      </c>
      <c r="CZ45">
        <f t="shared" si="47"/>
        <v>0</v>
      </c>
      <c r="DC45" t="s">
        <v>3</v>
      </c>
      <c r="DD45" t="s">
        <v>3</v>
      </c>
      <c r="DE45" t="s">
        <v>3</v>
      </c>
      <c r="DF45" t="s">
        <v>3</v>
      </c>
      <c r="DG45" t="s">
        <v>3</v>
      </c>
      <c r="DH45" t="s">
        <v>3</v>
      </c>
      <c r="DI45" t="s">
        <v>3</v>
      </c>
      <c r="DJ45" t="s">
        <v>3</v>
      </c>
      <c r="DK45" t="s">
        <v>3</v>
      </c>
      <c r="DL45" t="s">
        <v>3</v>
      </c>
      <c r="DM45" t="s">
        <v>3</v>
      </c>
      <c r="DN45">
        <v>140</v>
      </c>
      <c r="DO45">
        <v>79</v>
      </c>
      <c r="DP45">
        <v>1.0469999999999999</v>
      </c>
      <c r="DQ45">
        <v>1</v>
      </c>
      <c r="DU45">
        <v>1009</v>
      </c>
      <c r="DV45" t="s">
        <v>29</v>
      </c>
      <c r="DW45" t="s">
        <v>29</v>
      </c>
      <c r="DX45">
        <v>1000</v>
      </c>
      <c r="EE45">
        <v>44846665</v>
      </c>
      <c r="EF45">
        <v>30</v>
      </c>
      <c r="EG45" t="s">
        <v>38</v>
      </c>
      <c r="EH45">
        <v>0</v>
      </c>
      <c r="EI45" t="s">
        <v>3</v>
      </c>
      <c r="EJ45">
        <v>1</v>
      </c>
      <c r="EK45">
        <v>158</v>
      </c>
      <c r="EL45" t="s">
        <v>56</v>
      </c>
      <c r="EM45" t="s">
        <v>57</v>
      </c>
      <c r="EO45" t="s">
        <v>3</v>
      </c>
      <c r="EQ45">
        <v>0</v>
      </c>
      <c r="ER45">
        <v>305.75</v>
      </c>
      <c r="ES45">
        <v>305.75</v>
      </c>
      <c r="ET45">
        <v>0</v>
      </c>
      <c r="EU45">
        <v>0</v>
      </c>
      <c r="EV45">
        <v>0</v>
      </c>
      <c r="EW45">
        <v>0</v>
      </c>
      <c r="EX45">
        <v>0</v>
      </c>
      <c r="FQ45">
        <v>0</v>
      </c>
      <c r="FR45">
        <f t="shared" si="48"/>
        <v>0</v>
      </c>
      <c r="FS45">
        <v>0</v>
      </c>
      <c r="FX45">
        <v>140</v>
      </c>
      <c r="FY45">
        <v>79</v>
      </c>
      <c r="GA45" t="s">
        <v>3</v>
      </c>
      <c r="GD45">
        <v>0</v>
      </c>
      <c r="GF45">
        <v>-2137020924</v>
      </c>
      <c r="GG45">
        <v>2</v>
      </c>
      <c r="GH45">
        <v>1</v>
      </c>
      <c r="GI45">
        <v>3</v>
      </c>
      <c r="GJ45">
        <v>0</v>
      </c>
      <c r="GK45">
        <f>ROUND(R45*(S12)/100,2)</f>
        <v>0</v>
      </c>
      <c r="GL45">
        <f t="shared" si="49"/>
        <v>0</v>
      </c>
      <c r="GM45">
        <f t="shared" si="50"/>
        <v>4798.4399999999996</v>
      </c>
      <c r="GN45">
        <f t="shared" si="51"/>
        <v>4798.4399999999996</v>
      </c>
      <c r="GO45">
        <f t="shared" si="52"/>
        <v>0</v>
      </c>
      <c r="GP45">
        <f t="shared" si="53"/>
        <v>0</v>
      </c>
      <c r="GR45">
        <v>0</v>
      </c>
      <c r="GS45">
        <v>3</v>
      </c>
      <c r="GT45">
        <v>0</v>
      </c>
      <c r="GU45" t="s">
        <v>3</v>
      </c>
      <c r="GV45">
        <f t="shared" si="54"/>
        <v>0</v>
      </c>
      <c r="GW45">
        <v>1</v>
      </c>
      <c r="GX45">
        <f t="shared" si="55"/>
        <v>0</v>
      </c>
      <c r="HA45">
        <v>0</v>
      </c>
      <c r="HB45">
        <v>0</v>
      </c>
      <c r="IK45">
        <v>0</v>
      </c>
    </row>
    <row r="46" spans="1:255" x14ac:dyDescent="0.2">
      <c r="A46" s="2">
        <v>17</v>
      </c>
      <c r="B46" s="2">
        <v>1</v>
      </c>
      <c r="C46" s="2">
        <f>ROW(SmtRes!A52)</f>
        <v>52</v>
      </c>
      <c r="D46" s="2">
        <f>ROW(EtalonRes!A50)</f>
        <v>50</v>
      </c>
      <c r="E46" s="2" t="s">
        <v>70</v>
      </c>
      <c r="F46" s="2" t="s">
        <v>71</v>
      </c>
      <c r="G46" s="2" t="s">
        <v>72</v>
      </c>
      <c r="H46" s="2" t="s">
        <v>73</v>
      </c>
      <c r="I46" s="2">
        <f>ROUND(13.16/100,9)</f>
        <v>0.13159999999999999</v>
      </c>
      <c r="J46" s="2">
        <v>0</v>
      </c>
      <c r="K46" s="2"/>
      <c r="L46" s="2"/>
      <c r="M46" s="2"/>
      <c r="N46" s="2"/>
      <c r="O46" s="2">
        <f t="shared" si="21"/>
        <v>63.02</v>
      </c>
      <c r="P46" s="2">
        <f t="shared" si="22"/>
        <v>0</v>
      </c>
      <c r="Q46" s="2">
        <f t="shared" si="23"/>
        <v>0</v>
      </c>
      <c r="R46" s="2">
        <f t="shared" si="24"/>
        <v>0</v>
      </c>
      <c r="S46" s="2">
        <f t="shared" si="25"/>
        <v>63.02</v>
      </c>
      <c r="T46" s="2">
        <f t="shared" si="26"/>
        <v>0</v>
      </c>
      <c r="U46" s="2">
        <f t="shared" si="27"/>
        <v>6.0535999999999994</v>
      </c>
      <c r="V46" s="2">
        <f t="shared" si="28"/>
        <v>0</v>
      </c>
      <c r="W46" s="2">
        <f t="shared" si="29"/>
        <v>0</v>
      </c>
      <c r="X46" s="2">
        <f t="shared" si="30"/>
        <v>0</v>
      </c>
      <c r="Y46" s="2">
        <f t="shared" si="31"/>
        <v>0</v>
      </c>
      <c r="Z46" s="2"/>
      <c r="AA46" s="2">
        <v>45037306</v>
      </c>
      <c r="AB46" s="2">
        <f t="shared" si="32"/>
        <v>478.86</v>
      </c>
      <c r="AC46" s="2">
        <f t="shared" ref="AC46:AC61" si="61">ROUND((ES46),6)</f>
        <v>0</v>
      </c>
      <c r="AD46" s="2">
        <f>ROUND(((ET46*1.25)),6)</f>
        <v>0</v>
      </c>
      <c r="AE46" s="2">
        <f>ROUND(((EU46*1.25)),6)</f>
        <v>0</v>
      </c>
      <c r="AF46" s="2">
        <f>ROUND(((EV46*1.15)),6)</f>
        <v>478.86</v>
      </c>
      <c r="AG46" s="2">
        <f t="shared" si="34"/>
        <v>0</v>
      </c>
      <c r="AH46" s="2">
        <f>((EW46*1.15))</f>
        <v>46</v>
      </c>
      <c r="AI46" s="2">
        <f>((EX46*1.25))</f>
        <v>0</v>
      </c>
      <c r="AJ46" s="2">
        <f t="shared" si="36"/>
        <v>0</v>
      </c>
      <c r="AK46" s="2">
        <v>416.4</v>
      </c>
      <c r="AL46" s="2">
        <v>0</v>
      </c>
      <c r="AM46" s="2">
        <v>0</v>
      </c>
      <c r="AN46" s="2">
        <v>0</v>
      </c>
      <c r="AO46" s="2">
        <v>416.4</v>
      </c>
      <c r="AP46" s="2">
        <v>0</v>
      </c>
      <c r="AQ46" s="2">
        <v>40</v>
      </c>
      <c r="AR46" s="2">
        <v>0</v>
      </c>
      <c r="AS46" s="2">
        <v>0</v>
      </c>
      <c r="AT46" s="2">
        <v>0</v>
      </c>
      <c r="AU46" s="2">
        <v>0</v>
      </c>
      <c r="AV46" s="2">
        <v>1</v>
      </c>
      <c r="AW46" s="2">
        <v>1</v>
      </c>
      <c r="AX46" s="2"/>
      <c r="AY46" s="2"/>
      <c r="AZ46" s="2">
        <v>1</v>
      </c>
      <c r="BA46" s="2">
        <v>1</v>
      </c>
      <c r="BB46" s="2">
        <v>1</v>
      </c>
      <c r="BC46" s="2">
        <v>1</v>
      </c>
      <c r="BD46" s="2" t="s">
        <v>3</v>
      </c>
      <c r="BE46" s="2" t="s">
        <v>3</v>
      </c>
      <c r="BF46" s="2" t="s">
        <v>3</v>
      </c>
      <c r="BG46" s="2" t="s">
        <v>3</v>
      </c>
      <c r="BH46" s="2">
        <v>0</v>
      </c>
      <c r="BI46" s="2">
        <v>1</v>
      </c>
      <c r="BJ46" s="2" t="s">
        <v>74</v>
      </c>
      <c r="BK46" s="2"/>
      <c r="BL46" s="2"/>
      <c r="BM46" s="2">
        <v>295</v>
      </c>
      <c r="BN46" s="2">
        <v>7156650</v>
      </c>
      <c r="BO46" s="2" t="s">
        <v>3</v>
      </c>
      <c r="BP46" s="2">
        <v>0</v>
      </c>
      <c r="BQ46" s="2">
        <v>30</v>
      </c>
      <c r="BR46" s="2">
        <v>0</v>
      </c>
      <c r="BS46" s="2">
        <v>1</v>
      </c>
      <c r="BT46" s="2">
        <v>1</v>
      </c>
      <c r="BU46" s="2">
        <v>1</v>
      </c>
      <c r="BV46" s="2">
        <v>1</v>
      </c>
      <c r="BW46" s="2">
        <v>1</v>
      </c>
      <c r="BX46" s="2">
        <v>1</v>
      </c>
      <c r="BY46" s="2" t="s">
        <v>3</v>
      </c>
      <c r="BZ46" s="2">
        <v>0</v>
      </c>
      <c r="CA46" s="2">
        <v>0</v>
      </c>
      <c r="CB46" s="2"/>
      <c r="CC46" s="2"/>
      <c r="CD46" s="2"/>
      <c r="CE46" s="2"/>
      <c r="CF46" s="2">
        <v>0</v>
      </c>
      <c r="CG46" s="2">
        <v>0</v>
      </c>
      <c r="CH46" s="2"/>
      <c r="CI46" s="2"/>
      <c r="CJ46" s="2"/>
      <c r="CK46" s="2"/>
      <c r="CL46" s="2"/>
      <c r="CM46" s="2">
        <v>0</v>
      </c>
      <c r="CN46" s="2" t="s">
        <v>3</v>
      </c>
      <c r="CO46" s="2">
        <v>0</v>
      </c>
      <c r="CP46" s="2">
        <f t="shared" si="37"/>
        <v>63.02</v>
      </c>
      <c r="CQ46" s="2">
        <f t="shared" si="38"/>
        <v>0</v>
      </c>
      <c r="CR46" s="2">
        <f t="shared" si="39"/>
        <v>0</v>
      </c>
      <c r="CS46" s="2">
        <f t="shared" si="40"/>
        <v>0</v>
      </c>
      <c r="CT46" s="2">
        <f t="shared" si="41"/>
        <v>478.86</v>
      </c>
      <c r="CU46" s="2">
        <f t="shared" si="42"/>
        <v>0</v>
      </c>
      <c r="CV46" s="2">
        <f t="shared" si="43"/>
        <v>46</v>
      </c>
      <c r="CW46" s="2">
        <f t="shared" si="44"/>
        <v>0</v>
      </c>
      <c r="CX46" s="2">
        <f t="shared" si="45"/>
        <v>0</v>
      </c>
      <c r="CY46" s="2">
        <f t="shared" si="46"/>
        <v>0</v>
      </c>
      <c r="CZ46" s="2">
        <f t="shared" si="47"/>
        <v>0</v>
      </c>
      <c r="DA46" s="2"/>
      <c r="DB46" s="2"/>
      <c r="DC46" s="2" t="s">
        <v>3</v>
      </c>
      <c r="DD46" s="2" t="s">
        <v>3</v>
      </c>
      <c r="DE46" s="2" t="s">
        <v>36</v>
      </c>
      <c r="DF46" s="2" t="s">
        <v>36</v>
      </c>
      <c r="DG46" s="2" t="s">
        <v>37</v>
      </c>
      <c r="DH46" s="2" t="s">
        <v>3</v>
      </c>
      <c r="DI46" s="2" t="s">
        <v>37</v>
      </c>
      <c r="DJ46" s="2" t="s">
        <v>36</v>
      </c>
      <c r="DK46" s="2" t="s">
        <v>3</v>
      </c>
      <c r="DL46" s="2" t="s">
        <v>3</v>
      </c>
      <c r="DM46" s="2" t="s">
        <v>3</v>
      </c>
      <c r="DN46" s="2">
        <v>156</v>
      </c>
      <c r="DO46" s="2">
        <v>84</v>
      </c>
      <c r="DP46" s="2">
        <v>1</v>
      </c>
      <c r="DQ46" s="2">
        <v>1</v>
      </c>
      <c r="DR46" s="2"/>
      <c r="DS46" s="2"/>
      <c r="DT46" s="2"/>
      <c r="DU46" s="2">
        <v>1005</v>
      </c>
      <c r="DV46" s="2" t="s">
        <v>73</v>
      </c>
      <c r="DW46" s="2" t="s">
        <v>73</v>
      </c>
      <c r="DX46" s="2">
        <v>100</v>
      </c>
      <c r="DY46" s="2"/>
      <c r="DZ46" s="2"/>
      <c r="EA46" s="2"/>
      <c r="EB46" s="2"/>
      <c r="EC46" s="2"/>
      <c r="ED46" s="2"/>
      <c r="EE46" s="2">
        <v>44846802</v>
      </c>
      <c r="EF46" s="2">
        <v>30</v>
      </c>
      <c r="EG46" s="2" t="s">
        <v>38</v>
      </c>
      <c r="EH46" s="2">
        <v>0</v>
      </c>
      <c r="EI46" s="2" t="s">
        <v>3</v>
      </c>
      <c r="EJ46" s="2">
        <v>1</v>
      </c>
      <c r="EK46" s="2">
        <v>295</v>
      </c>
      <c r="EL46" s="2" t="s">
        <v>75</v>
      </c>
      <c r="EM46" s="2" t="s">
        <v>76</v>
      </c>
      <c r="EN46" s="2"/>
      <c r="EO46" s="2" t="s">
        <v>3</v>
      </c>
      <c r="EP46" s="2"/>
      <c r="EQ46" s="2">
        <v>131072</v>
      </c>
      <c r="ER46" s="2">
        <v>416.4</v>
      </c>
      <c r="ES46" s="2">
        <v>0</v>
      </c>
      <c r="ET46" s="2">
        <v>0</v>
      </c>
      <c r="EU46" s="2">
        <v>0</v>
      </c>
      <c r="EV46" s="2">
        <v>416.4</v>
      </c>
      <c r="EW46" s="2">
        <v>40</v>
      </c>
      <c r="EX46" s="2">
        <v>0</v>
      </c>
      <c r="EY46" s="2">
        <v>0</v>
      </c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>
        <v>0</v>
      </c>
      <c r="FR46" s="2">
        <f t="shared" si="48"/>
        <v>0</v>
      </c>
      <c r="FS46" s="2">
        <v>0</v>
      </c>
      <c r="FT46" s="2"/>
      <c r="FU46" s="2"/>
      <c r="FV46" s="2"/>
      <c r="FW46" s="2"/>
      <c r="FX46" s="2">
        <v>156</v>
      </c>
      <c r="FY46" s="2">
        <v>84</v>
      </c>
      <c r="FZ46" s="2"/>
      <c r="GA46" s="2" t="s">
        <v>3</v>
      </c>
      <c r="GB46" s="2"/>
      <c r="GC46" s="2"/>
      <c r="GD46" s="2">
        <v>0</v>
      </c>
      <c r="GE46" s="2"/>
      <c r="GF46" s="2">
        <v>-40892003</v>
      </c>
      <c r="GG46" s="2">
        <v>2</v>
      </c>
      <c r="GH46" s="2">
        <v>1</v>
      </c>
      <c r="GI46" s="2">
        <v>3</v>
      </c>
      <c r="GJ46" s="2">
        <v>0</v>
      </c>
      <c r="GK46" s="2">
        <f>ROUND(R46*(R12)/100,2)</f>
        <v>0</v>
      </c>
      <c r="GL46" s="2">
        <f t="shared" si="49"/>
        <v>0</v>
      </c>
      <c r="GM46" s="2">
        <f t="shared" si="50"/>
        <v>63.02</v>
      </c>
      <c r="GN46" s="2">
        <f t="shared" si="51"/>
        <v>63.02</v>
      </c>
      <c r="GO46" s="2">
        <f t="shared" si="52"/>
        <v>0</v>
      </c>
      <c r="GP46" s="2">
        <f t="shared" si="53"/>
        <v>0</v>
      </c>
      <c r="GQ46" s="2"/>
      <c r="GR46" s="2">
        <v>0</v>
      </c>
      <c r="GS46" s="2">
        <v>3</v>
      </c>
      <c r="GT46" s="2">
        <v>0</v>
      </c>
      <c r="GU46" s="2" t="s">
        <v>3</v>
      </c>
      <c r="GV46" s="2">
        <f t="shared" si="54"/>
        <v>0</v>
      </c>
      <c r="GW46" s="2">
        <v>1</v>
      </c>
      <c r="GX46" s="2">
        <f t="shared" si="55"/>
        <v>0</v>
      </c>
      <c r="GY46" s="2"/>
      <c r="GZ46" s="2"/>
      <c r="HA46" s="2">
        <v>0</v>
      </c>
      <c r="HB46" s="2">
        <v>0</v>
      </c>
      <c r="HC46" s="2"/>
      <c r="HD46" s="2"/>
      <c r="HE46" s="2"/>
      <c r="HF46" s="2"/>
      <c r="HG46" s="2"/>
      <c r="HH46" s="2"/>
      <c r="HI46" s="2"/>
      <c r="HJ46" s="2"/>
      <c r="HK46" s="2"/>
      <c r="HL46" s="2"/>
      <c r="HM46" s="2"/>
      <c r="HN46" s="2"/>
      <c r="HO46" s="2"/>
      <c r="HP46" s="2"/>
      <c r="HQ46" s="2"/>
      <c r="HR46" s="2"/>
      <c r="HS46" s="2"/>
      <c r="HT46" s="2"/>
      <c r="HU46" s="2"/>
      <c r="HV46" s="2"/>
      <c r="HW46" s="2"/>
      <c r="HX46" s="2"/>
      <c r="HY46" s="2"/>
      <c r="HZ46" s="2"/>
      <c r="IA46" s="2"/>
      <c r="IB46" s="2"/>
      <c r="IC46" s="2"/>
      <c r="ID46" s="2"/>
      <c r="IE46" s="2"/>
      <c r="IF46" s="2"/>
      <c r="IG46" s="2"/>
      <c r="IH46" s="2"/>
      <c r="II46" s="2"/>
      <c r="IJ46" s="2"/>
      <c r="IK46" s="2">
        <v>0</v>
      </c>
      <c r="IL46" s="2"/>
      <c r="IM46" s="2"/>
      <c r="IN46" s="2"/>
      <c r="IO46" s="2"/>
      <c r="IP46" s="2"/>
      <c r="IQ46" s="2"/>
      <c r="IR46" s="2"/>
      <c r="IS46" s="2"/>
      <c r="IT46" s="2"/>
      <c r="IU46" s="2"/>
    </row>
    <row r="47" spans="1:255" x14ac:dyDescent="0.2">
      <c r="A47">
        <v>17</v>
      </c>
      <c r="B47">
        <v>1</v>
      </c>
      <c r="C47">
        <f>ROW(SmtRes!A54)</f>
        <v>54</v>
      </c>
      <c r="D47">
        <f>ROW(EtalonRes!A52)</f>
        <v>52</v>
      </c>
      <c r="E47" t="s">
        <v>70</v>
      </c>
      <c r="F47" t="s">
        <v>71</v>
      </c>
      <c r="G47" t="s">
        <v>72</v>
      </c>
      <c r="H47" t="s">
        <v>73</v>
      </c>
      <c r="I47">
        <f>ROUND(13.16/100,9)</f>
        <v>0.13159999999999999</v>
      </c>
      <c r="J47">
        <v>0</v>
      </c>
      <c r="O47">
        <f t="shared" si="21"/>
        <v>1285.57</v>
      </c>
      <c r="P47">
        <f t="shared" si="22"/>
        <v>0</v>
      </c>
      <c r="Q47">
        <f t="shared" si="23"/>
        <v>0</v>
      </c>
      <c r="R47">
        <f t="shared" si="24"/>
        <v>0</v>
      </c>
      <c r="S47">
        <f t="shared" si="25"/>
        <v>1285.57</v>
      </c>
      <c r="T47">
        <f t="shared" si="26"/>
        <v>0</v>
      </c>
      <c r="U47">
        <f t="shared" si="27"/>
        <v>6.0535999999999994</v>
      </c>
      <c r="V47">
        <f t="shared" si="28"/>
        <v>0</v>
      </c>
      <c r="W47">
        <f t="shared" si="29"/>
        <v>0</v>
      </c>
      <c r="X47">
        <f t="shared" si="30"/>
        <v>1157.01</v>
      </c>
      <c r="Y47">
        <f t="shared" si="31"/>
        <v>527.08000000000004</v>
      </c>
      <c r="AA47">
        <v>45037307</v>
      </c>
      <c r="AB47">
        <f t="shared" si="32"/>
        <v>478.86</v>
      </c>
      <c r="AC47">
        <f t="shared" si="61"/>
        <v>0</v>
      </c>
      <c r="AD47">
        <f>ROUND(((ET47*1.25)),6)</f>
        <v>0</v>
      </c>
      <c r="AE47">
        <f>ROUND(((EU47*1.25)),6)</f>
        <v>0</v>
      </c>
      <c r="AF47">
        <f>ROUND(((EV47*1.15)),6)</f>
        <v>478.86</v>
      </c>
      <c r="AG47">
        <f t="shared" si="34"/>
        <v>0</v>
      </c>
      <c r="AH47">
        <f>((EW47*1.15))</f>
        <v>46</v>
      </c>
      <c r="AI47">
        <f>((EX47*1.25))</f>
        <v>0</v>
      </c>
      <c r="AJ47">
        <f t="shared" si="36"/>
        <v>0</v>
      </c>
      <c r="AK47">
        <v>416.4</v>
      </c>
      <c r="AL47">
        <v>0</v>
      </c>
      <c r="AM47">
        <v>0</v>
      </c>
      <c r="AN47">
        <v>0</v>
      </c>
      <c r="AO47">
        <v>416.4</v>
      </c>
      <c r="AP47">
        <v>0</v>
      </c>
      <c r="AQ47">
        <v>40</v>
      </c>
      <c r="AR47">
        <v>0</v>
      </c>
      <c r="AS47">
        <v>0</v>
      </c>
      <c r="AT47">
        <v>90</v>
      </c>
      <c r="AU47">
        <v>41</v>
      </c>
      <c r="AV47">
        <v>1</v>
      </c>
      <c r="AW47">
        <v>1</v>
      </c>
      <c r="AZ47">
        <v>1</v>
      </c>
      <c r="BA47">
        <v>20.399999999999999</v>
      </c>
      <c r="BB47">
        <v>1</v>
      </c>
      <c r="BC47">
        <v>1</v>
      </c>
      <c r="BD47" t="s">
        <v>3</v>
      </c>
      <c r="BE47" t="s">
        <v>3</v>
      </c>
      <c r="BF47" t="s">
        <v>3</v>
      </c>
      <c r="BG47" t="s">
        <v>3</v>
      </c>
      <c r="BH47">
        <v>0</v>
      </c>
      <c r="BI47">
        <v>1</v>
      </c>
      <c r="BJ47" t="s">
        <v>74</v>
      </c>
      <c r="BM47">
        <v>295</v>
      </c>
      <c r="BN47">
        <v>7156650</v>
      </c>
      <c r="BO47" t="s">
        <v>71</v>
      </c>
      <c r="BP47">
        <v>1</v>
      </c>
      <c r="BQ47">
        <v>30</v>
      </c>
      <c r="BR47">
        <v>0</v>
      </c>
      <c r="BS47">
        <v>20.399999999999999</v>
      </c>
      <c r="BT47">
        <v>1</v>
      </c>
      <c r="BU47">
        <v>1</v>
      </c>
      <c r="BV47">
        <v>1</v>
      </c>
      <c r="BW47">
        <v>1</v>
      </c>
      <c r="BX47">
        <v>1</v>
      </c>
      <c r="BY47" t="s">
        <v>3</v>
      </c>
      <c r="BZ47">
        <v>90</v>
      </c>
      <c r="CA47">
        <v>41</v>
      </c>
      <c r="CF47">
        <v>0</v>
      </c>
      <c r="CG47">
        <v>0</v>
      </c>
      <c r="CM47">
        <v>0</v>
      </c>
      <c r="CN47" t="s">
        <v>3</v>
      </c>
      <c r="CO47">
        <v>0</v>
      </c>
      <c r="CP47">
        <f t="shared" si="37"/>
        <v>1285.57</v>
      </c>
      <c r="CQ47">
        <f t="shared" si="38"/>
        <v>0</v>
      </c>
      <c r="CR47">
        <f t="shared" si="39"/>
        <v>0</v>
      </c>
      <c r="CS47">
        <f t="shared" si="40"/>
        <v>0</v>
      </c>
      <c r="CT47">
        <f t="shared" si="41"/>
        <v>9768.7439999999988</v>
      </c>
      <c r="CU47">
        <f t="shared" si="42"/>
        <v>0</v>
      </c>
      <c r="CV47">
        <f t="shared" si="43"/>
        <v>46</v>
      </c>
      <c r="CW47">
        <f t="shared" si="44"/>
        <v>0</v>
      </c>
      <c r="CX47">
        <f t="shared" si="45"/>
        <v>0</v>
      </c>
      <c r="CY47">
        <f t="shared" si="46"/>
        <v>1157.0129999999999</v>
      </c>
      <c r="CZ47">
        <f t="shared" si="47"/>
        <v>527.08369999999991</v>
      </c>
      <c r="DC47" t="s">
        <v>3</v>
      </c>
      <c r="DD47" t="s">
        <v>3</v>
      </c>
      <c r="DE47" t="s">
        <v>36</v>
      </c>
      <c r="DF47" t="s">
        <v>36</v>
      </c>
      <c r="DG47" t="s">
        <v>37</v>
      </c>
      <c r="DH47" t="s">
        <v>3</v>
      </c>
      <c r="DI47" t="s">
        <v>37</v>
      </c>
      <c r="DJ47" t="s">
        <v>36</v>
      </c>
      <c r="DK47" t="s">
        <v>3</v>
      </c>
      <c r="DL47" t="s">
        <v>3</v>
      </c>
      <c r="DM47" t="s">
        <v>3</v>
      </c>
      <c r="DN47">
        <v>156</v>
      </c>
      <c r="DO47">
        <v>84</v>
      </c>
      <c r="DP47">
        <v>1</v>
      </c>
      <c r="DQ47">
        <v>1</v>
      </c>
      <c r="DU47">
        <v>1005</v>
      </c>
      <c r="DV47" t="s">
        <v>73</v>
      </c>
      <c r="DW47" t="s">
        <v>73</v>
      </c>
      <c r="DX47">
        <v>100</v>
      </c>
      <c r="EE47">
        <v>44846802</v>
      </c>
      <c r="EF47">
        <v>30</v>
      </c>
      <c r="EG47" t="s">
        <v>38</v>
      </c>
      <c r="EH47">
        <v>0</v>
      </c>
      <c r="EI47" t="s">
        <v>3</v>
      </c>
      <c r="EJ47">
        <v>1</v>
      </c>
      <c r="EK47">
        <v>295</v>
      </c>
      <c r="EL47" t="s">
        <v>75</v>
      </c>
      <c r="EM47" t="s">
        <v>76</v>
      </c>
      <c r="EO47" t="s">
        <v>3</v>
      </c>
      <c r="EQ47">
        <v>131072</v>
      </c>
      <c r="ER47">
        <v>416.4</v>
      </c>
      <c r="ES47">
        <v>0</v>
      </c>
      <c r="ET47">
        <v>0</v>
      </c>
      <c r="EU47">
        <v>0</v>
      </c>
      <c r="EV47">
        <v>416.4</v>
      </c>
      <c r="EW47">
        <v>40</v>
      </c>
      <c r="EX47">
        <v>0</v>
      </c>
      <c r="EY47">
        <v>0</v>
      </c>
      <c r="FQ47">
        <v>0</v>
      </c>
      <c r="FR47">
        <f t="shared" si="48"/>
        <v>0</v>
      </c>
      <c r="FS47">
        <v>0</v>
      </c>
      <c r="FX47">
        <v>156</v>
      </c>
      <c r="FY47">
        <v>84</v>
      </c>
      <c r="GA47" t="s">
        <v>3</v>
      </c>
      <c r="GD47">
        <v>0</v>
      </c>
      <c r="GF47">
        <v>-40892003</v>
      </c>
      <c r="GG47">
        <v>2</v>
      </c>
      <c r="GH47">
        <v>1</v>
      </c>
      <c r="GI47">
        <v>3</v>
      </c>
      <c r="GJ47">
        <v>0</v>
      </c>
      <c r="GK47">
        <f>ROUND(R47*(S12)/100,2)</f>
        <v>0</v>
      </c>
      <c r="GL47">
        <f t="shared" si="49"/>
        <v>0</v>
      </c>
      <c r="GM47">
        <f t="shared" si="50"/>
        <v>2969.66</v>
      </c>
      <c r="GN47">
        <f t="shared" si="51"/>
        <v>2969.66</v>
      </c>
      <c r="GO47">
        <f t="shared" si="52"/>
        <v>0</v>
      </c>
      <c r="GP47">
        <f t="shared" si="53"/>
        <v>0</v>
      </c>
      <c r="GR47">
        <v>0</v>
      </c>
      <c r="GS47">
        <v>3</v>
      </c>
      <c r="GT47">
        <v>0</v>
      </c>
      <c r="GU47" t="s">
        <v>3</v>
      </c>
      <c r="GV47">
        <f t="shared" si="54"/>
        <v>0</v>
      </c>
      <c r="GW47">
        <v>1</v>
      </c>
      <c r="GX47">
        <f t="shared" si="55"/>
        <v>0</v>
      </c>
      <c r="HA47">
        <v>0</v>
      </c>
      <c r="HB47">
        <v>0</v>
      </c>
      <c r="IK47">
        <v>0</v>
      </c>
    </row>
    <row r="48" spans="1:255" x14ac:dyDescent="0.2">
      <c r="A48" s="2">
        <v>18</v>
      </c>
      <c r="B48" s="2">
        <v>1</v>
      </c>
      <c r="C48" s="2">
        <v>52</v>
      </c>
      <c r="D48" s="2"/>
      <c r="E48" s="2" t="s">
        <v>77</v>
      </c>
      <c r="F48" s="2" t="s">
        <v>78</v>
      </c>
      <c r="G48" s="2" t="s">
        <v>79</v>
      </c>
      <c r="H48" s="2" t="s">
        <v>80</v>
      </c>
      <c r="I48" s="2">
        <f>I46*J48</f>
        <v>1.974</v>
      </c>
      <c r="J48" s="2">
        <v>15</v>
      </c>
      <c r="K48" s="2"/>
      <c r="L48" s="2"/>
      <c r="M48" s="2"/>
      <c r="N48" s="2"/>
      <c r="O48" s="2">
        <f t="shared" si="21"/>
        <v>289.86</v>
      </c>
      <c r="P48" s="2">
        <f t="shared" si="22"/>
        <v>289.86</v>
      </c>
      <c r="Q48" s="2">
        <f t="shared" si="23"/>
        <v>0</v>
      </c>
      <c r="R48" s="2">
        <f t="shared" si="24"/>
        <v>0</v>
      </c>
      <c r="S48" s="2">
        <f t="shared" si="25"/>
        <v>0</v>
      </c>
      <c r="T48" s="2">
        <f t="shared" si="26"/>
        <v>0</v>
      </c>
      <c r="U48" s="2">
        <f t="shared" si="27"/>
        <v>0</v>
      </c>
      <c r="V48" s="2">
        <f t="shared" si="28"/>
        <v>0</v>
      </c>
      <c r="W48" s="2">
        <f t="shared" si="29"/>
        <v>0</v>
      </c>
      <c r="X48" s="2">
        <f t="shared" si="30"/>
        <v>0</v>
      </c>
      <c r="Y48" s="2">
        <f t="shared" si="31"/>
        <v>0</v>
      </c>
      <c r="Z48" s="2"/>
      <c r="AA48" s="2">
        <v>45037306</v>
      </c>
      <c r="AB48" s="2">
        <f t="shared" si="32"/>
        <v>146.84</v>
      </c>
      <c r="AC48" s="2">
        <f t="shared" si="61"/>
        <v>146.84</v>
      </c>
      <c r="AD48" s="2">
        <f t="shared" ref="AD48:AF49" si="62">ROUND((ET48),6)</f>
        <v>0</v>
      </c>
      <c r="AE48" s="2">
        <f t="shared" si="62"/>
        <v>0</v>
      </c>
      <c r="AF48" s="2">
        <f t="shared" si="62"/>
        <v>0</v>
      </c>
      <c r="AG48" s="2">
        <f t="shared" si="34"/>
        <v>0</v>
      </c>
      <c r="AH48" s="2">
        <f>(EW48)</f>
        <v>0</v>
      </c>
      <c r="AI48" s="2">
        <f>(EX48)</f>
        <v>0</v>
      </c>
      <c r="AJ48" s="2">
        <f t="shared" si="36"/>
        <v>0</v>
      </c>
      <c r="AK48" s="2">
        <v>146.84</v>
      </c>
      <c r="AL48" s="2">
        <v>146.84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 s="2">
        <v>0</v>
      </c>
      <c r="AT48" s="2">
        <v>0</v>
      </c>
      <c r="AU48" s="2">
        <v>0</v>
      </c>
      <c r="AV48" s="2">
        <v>1</v>
      </c>
      <c r="AW48" s="2">
        <v>1</v>
      </c>
      <c r="AX48" s="2"/>
      <c r="AY48" s="2"/>
      <c r="AZ48" s="2">
        <v>1</v>
      </c>
      <c r="BA48" s="2">
        <v>1</v>
      </c>
      <c r="BB48" s="2">
        <v>1</v>
      </c>
      <c r="BC48" s="2">
        <v>1</v>
      </c>
      <c r="BD48" s="2" t="s">
        <v>3</v>
      </c>
      <c r="BE48" s="2" t="s">
        <v>3</v>
      </c>
      <c r="BF48" s="2" t="s">
        <v>3</v>
      </c>
      <c r="BG48" s="2" t="s">
        <v>3</v>
      </c>
      <c r="BH48" s="2">
        <v>3</v>
      </c>
      <c r="BI48" s="2">
        <v>1</v>
      </c>
      <c r="BJ48" s="2" t="s">
        <v>81</v>
      </c>
      <c r="BK48" s="2"/>
      <c r="BL48" s="2"/>
      <c r="BM48" s="2">
        <v>295</v>
      </c>
      <c r="BN48" s="2">
        <v>7156650</v>
      </c>
      <c r="BO48" s="2" t="s">
        <v>3</v>
      </c>
      <c r="BP48" s="2">
        <v>0</v>
      </c>
      <c r="BQ48" s="2">
        <v>30</v>
      </c>
      <c r="BR48" s="2">
        <v>0</v>
      </c>
      <c r="BS48" s="2">
        <v>1</v>
      </c>
      <c r="BT48" s="2">
        <v>1</v>
      </c>
      <c r="BU48" s="2">
        <v>1</v>
      </c>
      <c r="BV48" s="2">
        <v>1</v>
      </c>
      <c r="BW48" s="2">
        <v>1</v>
      </c>
      <c r="BX48" s="2">
        <v>1</v>
      </c>
      <c r="BY48" s="2" t="s">
        <v>3</v>
      </c>
      <c r="BZ48" s="2">
        <v>0</v>
      </c>
      <c r="CA48" s="2">
        <v>0</v>
      </c>
      <c r="CB48" s="2"/>
      <c r="CC48" s="2"/>
      <c r="CD48" s="2"/>
      <c r="CE48" s="2"/>
      <c r="CF48" s="2">
        <v>0</v>
      </c>
      <c r="CG48" s="2">
        <v>0</v>
      </c>
      <c r="CH48" s="2"/>
      <c r="CI48" s="2"/>
      <c r="CJ48" s="2"/>
      <c r="CK48" s="2"/>
      <c r="CL48" s="2"/>
      <c r="CM48" s="2">
        <v>0</v>
      </c>
      <c r="CN48" s="2" t="s">
        <v>3</v>
      </c>
      <c r="CO48" s="2">
        <v>0</v>
      </c>
      <c r="CP48" s="2">
        <f t="shared" si="37"/>
        <v>289.86</v>
      </c>
      <c r="CQ48" s="2">
        <f t="shared" si="38"/>
        <v>146.84</v>
      </c>
      <c r="CR48" s="2">
        <f t="shared" si="39"/>
        <v>0</v>
      </c>
      <c r="CS48" s="2">
        <f t="shared" si="40"/>
        <v>0</v>
      </c>
      <c r="CT48" s="2">
        <f t="shared" si="41"/>
        <v>0</v>
      </c>
      <c r="CU48" s="2">
        <f t="shared" si="42"/>
        <v>0</v>
      </c>
      <c r="CV48" s="2">
        <f t="shared" si="43"/>
        <v>0</v>
      </c>
      <c r="CW48" s="2">
        <f t="shared" si="44"/>
        <v>0</v>
      </c>
      <c r="CX48" s="2">
        <f t="shared" si="45"/>
        <v>0</v>
      </c>
      <c r="CY48" s="2">
        <f t="shared" si="46"/>
        <v>0</v>
      </c>
      <c r="CZ48" s="2">
        <f t="shared" si="47"/>
        <v>0</v>
      </c>
      <c r="DA48" s="2"/>
      <c r="DB48" s="2"/>
      <c r="DC48" s="2" t="s">
        <v>3</v>
      </c>
      <c r="DD48" s="2" t="s">
        <v>3</v>
      </c>
      <c r="DE48" s="2" t="s">
        <v>3</v>
      </c>
      <c r="DF48" s="2" t="s">
        <v>3</v>
      </c>
      <c r="DG48" s="2" t="s">
        <v>3</v>
      </c>
      <c r="DH48" s="2" t="s">
        <v>3</v>
      </c>
      <c r="DI48" s="2" t="s">
        <v>3</v>
      </c>
      <c r="DJ48" s="2" t="s">
        <v>3</v>
      </c>
      <c r="DK48" s="2" t="s">
        <v>3</v>
      </c>
      <c r="DL48" s="2" t="s">
        <v>3</v>
      </c>
      <c r="DM48" s="2" t="s">
        <v>3</v>
      </c>
      <c r="DN48" s="2">
        <v>156</v>
      </c>
      <c r="DO48" s="2">
        <v>84</v>
      </c>
      <c r="DP48" s="2">
        <v>1</v>
      </c>
      <c r="DQ48" s="2">
        <v>1</v>
      </c>
      <c r="DR48" s="2"/>
      <c r="DS48" s="2"/>
      <c r="DT48" s="2"/>
      <c r="DU48" s="2">
        <v>1007</v>
      </c>
      <c r="DV48" s="2" t="s">
        <v>80</v>
      </c>
      <c r="DW48" s="2" t="s">
        <v>80</v>
      </c>
      <c r="DX48" s="2">
        <v>1</v>
      </c>
      <c r="DY48" s="2"/>
      <c r="DZ48" s="2"/>
      <c r="EA48" s="2"/>
      <c r="EB48" s="2"/>
      <c r="EC48" s="2"/>
      <c r="ED48" s="2"/>
      <c r="EE48" s="2">
        <v>44846802</v>
      </c>
      <c r="EF48" s="2">
        <v>30</v>
      </c>
      <c r="EG48" s="2" t="s">
        <v>38</v>
      </c>
      <c r="EH48" s="2">
        <v>0</v>
      </c>
      <c r="EI48" s="2" t="s">
        <v>3</v>
      </c>
      <c r="EJ48" s="2">
        <v>1</v>
      </c>
      <c r="EK48" s="2">
        <v>295</v>
      </c>
      <c r="EL48" s="2" t="s">
        <v>75</v>
      </c>
      <c r="EM48" s="2" t="s">
        <v>76</v>
      </c>
      <c r="EN48" s="2"/>
      <c r="EO48" s="2" t="s">
        <v>3</v>
      </c>
      <c r="EP48" s="2"/>
      <c r="EQ48" s="2">
        <v>0</v>
      </c>
      <c r="ER48" s="2">
        <v>146.84</v>
      </c>
      <c r="ES48" s="2">
        <v>146.84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>
        <v>0</v>
      </c>
      <c r="FR48" s="2">
        <f t="shared" si="48"/>
        <v>0</v>
      </c>
      <c r="FS48" s="2">
        <v>0</v>
      </c>
      <c r="FT48" s="2"/>
      <c r="FU48" s="2"/>
      <c r="FV48" s="2"/>
      <c r="FW48" s="2"/>
      <c r="FX48" s="2">
        <v>156</v>
      </c>
      <c r="FY48" s="2">
        <v>84</v>
      </c>
      <c r="FZ48" s="2"/>
      <c r="GA48" s="2" t="s">
        <v>3</v>
      </c>
      <c r="GB48" s="2"/>
      <c r="GC48" s="2"/>
      <c r="GD48" s="2">
        <v>0</v>
      </c>
      <c r="GE48" s="2"/>
      <c r="GF48" s="2">
        <v>92320855</v>
      </c>
      <c r="GG48" s="2">
        <v>2</v>
      </c>
      <c r="GH48" s="2">
        <v>1</v>
      </c>
      <c r="GI48" s="2">
        <v>3</v>
      </c>
      <c r="GJ48" s="2">
        <v>0</v>
      </c>
      <c r="GK48" s="2">
        <f>ROUND(R48*(R12)/100,2)</f>
        <v>0</v>
      </c>
      <c r="GL48" s="2">
        <f t="shared" si="49"/>
        <v>0</v>
      </c>
      <c r="GM48" s="2">
        <f t="shared" si="50"/>
        <v>289.86</v>
      </c>
      <c r="GN48" s="2">
        <f t="shared" si="51"/>
        <v>289.86</v>
      </c>
      <c r="GO48" s="2">
        <f t="shared" si="52"/>
        <v>0</v>
      </c>
      <c r="GP48" s="2">
        <f t="shared" si="53"/>
        <v>0</v>
      </c>
      <c r="GQ48" s="2"/>
      <c r="GR48" s="2">
        <v>0</v>
      </c>
      <c r="GS48" s="2">
        <v>3</v>
      </c>
      <c r="GT48" s="2">
        <v>0</v>
      </c>
      <c r="GU48" s="2" t="s">
        <v>3</v>
      </c>
      <c r="GV48" s="2">
        <f t="shared" si="54"/>
        <v>0</v>
      </c>
      <c r="GW48" s="2">
        <v>1</v>
      </c>
      <c r="GX48" s="2">
        <f t="shared" si="55"/>
        <v>0</v>
      </c>
      <c r="GY48" s="2"/>
      <c r="GZ48" s="2"/>
      <c r="HA48" s="2">
        <v>0</v>
      </c>
      <c r="HB48" s="2">
        <v>0</v>
      </c>
      <c r="HC48" s="2"/>
      <c r="HD48" s="2"/>
      <c r="HE48" s="2"/>
      <c r="HF48" s="2"/>
      <c r="HG48" s="2"/>
      <c r="HH48" s="2"/>
      <c r="HI48" s="2"/>
      <c r="HJ48" s="2"/>
      <c r="HK48" s="2"/>
      <c r="HL48" s="2"/>
      <c r="HM48" s="2"/>
      <c r="HN48" s="2"/>
      <c r="HO48" s="2"/>
      <c r="HP48" s="2"/>
      <c r="HQ48" s="2"/>
      <c r="HR48" s="2"/>
      <c r="HS48" s="2"/>
      <c r="HT48" s="2"/>
      <c r="HU48" s="2"/>
      <c r="HV48" s="2"/>
      <c r="HW48" s="2"/>
      <c r="HX48" s="2"/>
      <c r="HY48" s="2"/>
      <c r="HZ48" s="2"/>
      <c r="IA48" s="2"/>
      <c r="IB48" s="2"/>
      <c r="IC48" s="2"/>
      <c r="ID48" s="2"/>
      <c r="IE48" s="2"/>
      <c r="IF48" s="2"/>
      <c r="IG48" s="2"/>
      <c r="IH48" s="2"/>
      <c r="II48" s="2"/>
      <c r="IJ48" s="2"/>
      <c r="IK48" s="2">
        <v>0</v>
      </c>
      <c r="IL48" s="2"/>
      <c r="IM48" s="2"/>
      <c r="IN48" s="2"/>
      <c r="IO48" s="2"/>
      <c r="IP48" s="2"/>
      <c r="IQ48" s="2"/>
      <c r="IR48" s="2"/>
      <c r="IS48" s="2"/>
      <c r="IT48" s="2"/>
      <c r="IU48" s="2"/>
    </row>
    <row r="49" spans="1:255" x14ac:dyDescent="0.2">
      <c r="A49">
        <v>18</v>
      </c>
      <c r="B49">
        <v>1</v>
      </c>
      <c r="C49">
        <v>54</v>
      </c>
      <c r="E49" t="s">
        <v>77</v>
      </c>
      <c r="F49" t="s">
        <v>78</v>
      </c>
      <c r="G49" t="s">
        <v>79</v>
      </c>
      <c r="H49" t="s">
        <v>80</v>
      </c>
      <c r="I49">
        <f>I47*J49</f>
        <v>1.974</v>
      </c>
      <c r="J49">
        <v>15</v>
      </c>
      <c r="O49">
        <f t="shared" si="21"/>
        <v>1347.86</v>
      </c>
      <c r="P49">
        <f t="shared" si="22"/>
        <v>1347.86</v>
      </c>
      <c r="Q49">
        <f t="shared" si="23"/>
        <v>0</v>
      </c>
      <c r="R49">
        <f t="shared" si="24"/>
        <v>0</v>
      </c>
      <c r="S49">
        <f t="shared" si="25"/>
        <v>0</v>
      </c>
      <c r="T49">
        <f t="shared" si="26"/>
        <v>0</v>
      </c>
      <c r="U49">
        <f t="shared" si="27"/>
        <v>0</v>
      </c>
      <c r="V49">
        <f t="shared" si="28"/>
        <v>0</v>
      </c>
      <c r="W49">
        <f t="shared" si="29"/>
        <v>0</v>
      </c>
      <c r="X49">
        <f t="shared" si="30"/>
        <v>0</v>
      </c>
      <c r="Y49">
        <f t="shared" si="31"/>
        <v>0</v>
      </c>
      <c r="AA49">
        <v>45037307</v>
      </c>
      <c r="AB49">
        <f t="shared" si="32"/>
        <v>146.84</v>
      </c>
      <c r="AC49">
        <f t="shared" si="61"/>
        <v>146.84</v>
      </c>
      <c r="AD49">
        <f t="shared" si="62"/>
        <v>0</v>
      </c>
      <c r="AE49">
        <f t="shared" si="62"/>
        <v>0</v>
      </c>
      <c r="AF49">
        <f t="shared" si="62"/>
        <v>0</v>
      </c>
      <c r="AG49">
        <f t="shared" si="34"/>
        <v>0</v>
      </c>
      <c r="AH49">
        <f>(EW49)</f>
        <v>0</v>
      </c>
      <c r="AI49">
        <f>(EX49)</f>
        <v>0</v>
      </c>
      <c r="AJ49">
        <f t="shared" si="36"/>
        <v>0</v>
      </c>
      <c r="AK49">
        <v>146.84</v>
      </c>
      <c r="AL49">
        <v>146.84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1</v>
      </c>
      <c r="AW49">
        <v>1</v>
      </c>
      <c r="AZ49">
        <v>1</v>
      </c>
      <c r="BA49">
        <v>1</v>
      </c>
      <c r="BB49">
        <v>1</v>
      </c>
      <c r="BC49">
        <v>4.6500000000000004</v>
      </c>
      <c r="BD49" t="s">
        <v>3</v>
      </c>
      <c r="BE49" t="s">
        <v>3</v>
      </c>
      <c r="BF49" t="s">
        <v>3</v>
      </c>
      <c r="BG49" t="s">
        <v>3</v>
      </c>
      <c r="BH49">
        <v>3</v>
      </c>
      <c r="BI49">
        <v>1</v>
      </c>
      <c r="BJ49" t="s">
        <v>81</v>
      </c>
      <c r="BM49">
        <v>295</v>
      </c>
      <c r="BN49">
        <v>7156650</v>
      </c>
      <c r="BO49" t="s">
        <v>78</v>
      </c>
      <c r="BP49">
        <v>1</v>
      </c>
      <c r="BQ49">
        <v>30</v>
      </c>
      <c r="BR49">
        <v>0</v>
      </c>
      <c r="BS49">
        <v>1</v>
      </c>
      <c r="BT49">
        <v>1</v>
      </c>
      <c r="BU49">
        <v>1</v>
      </c>
      <c r="BV49">
        <v>1</v>
      </c>
      <c r="BW49">
        <v>1</v>
      </c>
      <c r="BX49">
        <v>1</v>
      </c>
      <c r="BY49" t="s">
        <v>3</v>
      </c>
      <c r="BZ49">
        <v>0</v>
      </c>
      <c r="CA49">
        <v>0</v>
      </c>
      <c r="CF49">
        <v>0</v>
      </c>
      <c r="CG49">
        <v>0</v>
      </c>
      <c r="CM49">
        <v>0</v>
      </c>
      <c r="CN49" t="s">
        <v>3</v>
      </c>
      <c r="CO49">
        <v>0</v>
      </c>
      <c r="CP49">
        <f t="shared" si="37"/>
        <v>1347.86</v>
      </c>
      <c r="CQ49">
        <f t="shared" si="38"/>
        <v>682.80600000000004</v>
      </c>
      <c r="CR49">
        <f t="shared" si="39"/>
        <v>0</v>
      </c>
      <c r="CS49">
        <f t="shared" si="40"/>
        <v>0</v>
      </c>
      <c r="CT49">
        <f t="shared" si="41"/>
        <v>0</v>
      </c>
      <c r="CU49">
        <f t="shared" si="42"/>
        <v>0</v>
      </c>
      <c r="CV49">
        <f t="shared" si="43"/>
        <v>0</v>
      </c>
      <c r="CW49">
        <f t="shared" si="44"/>
        <v>0</v>
      </c>
      <c r="CX49">
        <f t="shared" si="45"/>
        <v>0</v>
      </c>
      <c r="CY49">
        <f t="shared" si="46"/>
        <v>0</v>
      </c>
      <c r="CZ49">
        <f t="shared" si="47"/>
        <v>0</v>
      </c>
      <c r="DC49" t="s">
        <v>3</v>
      </c>
      <c r="DD49" t="s">
        <v>3</v>
      </c>
      <c r="DE49" t="s">
        <v>3</v>
      </c>
      <c r="DF49" t="s">
        <v>3</v>
      </c>
      <c r="DG49" t="s">
        <v>3</v>
      </c>
      <c r="DH49" t="s">
        <v>3</v>
      </c>
      <c r="DI49" t="s">
        <v>3</v>
      </c>
      <c r="DJ49" t="s">
        <v>3</v>
      </c>
      <c r="DK49" t="s">
        <v>3</v>
      </c>
      <c r="DL49" t="s">
        <v>3</v>
      </c>
      <c r="DM49" t="s">
        <v>3</v>
      </c>
      <c r="DN49">
        <v>156</v>
      </c>
      <c r="DO49">
        <v>84</v>
      </c>
      <c r="DP49">
        <v>1</v>
      </c>
      <c r="DQ49">
        <v>1</v>
      </c>
      <c r="DU49">
        <v>1007</v>
      </c>
      <c r="DV49" t="s">
        <v>80</v>
      </c>
      <c r="DW49" t="s">
        <v>80</v>
      </c>
      <c r="DX49">
        <v>1</v>
      </c>
      <c r="EE49">
        <v>44846802</v>
      </c>
      <c r="EF49">
        <v>30</v>
      </c>
      <c r="EG49" t="s">
        <v>38</v>
      </c>
      <c r="EH49">
        <v>0</v>
      </c>
      <c r="EI49" t="s">
        <v>3</v>
      </c>
      <c r="EJ49">
        <v>1</v>
      </c>
      <c r="EK49">
        <v>295</v>
      </c>
      <c r="EL49" t="s">
        <v>75</v>
      </c>
      <c r="EM49" t="s">
        <v>76</v>
      </c>
      <c r="EO49" t="s">
        <v>3</v>
      </c>
      <c r="EQ49">
        <v>0</v>
      </c>
      <c r="ER49">
        <v>146.84</v>
      </c>
      <c r="ES49">
        <v>146.84</v>
      </c>
      <c r="ET49">
        <v>0</v>
      </c>
      <c r="EU49">
        <v>0</v>
      </c>
      <c r="EV49">
        <v>0</v>
      </c>
      <c r="EW49">
        <v>0</v>
      </c>
      <c r="EX49">
        <v>0</v>
      </c>
      <c r="FQ49">
        <v>0</v>
      </c>
      <c r="FR49">
        <f t="shared" si="48"/>
        <v>0</v>
      </c>
      <c r="FS49">
        <v>0</v>
      </c>
      <c r="FX49">
        <v>156</v>
      </c>
      <c r="FY49">
        <v>84</v>
      </c>
      <c r="GA49" t="s">
        <v>3</v>
      </c>
      <c r="GD49">
        <v>0</v>
      </c>
      <c r="GF49">
        <v>92320855</v>
      </c>
      <c r="GG49">
        <v>2</v>
      </c>
      <c r="GH49">
        <v>1</v>
      </c>
      <c r="GI49">
        <v>3</v>
      </c>
      <c r="GJ49">
        <v>0</v>
      </c>
      <c r="GK49">
        <f>ROUND(R49*(S12)/100,2)</f>
        <v>0</v>
      </c>
      <c r="GL49">
        <f t="shared" si="49"/>
        <v>0</v>
      </c>
      <c r="GM49">
        <f t="shared" si="50"/>
        <v>1347.86</v>
      </c>
      <c r="GN49">
        <f t="shared" si="51"/>
        <v>1347.86</v>
      </c>
      <c r="GO49">
        <f t="shared" si="52"/>
        <v>0</v>
      </c>
      <c r="GP49">
        <f t="shared" si="53"/>
        <v>0</v>
      </c>
      <c r="GR49">
        <v>0</v>
      </c>
      <c r="GS49">
        <v>3</v>
      </c>
      <c r="GT49">
        <v>0</v>
      </c>
      <c r="GU49" t="s">
        <v>3</v>
      </c>
      <c r="GV49">
        <f t="shared" si="54"/>
        <v>0</v>
      </c>
      <c r="GW49">
        <v>1</v>
      </c>
      <c r="GX49">
        <f t="shared" si="55"/>
        <v>0</v>
      </c>
      <c r="HA49">
        <v>0</v>
      </c>
      <c r="HB49">
        <v>0</v>
      </c>
      <c r="IK49">
        <v>0</v>
      </c>
    </row>
    <row r="50" spans="1:255" x14ac:dyDescent="0.2">
      <c r="A50" s="2">
        <v>17</v>
      </c>
      <c r="B50" s="2">
        <v>1</v>
      </c>
      <c r="C50" s="2">
        <f>ROW(SmtRes!A57)</f>
        <v>57</v>
      </c>
      <c r="D50" s="2">
        <f>ROW(EtalonRes!A55)</f>
        <v>55</v>
      </c>
      <c r="E50" s="2" t="s">
        <v>82</v>
      </c>
      <c r="F50" s="2" t="s">
        <v>83</v>
      </c>
      <c r="G50" s="2" t="s">
        <v>84</v>
      </c>
      <c r="H50" s="2" t="s">
        <v>73</v>
      </c>
      <c r="I50" s="2">
        <f>ROUND(13.16/100,9)</f>
        <v>0.13159999999999999</v>
      </c>
      <c r="J50" s="2">
        <v>0</v>
      </c>
      <c r="K50" s="2"/>
      <c r="L50" s="2"/>
      <c r="M50" s="2"/>
      <c r="N50" s="2"/>
      <c r="O50" s="2">
        <f t="shared" si="21"/>
        <v>18.18</v>
      </c>
      <c r="P50" s="2">
        <f t="shared" si="22"/>
        <v>9.3000000000000007</v>
      </c>
      <c r="Q50" s="2">
        <f t="shared" si="23"/>
        <v>0</v>
      </c>
      <c r="R50" s="2">
        <f t="shared" si="24"/>
        <v>0</v>
      </c>
      <c r="S50" s="2">
        <f t="shared" si="25"/>
        <v>8.8800000000000008</v>
      </c>
      <c r="T50" s="2">
        <f t="shared" si="26"/>
        <v>0</v>
      </c>
      <c r="U50" s="2">
        <f t="shared" si="27"/>
        <v>0.79453499999999988</v>
      </c>
      <c r="V50" s="2">
        <f t="shared" si="28"/>
        <v>0</v>
      </c>
      <c r="W50" s="2">
        <f t="shared" si="29"/>
        <v>0</v>
      </c>
      <c r="X50" s="2">
        <f t="shared" si="30"/>
        <v>0</v>
      </c>
      <c r="Y50" s="2">
        <f t="shared" si="31"/>
        <v>0</v>
      </c>
      <c r="Z50" s="2"/>
      <c r="AA50" s="2">
        <v>45037306</v>
      </c>
      <c r="AB50" s="2">
        <f t="shared" si="32"/>
        <v>138.20500000000001</v>
      </c>
      <c r="AC50" s="2">
        <f t="shared" si="61"/>
        <v>70.7</v>
      </c>
      <c r="AD50" s="2">
        <f>ROUND(((ET50*1.25)),6)</f>
        <v>0</v>
      </c>
      <c r="AE50" s="2">
        <f>ROUND(((EU50*1.25)),6)</f>
        <v>0</v>
      </c>
      <c r="AF50" s="2">
        <f>ROUND(((EV50*1.15)),6)</f>
        <v>67.504999999999995</v>
      </c>
      <c r="AG50" s="2">
        <f t="shared" si="34"/>
        <v>0</v>
      </c>
      <c r="AH50" s="2">
        <f>((EW50*1.15))</f>
        <v>6.0374999999999996</v>
      </c>
      <c r="AI50" s="2">
        <f>((EX50*1.25))</f>
        <v>0</v>
      </c>
      <c r="AJ50" s="2">
        <f t="shared" si="36"/>
        <v>0</v>
      </c>
      <c r="AK50" s="2">
        <v>129.4</v>
      </c>
      <c r="AL50" s="2">
        <v>70.7</v>
      </c>
      <c r="AM50" s="2">
        <v>0</v>
      </c>
      <c r="AN50" s="2">
        <v>0</v>
      </c>
      <c r="AO50" s="2">
        <v>58.7</v>
      </c>
      <c r="AP50" s="2">
        <v>0</v>
      </c>
      <c r="AQ50" s="2">
        <v>5.25</v>
      </c>
      <c r="AR50" s="2">
        <v>0</v>
      </c>
      <c r="AS50" s="2">
        <v>0</v>
      </c>
      <c r="AT50" s="2">
        <v>0</v>
      </c>
      <c r="AU50" s="2">
        <v>0</v>
      </c>
      <c r="AV50" s="2">
        <v>1</v>
      </c>
      <c r="AW50" s="2">
        <v>1</v>
      </c>
      <c r="AX50" s="2"/>
      <c r="AY50" s="2"/>
      <c r="AZ50" s="2">
        <v>1</v>
      </c>
      <c r="BA50" s="2">
        <v>1</v>
      </c>
      <c r="BB50" s="2">
        <v>1</v>
      </c>
      <c r="BC50" s="2">
        <v>1</v>
      </c>
      <c r="BD50" s="2" t="s">
        <v>3</v>
      </c>
      <c r="BE50" s="2" t="s">
        <v>3</v>
      </c>
      <c r="BF50" s="2" t="s">
        <v>3</v>
      </c>
      <c r="BG50" s="2" t="s">
        <v>3</v>
      </c>
      <c r="BH50" s="2">
        <v>0</v>
      </c>
      <c r="BI50" s="2">
        <v>1</v>
      </c>
      <c r="BJ50" s="2" t="s">
        <v>85</v>
      </c>
      <c r="BK50" s="2"/>
      <c r="BL50" s="2"/>
      <c r="BM50" s="2">
        <v>295</v>
      </c>
      <c r="BN50" s="2">
        <v>7156650</v>
      </c>
      <c r="BO50" s="2" t="s">
        <v>3</v>
      </c>
      <c r="BP50" s="2">
        <v>0</v>
      </c>
      <c r="BQ50" s="2">
        <v>30</v>
      </c>
      <c r="BR50" s="2">
        <v>0</v>
      </c>
      <c r="BS50" s="2">
        <v>1</v>
      </c>
      <c r="BT50" s="2">
        <v>1</v>
      </c>
      <c r="BU50" s="2">
        <v>1</v>
      </c>
      <c r="BV50" s="2">
        <v>1</v>
      </c>
      <c r="BW50" s="2">
        <v>1</v>
      </c>
      <c r="BX50" s="2">
        <v>1</v>
      </c>
      <c r="BY50" s="2" t="s">
        <v>3</v>
      </c>
      <c r="BZ50" s="2">
        <v>0</v>
      </c>
      <c r="CA50" s="2">
        <v>0</v>
      </c>
      <c r="CB50" s="2"/>
      <c r="CC50" s="2"/>
      <c r="CD50" s="2"/>
      <c r="CE50" s="2"/>
      <c r="CF50" s="2">
        <v>0</v>
      </c>
      <c r="CG50" s="2">
        <v>0</v>
      </c>
      <c r="CH50" s="2"/>
      <c r="CI50" s="2"/>
      <c r="CJ50" s="2"/>
      <c r="CK50" s="2"/>
      <c r="CL50" s="2"/>
      <c r="CM50" s="2">
        <v>0</v>
      </c>
      <c r="CN50" s="2" t="s">
        <v>3</v>
      </c>
      <c r="CO50" s="2">
        <v>0</v>
      </c>
      <c r="CP50" s="2">
        <f t="shared" si="37"/>
        <v>18.18</v>
      </c>
      <c r="CQ50" s="2">
        <f t="shared" si="38"/>
        <v>70.7</v>
      </c>
      <c r="CR50" s="2">
        <f t="shared" si="39"/>
        <v>0</v>
      </c>
      <c r="CS50" s="2">
        <f t="shared" si="40"/>
        <v>0</v>
      </c>
      <c r="CT50" s="2">
        <f t="shared" si="41"/>
        <v>67.504999999999995</v>
      </c>
      <c r="CU50" s="2">
        <f t="shared" si="42"/>
        <v>0</v>
      </c>
      <c r="CV50" s="2">
        <f t="shared" si="43"/>
        <v>6.0374999999999996</v>
      </c>
      <c r="CW50" s="2">
        <f t="shared" si="44"/>
        <v>0</v>
      </c>
      <c r="CX50" s="2">
        <f t="shared" si="45"/>
        <v>0</v>
      </c>
      <c r="CY50" s="2">
        <f t="shared" si="46"/>
        <v>0</v>
      </c>
      <c r="CZ50" s="2">
        <f t="shared" si="47"/>
        <v>0</v>
      </c>
      <c r="DA50" s="2"/>
      <c r="DB50" s="2"/>
      <c r="DC50" s="2" t="s">
        <v>3</v>
      </c>
      <c r="DD50" s="2" t="s">
        <v>3</v>
      </c>
      <c r="DE50" s="2" t="s">
        <v>36</v>
      </c>
      <c r="DF50" s="2" t="s">
        <v>36</v>
      </c>
      <c r="DG50" s="2" t="s">
        <v>37</v>
      </c>
      <c r="DH50" s="2" t="s">
        <v>3</v>
      </c>
      <c r="DI50" s="2" t="s">
        <v>37</v>
      </c>
      <c r="DJ50" s="2" t="s">
        <v>36</v>
      </c>
      <c r="DK50" s="2" t="s">
        <v>3</v>
      </c>
      <c r="DL50" s="2" t="s">
        <v>3</v>
      </c>
      <c r="DM50" s="2" t="s">
        <v>3</v>
      </c>
      <c r="DN50" s="2">
        <v>156</v>
      </c>
      <c r="DO50" s="2">
        <v>84</v>
      </c>
      <c r="DP50" s="2">
        <v>1</v>
      </c>
      <c r="DQ50" s="2">
        <v>1</v>
      </c>
      <c r="DR50" s="2"/>
      <c r="DS50" s="2"/>
      <c r="DT50" s="2"/>
      <c r="DU50" s="2">
        <v>1005</v>
      </c>
      <c r="DV50" s="2" t="s">
        <v>73</v>
      </c>
      <c r="DW50" s="2" t="s">
        <v>73</v>
      </c>
      <c r="DX50" s="2">
        <v>100</v>
      </c>
      <c r="DY50" s="2"/>
      <c r="DZ50" s="2"/>
      <c r="EA50" s="2"/>
      <c r="EB50" s="2"/>
      <c r="EC50" s="2"/>
      <c r="ED50" s="2"/>
      <c r="EE50" s="2">
        <v>44846802</v>
      </c>
      <c r="EF50" s="2">
        <v>30</v>
      </c>
      <c r="EG50" s="2" t="s">
        <v>38</v>
      </c>
      <c r="EH50" s="2">
        <v>0</v>
      </c>
      <c r="EI50" s="2" t="s">
        <v>3</v>
      </c>
      <c r="EJ50" s="2">
        <v>1</v>
      </c>
      <c r="EK50" s="2">
        <v>295</v>
      </c>
      <c r="EL50" s="2" t="s">
        <v>75</v>
      </c>
      <c r="EM50" s="2" t="s">
        <v>76</v>
      </c>
      <c r="EN50" s="2"/>
      <c r="EO50" s="2" t="s">
        <v>3</v>
      </c>
      <c r="EP50" s="2"/>
      <c r="EQ50" s="2">
        <v>131072</v>
      </c>
      <c r="ER50" s="2">
        <v>129.4</v>
      </c>
      <c r="ES50" s="2">
        <v>70.7</v>
      </c>
      <c r="ET50" s="2">
        <v>0</v>
      </c>
      <c r="EU50" s="2">
        <v>0</v>
      </c>
      <c r="EV50" s="2">
        <v>58.7</v>
      </c>
      <c r="EW50" s="2">
        <v>5.25</v>
      </c>
      <c r="EX50" s="2">
        <v>0</v>
      </c>
      <c r="EY50" s="2">
        <v>0</v>
      </c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>
        <v>0</v>
      </c>
      <c r="FR50" s="2">
        <f t="shared" si="48"/>
        <v>0</v>
      </c>
      <c r="FS50" s="2">
        <v>0</v>
      </c>
      <c r="FT50" s="2"/>
      <c r="FU50" s="2"/>
      <c r="FV50" s="2"/>
      <c r="FW50" s="2"/>
      <c r="FX50" s="2">
        <v>156</v>
      </c>
      <c r="FY50" s="2">
        <v>84</v>
      </c>
      <c r="FZ50" s="2"/>
      <c r="GA50" s="2" t="s">
        <v>3</v>
      </c>
      <c r="GB50" s="2"/>
      <c r="GC50" s="2"/>
      <c r="GD50" s="2">
        <v>0</v>
      </c>
      <c r="GE50" s="2"/>
      <c r="GF50" s="2">
        <v>-970148411</v>
      </c>
      <c r="GG50" s="2">
        <v>2</v>
      </c>
      <c r="GH50" s="2">
        <v>1</v>
      </c>
      <c r="GI50" s="2">
        <v>3</v>
      </c>
      <c r="GJ50" s="2">
        <v>0</v>
      </c>
      <c r="GK50" s="2">
        <f>ROUND(R50*(R12)/100,2)</f>
        <v>0</v>
      </c>
      <c r="GL50" s="2">
        <f t="shared" si="49"/>
        <v>0</v>
      </c>
      <c r="GM50" s="2">
        <f t="shared" si="50"/>
        <v>18.18</v>
      </c>
      <c r="GN50" s="2">
        <f t="shared" si="51"/>
        <v>18.18</v>
      </c>
      <c r="GO50" s="2">
        <f t="shared" si="52"/>
        <v>0</v>
      </c>
      <c r="GP50" s="2">
        <f t="shared" si="53"/>
        <v>0</v>
      </c>
      <c r="GQ50" s="2"/>
      <c r="GR50" s="2">
        <v>0</v>
      </c>
      <c r="GS50" s="2">
        <v>3</v>
      </c>
      <c r="GT50" s="2">
        <v>0</v>
      </c>
      <c r="GU50" s="2" t="s">
        <v>3</v>
      </c>
      <c r="GV50" s="2">
        <f t="shared" si="54"/>
        <v>0</v>
      </c>
      <c r="GW50" s="2">
        <v>1</v>
      </c>
      <c r="GX50" s="2">
        <f t="shared" si="55"/>
        <v>0</v>
      </c>
      <c r="GY50" s="2"/>
      <c r="GZ50" s="2"/>
      <c r="HA50" s="2">
        <v>0</v>
      </c>
      <c r="HB50" s="2">
        <v>0</v>
      </c>
      <c r="HC50" s="2"/>
      <c r="HD50" s="2"/>
      <c r="HE50" s="2"/>
      <c r="HF50" s="2"/>
      <c r="HG50" s="2"/>
      <c r="HH50" s="2"/>
      <c r="HI50" s="2"/>
      <c r="HJ50" s="2"/>
      <c r="HK50" s="2"/>
      <c r="HL50" s="2"/>
      <c r="HM50" s="2"/>
      <c r="HN50" s="2"/>
      <c r="HO50" s="2"/>
      <c r="HP50" s="2"/>
      <c r="HQ50" s="2"/>
      <c r="HR50" s="2"/>
      <c r="HS50" s="2"/>
      <c r="HT50" s="2"/>
      <c r="HU50" s="2"/>
      <c r="HV50" s="2"/>
      <c r="HW50" s="2"/>
      <c r="HX50" s="2"/>
      <c r="HY50" s="2"/>
      <c r="HZ50" s="2"/>
      <c r="IA50" s="2"/>
      <c r="IB50" s="2"/>
      <c r="IC50" s="2"/>
      <c r="ID50" s="2"/>
      <c r="IE50" s="2"/>
      <c r="IF50" s="2"/>
      <c r="IG50" s="2"/>
      <c r="IH50" s="2"/>
      <c r="II50" s="2"/>
      <c r="IJ50" s="2"/>
      <c r="IK50" s="2">
        <v>0</v>
      </c>
      <c r="IL50" s="2"/>
      <c r="IM50" s="2"/>
      <c r="IN50" s="2"/>
      <c r="IO50" s="2"/>
      <c r="IP50" s="2"/>
      <c r="IQ50" s="2"/>
      <c r="IR50" s="2"/>
      <c r="IS50" s="2"/>
      <c r="IT50" s="2"/>
      <c r="IU50" s="2"/>
    </row>
    <row r="51" spans="1:255" x14ac:dyDescent="0.2">
      <c r="A51">
        <v>17</v>
      </c>
      <c r="B51">
        <v>1</v>
      </c>
      <c r="C51">
        <f>ROW(SmtRes!A60)</f>
        <v>60</v>
      </c>
      <c r="D51">
        <f>ROW(EtalonRes!A58)</f>
        <v>58</v>
      </c>
      <c r="E51" t="s">
        <v>82</v>
      </c>
      <c r="F51" t="s">
        <v>83</v>
      </c>
      <c r="G51" t="s">
        <v>84</v>
      </c>
      <c r="H51" t="s">
        <v>73</v>
      </c>
      <c r="I51">
        <f>ROUND(13.16/100,9)</f>
        <v>0.13159999999999999</v>
      </c>
      <c r="J51">
        <v>0</v>
      </c>
      <c r="O51">
        <f t="shared" si="21"/>
        <v>220.68</v>
      </c>
      <c r="P51">
        <f t="shared" si="22"/>
        <v>39.450000000000003</v>
      </c>
      <c r="Q51">
        <f t="shared" si="23"/>
        <v>0</v>
      </c>
      <c r="R51">
        <f t="shared" si="24"/>
        <v>0</v>
      </c>
      <c r="S51">
        <f t="shared" si="25"/>
        <v>181.23</v>
      </c>
      <c r="T51">
        <f t="shared" si="26"/>
        <v>0</v>
      </c>
      <c r="U51">
        <f t="shared" si="27"/>
        <v>0.79453499999999988</v>
      </c>
      <c r="V51">
        <f t="shared" si="28"/>
        <v>0</v>
      </c>
      <c r="W51">
        <f t="shared" si="29"/>
        <v>0</v>
      </c>
      <c r="X51">
        <f t="shared" si="30"/>
        <v>163.11000000000001</v>
      </c>
      <c r="Y51">
        <f t="shared" si="31"/>
        <v>74.3</v>
      </c>
      <c r="AA51">
        <v>45037307</v>
      </c>
      <c r="AB51">
        <f t="shared" si="32"/>
        <v>138.20500000000001</v>
      </c>
      <c r="AC51">
        <f t="shared" si="61"/>
        <v>70.7</v>
      </c>
      <c r="AD51">
        <f>ROUND(((ET51*1.25)),6)</f>
        <v>0</v>
      </c>
      <c r="AE51">
        <f>ROUND(((EU51*1.25)),6)</f>
        <v>0</v>
      </c>
      <c r="AF51">
        <f>ROUND(((EV51*1.15)),6)</f>
        <v>67.504999999999995</v>
      </c>
      <c r="AG51">
        <f t="shared" si="34"/>
        <v>0</v>
      </c>
      <c r="AH51">
        <f>((EW51*1.15))</f>
        <v>6.0374999999999996</v>
      </c>
      <c r="AI51">
        <f>((EX51*1.25))</f>
        <v>0</v>
      </c>
      <c r="AJ51">
        <f t="shared" si="36"/>
        <v>0</v>
      </c>
      <c r="AK51">
        <v>129.4</v>
      </c>
      <c r="AL51">
        <v>70.7</v>
      </c>
      <c r="AM51">
        <v>0</v>
      </c>
      <c r="AN51">
        <v>0</v>
      </c>
      <c r="AO51">
        <v>58.7</v>
      </c>
      <c r="AP51">
        <v>0</v>
      </c>
      <c r="AQ51">
        <v>5.25</v>
      </c>
      <c r="AR51">
        <v>0</v>
      </c>
      <c r="AS51">
        <v>0</v>
      </c>
      <c r="AT51">
        <v>90</v>
      </c>
      <c r="AU51">
        <v>41</v>
      </c>
      <c r="AV51">
        <v>1</v>
      </c>
      <c r="AW51">
        <v>1</v>
      </c>
      <c r="AZ51">
        <v>1</v>
      </c>
      <c r="BA51">
        <v>20.399999999999999</v>
      </c>
      <c r="BB51">
        <v>1</v>
      </c>
      <c r="BC51">
        <v>4.24</v>
      </c>
      <c r="BD51" t="s">
        <v>3</v>
      </c>
      <c r="BE51" t="s">
        <v>3</v>
      </c>
      <c r="BF51" t="s">
        <v>3</v>
      </c>
      <c r="BG51" t="s">
        <v>3</v>
      </c>
      <c r="BH51">
        <v>0</v>
      </c>
      <c r="BI51">
        <v>1</v>
      </c>
      <c r="BJ51" t="s">
        <v>85</v>
      </c>
      <c r="BM51">
        <v>295</v>
      </c>
      <c r="BN51">
        <v>7156650</v>
      </c>
      <c r="BO51" t="s">
        <v>83</v>
      </c>
      <c r="BP51">
        <v>1</v>
      </c>
      <c r="BQ51">
        <v>30</v>
      </c>
      <c r="BR51">
        <v>0</v>
      </c>
      <c r="BS51">
        <v>20.399999999999999</v>
      </c>
      <c r="BT51">
        <v>1</v>
      </c>
      <c r="BU51">
        <v>1</v>
      </c>
      <c r="BV51">
        <v>1</v>
      </c>
      <c r="BW51">
        <v>1</v>
      </c>
      <c r="BX51">
        <v>1</v>
      </c>
      <c r="BY51" t="s">
        <v>3</v>
      </c>
      <c r="BZ51">
        <v>90</v>
      </c>
      <c r="CA51">
        <v>41</v>
      </c>
      <c r="CF51">
        <v>0</v>
      </c>
      <c r="CG51">
        <v>0</v>
      </c>
      <c r="CM51">
        <v>0</v>
      </c>
      <c r="CN51" t="s">
        <v>3</v>
      </c>
      <c r="CO51">
        <v>0</v>
      </c>
      <c r="CP51">
        <f t="shared" si="37"/>
        <v>220.68</v>
      </c>
      <c r="CQ51">
        <f t="shared" si="38"/>
        <v>299.76800000000003</v>
      </c>
      <c r="CR51">
        <f t="shared" si="39"/>
        <v>0</v>
      </c>
      <c r="CS51">
        <f t="shared" si="40"/>
        <v>0</v>
      </c>
      <c r="CT51">
        <f t="shared" si="41"/>
        <v>1377.1019999999999</v>
      </c>
      <c r="CU51">
        <f t="shared" si="42"/>
        <v>0</v>
      </c>
      <c r="CV51">
        <f t="shared" si="43"/>
        <v>6.0374999999999996</v>
      </c>
      <c r="CW51">
        <f t="shared" si="44"/>
        <v>0</v>
      </c>
      <c r="CX51">
        <f t="shared" si="45"/>
        <v>0</v>
      </c>
      <c r="CY51">
        <f t="shared" si="46"/>
        <v>163.107</v>
      </c>
      <c r="CZ51">
        <f t="shared" si="47"/>
        <v>74.304299999999998</v>
      </c>
      <c r="DC51" t="s">
        <v>3</v>
      </c>
      <c r="DD51" t="s">
        <v>3</v>
      </c>
      <c r="DE51" t="s">
        <v>36</v>
      </c>
      <c r="DF51" t="s">
        <v>36</v>
      </c>
      <c r="DG51" t="s">
        <v>37</v>
      </c>
      <c r="DH51" t="s">
        <v>3</v>
      </c>
      <c r="DI51" t="s">
        <v>37</v>
      </c>
      <c r="DJ51" t="s">
        <v>36</v>
      </c>
      <c r="DK51" t="s">
        <v>3</v>
      </c>
      <c r="DL51" t="s">
        <v>3</v>
      </c>
      <c r="DM51" t="s">
        <v>3</v>
      </c>
      <c r="DN51">
        <v>156</v>
      </c>
      <c r="DO51">
        <v>84</v>
      </c>
      <c r="DP51">
        <v>1</v>
      </c>
      <c r="DQ51">
        <v>1</v>
      </c>
      <c r="DU51">
        <v>1005</v>
      </c>
      <c r="DV51" t="s">
        <v>73</v>
      </c>
      <c r="DW51" t="s">
        <v>73</v>
      </c>
      <c r="DX51">
        <v>100</v>
      </c>
      <c r="EE51">
        <v>44846802</v>
      </c>
      <c r="EF51">
        <v>30</v>
      </c>
      <c r="EG51" t="s">
        <v>38</v>
      </c>
      <c r="EH51">
        <v>0</v>
      </c>
      <c r="EI51" t="s">
        <v>3</v>
      </c>
      <c r="EJ51">
        <v>1</v>
      </c>
      <c r="EK51">
        <v>295</v>
      </c>
      <c r="EL51" t="s">
        <v>75</v>
      </c>
      <c r="EM51" t="s">
        <v>76</v>
      </c>
      <c r="EO51" t="s">
        <v>3</v>
      </c>
      <c r="EQ51">
        <v>131072</v>
      </c>
      <c r="ER51">
        <v>129.4</v>
      </c>
      <c r="ES51">
        <v>70.7</v>
      </c>
      <c r="ET51">
        <v>0</v>
      </c>
      <c r="EU51">
        <v>0</v>
      </c>
      <c r="EV51">
        <v>58.7</v>
      </c>
      <c r="EW51">
        <v>5.25</v>
      </c>
      <c r="EX51">
        <v>0</v>
      </c>
      <c r="EY51">
        <v>0</v>
      </c>
      <c r="FQ51">
        <v>0</v>
      </c>
      <c r="FR51">
        <f t="shared" si="48"/>
        <v>0</v>
      </c>
      <c r="FS51">
        <v>0</v>
      </c>
      <c r="FX51">
        <v>156</v>
      </c>
      <c r="FY51">
        <v>84</v>
      </c>
      <c r="GA51" t="s">
        <v>3</v>
      </c>
      <c r="GD51">
        <v>0</v>
      </c>
      <c r="GF51">
        <v>-970148411</v>
      </c>
      <c r="GG51">
        <v>2</v>
      </c>
      <c r="GH51">
        <v>1</v>
      </c>
      <c r="GI51">
        <v>3</v>
      </c>
      <c r="GJ51">
        <v>0</v>
      </c>
      <c r="GK51">
        <f>ROUND(R51*(S12)/100,2)</f>
        <v>0</v>
      </c>
      <c r="GL51">
        <f t="shared" si="49"/>
        <v>0</v>
      </c>
      <c r="GM51">
        <f t="shared" si="50"/>
        <v>458.09</v>
      </c>
      <c r="GN51">
        <f t="shared" si="51"/>
        <v>458.09</v>
      </c>
      <c r="GO51">
        <f t="shared" si="52"/>
        <v>0</v>
      </c>
      <c r="GP51">
        <f t="shared" si="53"/>
        <v>0</v>
      </c>
      <c r="GR51">
        <v>0</v>
      </c>
      <c r="GS51">
        <v>3</v>
      </c>
      <c r="GT51">
        <v>0</v>
      </c>
      <c r="GU51" t="s">
        <v>3</v>
      </c>
      <c r="GV51">
        <f t="shared" si="54"/>
        <v>0</v>
      </c>
      <c r="GW51">
        <v>1</v>
      </c>
      <c r="GX51">
        <f t="shared" si="55"/>
        <v>0</v>
      </c>
      <c r="HA51">
        <v>0</v>
      </c>
      <c r="HB51">
        <v>0</v>
      </c>
      <c r="IK51">
        <v>0</v>
      </c>
    </row>
    <row r="52" spans="1:255" x14ac:dyDescent="0.2">
      <c r="A52" s="2">
        <v>18</v>
      </c>
      <c r="B52" s="2">
        <v>1</v>
      </c>
      <c r="C52" s="2">
        <v>57</v>
      </c>
      <c r="D52" s="2"/>
      <c r="E52" s="2" t="s">
        <v>86</v>
      </c>
      <c r="F52" s="2" t="s">
        <v>87</v>
      </c>
      <c r="G52" s="2" t="s">
        <v>88</v>
      </c>
      <c r="H52" s="2" t="s">
        <v>89</v>
      </c>
      <c r="I52" s="2">
        <f>I50*J52</f>
        <v>0.52639999999999998</v>
      </c>
      <c r="J52" s="2">
        <v>4</v>
      </c>
      <c r="K52" s="2"/>
      <c r="L52" s="2"/>
      <c r="M52" s="2"/>
      <c r="N52" s="2"/>
      <c r="O52" s="2">
        <f t="shared" si="21"/>
        <v>30.49</v>
      </c>
      <c r="P52" s="2">
        <f t="shared" si="22"/>
        <v>30.49</v>
      </c>
      <c r="Q52" s="2">
        <f t="shared" si="23"/>
        <v>0</v>
      </c>
      <c r="R52" s="2">
        <f t="shared" si="24"/>
        <v>0</v>
      </c>
      <c r="S52" s="2">
        <f t="shared" si="25"/>
        <v>0</v>
      </c>
      <c r="T52" s="2">
        <f t="shared" si="26"/>
        <v>0</v>
      </c>
      <c r="U52" s="2">
        <f t="shared" si="27"/>
        <v>0</v>
      </c>
      <c r="V52" s="2">
        <f t="shared" si="28"/>
        <v>0</v>
      </c>
      <c r="W52" s="2">
        <f t="shared" si="29"/>
        <v>0</v>
      </c>
      <c r="X52" s="2">
        <f t="shared" si="30"/>
        <v>0</v>
      </c>
      <c r="Y52" s="2">
        <f t="shared" si="31"/>
        <v>0</v>
      </c>
      <c r="Z52" s="2"/>
      <c r="AA52" s="2">
        <v>45037306</v>
      </c>
      <c r="AB52" s="2">
        <f t="shared" si="32"/>
        <v>57.93</v>
      </c>
      <c r="AC52" s="2">
        <f t="shared" si="61"/>
        <v>57.93</v>
      </c>
      <c r="AD52" s="2">
        <f t="shared" ref="AD52:AD61" si="63">ROUND((ET52),6)</f>
        <v>0</v>
      </c>
      <c r="AE52" s="2">
        <f t="shared" ref="AE52:AE61" si="64">ROUND((EU52),6)</f>
        <v>0</v>
      </c>
      <c r="AF52" s="2">
        <f t="shared" ref="AF52:AF61" si="65">ROUND((EV52),6)</f>
        <v>0</v>
      </c>
      <c r="AG52" s="2">
        <f t="shared" si="34"/>
        <v>0</v>
      </c>
      <c r="AH52" s="2">
        <f t="shared" ref="AH52:AH61" si="66">(EW52)</f>
        <v>0</v>
      </c>
      <c r="AI52" s="2">
        <f t="shared" ref="AI52:AI61" si="67">(EX52)</f>
        <v>0</v>
      </c>
      <c r="AJ52" s="2">
        <f t="shared" si="36"/>
        <v>0</v>
      </c>
      <c r="AK52" s="2">
        <v>57.93</v>
      </c>
      <c r="AL52" s="2">
        <v>57.93</v>
      </c>
      <c r="AM52" s="2">
        <v>0</v>
      </c>
      <c r="AN52" s="2">
        <v>0</v>
      </c>
      <c r="AO52" s="2">
        <v>0</v>
      </c>
      <c r="AP52" s="2">
        <v>0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1</v>
      </c>
      <c r="AW52" s="2">
        <v>1</v>
      </c>
      <c r="AX52" s="2"/>
      <c r="AY52" s="2"/>
      <c r="AZ52" s="2">
        <v>1</v>
      </c>
      <c r="BA52" s="2">
        <v>1</v>
      </c>
      <c r="BB52" s="2">
        <v>1</v>
      </c>
      <c r="BC52" s="2">
        <v>1</v>
      </c>
      <c r="BD52" s="2" t="s">
        <v>3</v>
      </c>
      <c r="BE52" s="2" t="s">
        <v>3</v>
      </c>
      <c r="BF52" s="2" t="s">
        <v>3</v>
      </c>
      <c r="BG52" s="2" t="s">
        <v>3</v>
      </c>
      <c r="BH52" s="2">
        <v>3</v>
      </c>
      <c r="BI52" s="2">
        <v>1</v>
      </c>
      <c r="BJ52" s="2" t="s">
        <v>90</v>
      </c>
      <c r="BK52" s="2"/>
      <c r="BL52" s="2"/>
      <c r="BM52" s="2">
        <v>295</v>
      </c>
      <c r="BN52" s="2">
        <v>7156650</v>
      </c>
      <c r="BO52" s="2" t="s">
        <v>3</v>
      </c>
      <c r="BP52" s="2">
        <v>0</v>
      </c>
      <c r="BQ52" s="2">
        <v>30</v>
      </c>
      <c r="BR52" s="2">
        <v>0</v>
      </c>
      <c r="BS52" s="2">
        <v>1</v>
      </c>
      <c r="BT52" s="2">
        <v>1</v>
      </c>
      <c r="BU52" s="2">
        <v>1</v>
      </c>
      <c r="BV52" s="2">
        <v>1</v>
      </c>
      <c r="BW52" s="2">
        <v>1</v>
      </c>
      <c r="BX52" s="2">
        <v>1</v>
      </c>
      <c r="BY52" s="2" t="s">
        <v>3</v>
      </c>
      <c r="BZ52" s="2">
        <v>0</v>
      </c>
      <c r="CA52" s="2">
        <v>0</v>
      </c>
      <c r="CB52" s="2"/>
      <c r="CC52" s="2"/>
      <c r="CD52" s="2"/>
      <c r="CE52" s="2"/>
      <c r="CF52" s="2">
        <v>0</v>
      </c>
      <c r="CG52" s="2">
        <v>0</v>
      </c>
      <c r="CH52" s="2"/>
      <c r="CI52" s="2"/>
      <c r="CJ52" s="2"/>
      <c r="CK52" s="2"/>
      <c r="CL52" s="2"/>
      <c r="CM52" s="2">
        <v>0</v>
      </c>
      <c r="CN52" s="2" t="s">
        <v>3</v>
      </c>
      <c r="CO52" s="2">
        <v>0</v>
      </c>
      <c r="CP52" s="2">
        <f t="shared" si="37"/>
        <v>30.49</v>
      </c>
      <c r="CQ52" s="2">
        <f t="shared" si="38"/>
        <v>57.93</v>
      </c>
      <c r="CR52" s="2">
        <f t="shared" si="39"/>
        <v>0</v>
      </c>
      <c r="CS52" s="2">
        <f t="shared" si="40"/>
        <v>0</v>
      </c>
      <c r="CT52" s="2">
        <f t="shared" si="41"/>
        <v>0</v>
      </c>
      <c r="CU52" s="2">
        <f t="shared" si="42"/>
        <v>0</v>
      </c>
      <c r="CV52" s="2">
        <f t="shared" si="43"/>
        <v>0</v>
      </c>
      <c r="CW52" s="2">
        <f t="shared" si="44"/>
        <v>0</v>
      </c>
      <c r="CX52" s="2">
        <f t="shared" si="45"/>
        <v>0</v>
      </c>
      <c r="CY52" s="2">
        <f t="shared" si="46"/>
        <v>0</v>
      </c>
      <c r="CZ52" s="2">
        <f t="shared" si="47"/>
        <v>0</v>
      </c>
      <c r="DA52" s="2"/>
      <c r="DB52" s="2"/>
      <c r="DC52" s="2" t="s">
        <v>3</v>
      </c>
      <c r="DD52" s="2" t="s">
        <v>3</v>
      </c>
      <c r="DE52" s="2" t="s">
        <v>3</v>
      </c>
      <c r="DF52" s="2" t="s">
        <v>3</v>
      </c>
      <c r="DG52" s="2" t="s">
        <v>3</v>
      </c>
      <c r="DH52" s="2" t="s">
        <v>3</v>
      </c>
      <c r="DI52" s="2" t="s">
        <v>3</v>
      </c>
      <c r="DJ52" s="2" t="s">
        <v>3</v>
      </c>
      <c r="DK52" s="2" t="s">
        <v>3</v>
      </c>
      <c r="DL52" s="2" t="s">
        <v>3</v>
      </c>
      <c r="DM52" s="2" t="s">
        <v>3</v>
      </c>
      <c r="DN52" s="2">
        <v>156</v>
      </c>
      <c r="DO52" s="2">
        <v>84</v>
      </c>
      <c r="DP52" s="2">
        <v>1</v>
      </c>
      <c r="DQ52" s="2">
        <v>1</v>
      </c>
      <c r="DR52" s="2"/>
      <c r="DS52" s="2"/>
      <c r="DT52" s="2"/>
      <c r="DU52" s="2">
        <v>1009</v>
      </c>
      <c r="DV52" s="2" t="s">
        <v>89</v>
      </c>
      <c r="DW52" s="2" t="s">
        <v>89</v>
      </c>
      <c r="DX52" s="2">
        <v>1</v>
      </c>
      <c r="DY52" s="2"/>
      <c r="DZ52" s="2"/>
      <c r="EA52" s="2"/>
      <c r="EB52" s="2"/>
      <c r="EC52" s="2"/>
      <c r="ED52" s="2"/>
      <c r="EE52" s="2">
        <v>44846802</v>
      </c>
      <c r="EF52" s="2">
        <v>30</v>
      </c>
      <c r="EG52" s="2" t="s">
        <v>38</v>
      </c>
      <c r="EH52" s="2">
        <v>0</v>
      </c>
      <c r="EI52" s="2" t="s">
        <v>3</v>
      </c>
      <c r="EJ52" s="2">
        <v>1</v>
      </c>
      <c r="EK52" s="2">
        <v>295</v>
      </c>
      <c r="EL52" s="2" t="s">
        <v>75</v>
      </c>
      <c r="EM52" s="2" t="s">
        <v>76</v>
      </c>
      <c r="EN52" s="2"/>
      <c r="EO52" s="2" t="s">
        <v>3</v>
      </c>
      <c r="EP52" s="2"/>
      <c r="EQ52" s="2">
        <v>0</v>
      </c>
      <c r="ER52" s="2">
        <v>57.93</v>
      </c>
      <c r="ES52" s="2">
        <v>57.93</v>
      </c>
      <c r="ET52" s="2">
        <v>0</v>
      </c>
      <c r="EU52" s="2">
        <v>0</v>
      </c>
      <c r="EV52" s="2">
        <v>0</v>
      </c>
      <c r="EW52" s="2">
        <v>0</v>
      </c>
      <c r="EX52" s="2">
        <v>0</v>
      </c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>
        <v>0</v>
      </c>
      <c r="FR52" s="2">
        <f t="shared" si="48"/>
        <v>0</v>
      </c>
      <c r="FS52" s="2">
        <v>0</v>
      </c>
      <c r="FT52" s="2"/>
      <c r="FU52" s="2"/>
      <c r="FV52" s="2"/>
      <c r="FW52" s="2"/>
      <c r="FX52" s="2">
        <v>156</v>
      </c>
      <c r="FY52" s="2">
        <v>84</v>
      </c>
      <c r="FZ52" s="2"/>
      <c r="GA52" s="2" t="s">
        <v>3</v>
      </c>
      <c r="GB52" s="2"/>
      <c r="GC52" s="2"/>
      <c r="GD52" s="2">
        <v>0</v>
      </c>
      <c r="GE52" s="2"/>
      <c r="GF52" s="2">
        <v>735025367</v>
      </c>
      <c r="GG52" s="2">
        <v>2</v>
      </c>
      <c r="GH52" s="2">
        <v>1</v>
      </c>
      <c r="GI52" s="2">
        <v>3</v>
      </c>
      <c r="GJ52" s="2">
        <v>0</v>
      </c>
      <c r="GK52" s="2">
        <f>ROUND(R52*(R12)/100,2)</f>
        <v>0</v>
      </c>
      <c r="GL52" s="2">
        <f t="shared" si="49"/>
        <v>0</v>
      </c>
      <c r="GM52" s="2">
        <f t="shared" si="50"/>
        <v>30.49</v>
      </c>
      <c r="GN52" s="2">
        <f t="shared" si="51"/>
        <v>30.49</v>
      </c>
      <c r="GO52" s="2">
        <f t="shared" si="52"/>
        <v>0</v>
      </c>
      <c r="GP52" s="2">
        <f t="shared" si="53"/>
        <v>0</v>
      </c>
      <c r="GQ52" s="2"/>
      <c r="GR52" s="2">
        <v>0</v>
      </c>
      <c r="GS52" s="2">
        <v>3</v>
      </c>
      <c r="GT52" s="2">
        <v>0</v>
      </c>
      <c r="GU52" s="2" t="s">
        <v>3</v>
      </c>
      <c r="GV52" s="2">
        <f t="shared" si="54"/>
        <v>0</v>
      </c>
      <c r="GW52" s="2">
        <v>1</v>
      </c>
      <c r="GX52" s="2">
        <f t="shared" si="55"/>
        <v>0</v>
      </c>
      <c r="GY52" s="2"/>
      <c r="GZ52" s="2"/>
      <c r="HA52" s="2">
        <v>0</v>
      </c>
      <c r="HB52" s="2">
        <v>0</v>
      </c>
      <c r="HC52" s="2"/>
      <c r="HD52" s="2"/>
      <c r="HE52" s="2"/>
      <c r="HF52" s="2"/>
      <c r="HG52" s="2"/>
      <c r="HH52" s="2"/>
      <c r="HI52" s="2"/>
      <c r="HJ52" s="2"/>
      <c r="HK52" s="2"/>
      <c r="HL52" s="2"/>
      <c r="HM52" s="2"/>
      <c r="HN52" s="2"/>
      <c r="HO52" s="2"/>
      <c r="HP52" s="2"/>
      <c r="HQ52" s="2"/>
      <c r="HR52" s="2"/>
      <c r="HS52" s="2"/>
      <c r="HT52" s="2"/>
      <c r="HU52" s="2"/>
      <c r="HV52" s="2"/>
      <c r="HW52" s="2"/>
      <c r="HX52" s="2"/>
      <c r="HY52" s="2"/>
      <c r="HZ52" s="2"/>
      <c r="IA52" s="2"/>
      <c r="IB52" s="2"/>
      <c r="IC52" s="2"/>
      <c r="ID52" s="2"/>
      <c r="IE52" s="2"/>
      <c r="IF52" s="2"/>
      <c r="IG52" s="2"/>
      <c r="IH52" s="2"/>
      <c r="II52" s="2"/>
      <c r="IJ52" s="2"/>
      <c r="IK52" s="2">
        <v>0</v>
      </c>
      <c r="IL52" s="2"/>
      <c r="IM52" s="2"/>
      <c r="IN52" s="2"/>
      <c r="IO52" s="2"/>
      <c r="IP52" s="2"/>
      <c r="IQ52" s="2"/>
      <c r="IR52" s="2"/>
      <c r="IS52" s="2"/>
      <c r="IT52" s="2"/>
      <c r="IU52" s="2"/>
    </row>
    <row r="53" spans="1:255" x14ac:dyDescent="0.2">
      <c r="A53">
        <v>18</v>
      </c>
      <c r="B53">
        <v>1</v>
      </c>
      <c r="C53">
        <v>60</v>
      </c>
      <c r="E53" t="s">
        <v>86</v>
      </c>
      <c r="F53" t="s">
        <v>87</v>
      </c>
      <c r="G53" t="s">
        <v>88</v>
      </c>
      <c r="H53" t="s">
        <v>89</v>
      </c>
      <c r="I53">
        <f>I51*J53</f>
        <v>0.52639999999999998</v>
      </c>
      <c r="J53">
        <v>4</v>
      </c>
      <c r="O53">
        <f t="shared" si="21"/>
        <v>73.19</v>
      </c>
      <c r="P53">
        <f t="shared" si="22"/>
        <v>73.19</v>
      </c>
      <c r="Q53">
        <f t="shared" si="23"/>
        <v>0</v>
      </c>
      <c r="R53">
        <f t="shared" si="24"/>
        <v>0</v>
      </c>
      <c r="S53">
        <f t="shared" si="25"/>
        <v>0</v>
      </c>
      <c r="T53">
        <f t="shared" si="26"/>
        <v>0</v>
      </c>
      <c r="U53">
        <f t="shared" si="27"/>
        <v>0</v>
      </c>
      <c r="V53">
        <f t="shared" si="28"/>
        <v>0</v>
      </c>
      <c r="W53">
        <f t="shared" si="29"/>
        <v>0</v>
      </c>
      <c r="X53">
        <f t="shared" si="30"/>
        <v>0</v>
      </c>
      <c r="Y53">
        <f t="shared" si="31"/>
        <v>0</v>
      </c>
      <c r="AA53">
        <v>45037307</v>
      </c>
      <c r="AB53">
        <f t="shared" si="32"/>
        <v>57.93</v>
      </c>
      <c r="AC53">
        <f t="shared" si="61"/>
        <v>57.93</v>
      </c>
      <c r="AD53">
        <f t="shared" si="63"/>
        <v>0</v>
      </c>
      <c r="AE53">
        <f t="shared" si="64"/>
        <v>0</v>
      </c>
      <c r="AF53">
        <f t="shared" si="65"/>
        <v>0</v>
      </c>
      <c r="AG53">
        <f t="shared" si="34"/>
        <v>0</v>
      </c>
      <c r="AH53">
        <f t="shared" si="66"/>
        <v>0</v>
      </c>
      <c r="AI53">
        <f t="shared" si="67"/>
        <v>0</v>
      </c>
      <c r="AJ53">
        <f t="shared" si="36"/>
        <v>0</v>
      </c>
      <c r="AK53">
        <v>57.93</v>
      </c>
      <c r="AL53">
        <v>57.93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1</v>
      </c>
      <c r="AW53">
        <v>1</v>
      </c>
      <c r="AZ53">
        <v>1</v>
      </c>
      <c r="BA53">
        <v>1</v>
      </c>
      <c r="BB53">
        <v>1</v>
      </c>
      <c r="BC53">
        <v>2.4</v>
      </c>
      <c r="BD53" t="s">
        <v>3</v>
      </c>
      <c r="BE53" t="s">
        <v>3</v>
      </c>
      <c r="BF53" t="s">
        <v>3</v>
      </c>
      <c r="BG53" t="s">
        <v>3</v>
      </c>
      <c r="BH53">
        <v>3</v>
      </c>
      <c r="BI53">
        <v>1</v>
      </c>
      <c r="BJ53" t="s">
        <v>90</v>
      </c>
      <c r="BM53">
        <v>295</v>
      </c>
      <c r="BN53">
        <v>7156650</v>
      </c>
      <c r="BO53" t="s">
        <v>87</v>
      </c>
      <c r="BP53">
        <v>1</v>
      </c>
      <c r="BQ53">
        <v>30</v>
      </c>
      <c r="BR53">
        <v>0</v>
      </c>
      <c r="BS53">
        <v>1</v>
      </c>
      <c r="BT53">
        <v>1</v>
      </c>
      <c r="BU53">
        <v>1</v>
      </c>
      <c r="BV53">
        <v>1</v>
      </c>
      <c r="BW53">
        <v>1</v>
      </c>
      <c r="BX53">
        <v>1</v>
      </c>
      <c r="BY53" t="s">
        <v>3</v>
      </c>
      <c r="BZ53">
        <v>0</v>
      </c>
      <c r="CA53">
        <v>0</v>
      </c>
      <c r="CF53">
        <v>0</v>
      </c>
      <c r="CG53">
        <v>0</v>
      </c>
      <c r="CM53">
        <v>0</v>
      </c>
      <c r="CN53" t="s">
        <v>3</v>
      </c>
      <c r="CO53">
        <v>0</v>
      </c>
      <c r="CP53">
        <f t="shared" si="37"/>
        <v>73.19</v>
      </c>
      <c r="CQ53">
        <f t="shared" si="38"/>
        <v>139.03199999999998</v>
      </c>
      <c r="CR53">
        <f t="shared" si="39"/>
        <v>0</v>
      </c>
      <c r="CS53">
        <f t="shared" si="40"/>
        <v>0</v>
      </c>
      <c r="CT53">
        <f t="shared" si="41"/>
        <v>0</v>
      </c>
      <c r="CU53">
        <f t="shared" si="42"/>
        <v>0</v>
      </c>
      <c r="CV53">
        <f t="shared" si="43"/>
        <v>0</v>
      </c>
      <c r="CW53">
        <f t="shared" si="44"/>
        <v>0</v>
      </c>
      <c r="CX53">
        <f t="shared" si="45"/>
        <v>0</v>
      </c>
      <c r="CY53">
        <f t="shared" si="46"/>
        <v>0</v>
      </c>
      <c r="CZ53">
        <f t="shared" si="47"/>
        <v>0</v>
      </c>
      <c r="DC53" t="s">
        <v>3</v>
      </c>
      <c r="DD53" t="s">
        <v>3</v>
      </c>
      <c r="DE53" t="s">
        <v>3</v>
      </c>
      <c r="DF53" t="s">
        <v>3</v>
      </c>
      <c r="DG53" t="s">
        <v>3</v>
      </c>
      <c r="DH53" t="s">
        <v>3</v>
      </c>
      <c r="DI53" t="s">
        <v>3</v>
      </c>
      <c r="DJ53" t="s">
        <v>3</v>
      </c>
      <c r="DK53" t="s">
        <v>3</v>
      </c>
      <c r="DL53" t="s">
        <v>3</v>
      </c>
      <c r="DM53" t="s">
        <v>3</v>
      </c>
      <c r="DN53">
        <v>156</v>
      </c>
      <c r="DO53">
        <v>84</v>
      </c>
      <c r="DP53">
        <v>1</v>
      </c>
      <c r="DQ53">
        <v>1</v>
      </c>
      <c r="DU53">
        <v>1009</v>
      </c>
      <c r="DV53" t="s">
        <v>89</v>
      </c>
      <c r="DW53" t="s">
        <v>89</v>
      </c>
      <c r="DX53">
        <v>1</v>
      </c>
      <c r="EE53">
        <v>44846802</v>
      </c>
      <c r="EF53">
        <v>30</v>
      </c>
      <c r="EG53" t="s">
        <v>38</v>
      </c>
      <c r="EH53">
        <v>0</v>
      </c>
      <c r="EI53" t="s">
        <v>3</v>
      </c>
      <c r="EJ53">
        <v>1</v>
      </c>
      <c r="EK53">
        <v>295</v>
      </c>
      <c r="EL53" t="s">
        <v>75</v>
      </c>
      <c r="EM53" t="s">
        <v>76</v>
      </c>
      <c r="EO53" t="s">
        <v>3</v>
      </c>
      <c r="EQ53">
        <v>0</v>
      </c>
      <c r="ER53">
        <v>57.93</v>
      </c>
      <c r="ES53">
        <v>57.93</v>
      </c>
      <c r="ET53">
        <v>0</v>
      </c>
      <c r="EU53">
        <v>0</v>
      </c>
      <c r="EV53">
        <v>0</v>
      </c>
      <c r="EW53">
        <v>0</v>
      </c>
      <c r="EX53">
        <v>0</v>
      </c>
      <c r="FQ53">
        <v>0</v>
      </c>
      <c r="FR53">
        <f t="shared" si="48"/>
        <v>0</v>
      </c>
      <c r="FS53">
        <v>0</v>
      </c>
      <c r="FX53">
        <v>156</v>
      </c>
      <c r="FY53">
        <v>84</v>
      </c>
      <c r="GA53" t="s">
        <v>3</v>
      </c>
      <c r="GD53">
        <v>0</v>
      </c>
      <c r="GF53">
        <v>735025367</v>
      </c>
      <c r="GG53">
        <v>2</v>
      </c>
      <c r="GH53">
        <v>1</v>
      </c>
      <c r="GI53">
        <v>3</v>
      </c>
      <c r="GJ53">
        <v>0</v>
      </c>
      <c r="GK53">
        <f>ROUND(R53*(S12)/100,2)</f>
        <v>0</v>
      </c>
      <c r="GL53">
        <f t="shared" si="49"/>
        <v>0</v>
      </c>
      <c r="GM53">
        <f t="shared" si="50"/>
        <v>73.19</v>
      </c>
      <c r="GN53">
        <f t="shared" si="51"/>
        <v>73.19</v>
      </c>
      <c r="GO53">
        <f t="shared" si="52"/>
        <v>0</v>
      </c>
      <c r="GP53">
        <f t="shared" si="53"/>
        <v>0</v>
      </c>
      <c r="GR53">
        <v>0</v>
      </c>
      <c r="GS53">
        <v>3</v>
      </c>
      <c r="GT53">
        <v>0</v>
      </c>
      <c r="GU53" t="s">
        <v>3</v>
      </c>
      <c r="GV53">
        <f t="shared" si="54"/>
        <v>0</v>
      </c>
      <c r="GW53">
        <v>1</v>
      </c>
      <c r="GX53">
        <f t="shared" si="55"/>
        <v>0</v>
      </c>
      <c r="HA53">
        <v>0</v>
      </c>
      <c r="HB53">
        <v>0</v>
      </c>
      <c r="IK53">
        <v>0</v>
      </c>
    </row>
    <row r="54" spans="1:255" x14ac:dyDescent="0.2">
      <c r="A54" s="2">
        <v>17</v>
      </c>
      <c r="B54" s="2">
        <v>1</v>
      </c>
      <c r="C54" s="2">
        <f>ROW(SmtRes!A66)</f>
        <v>66</v>
      </c>
      <c r="D54" s="2">
        <f>ROW(EtalonRes!A65)</f>
        <v>65</v>
      </c>
      <c r="E54" s="2" t="s">
        <v>91</v>
      </c>
      <c r="F54" s="2" t="s">
        <v>92</v>
      </c>
      <c r="G54" s="2" t="s">
        <v>93</v>
      </c>
      <c r="H54" s="2" t="s">
        <v>94</v>
      </c>
      <c r="I54" s="2">
        <v>5.21</v>
      </c>
      <c r="J54" s="2">
        <v>0</v>
      </c>
      <c r="K54" s="2"/>
      <c r="L54" s="2"/>
      <c r="M54" s="2"/>
      <c r="N54" s="2"/>
      <c r="O54" s="2">
        <f t="shared" si="21"/>
        <v>17.510000000000002</v>
      </c>
      <c r="P54" s="2">
        <f t="shared" si="22"/>
        <v>1.1499999999999999</v>
      </c>
      <c r="Q54" s="2">
        <f t="shared" si="23"/>
        <v>8.6</v>
      </c>
      <c r="R54" s="2">
        <f t="shared" si="24"/>
        <v>0.99</v>
      </c>
      <c r="S54" s="2">
        <f t="shared" si="25"/>
        <v>7.76</v>
      </c>
      <c r="T54" s="2">
        <f t="shared" si="26"/>
        <v>0</v>
      </c>
      <c r="U54" s="2">
        <f t="shared" si="27"/>
        <v>0.62519999999999998</v>
      </c>
      <c r="V54" s="2">
        <f t="shared" si="28"/>
        <v>0</v>
      </c>
      <c r="W54" s="2">
        <f t="shared" si="29"/>
        <v>0</v>
      </c>
      <c r="X54" s="2">
        <f t="shared" si="30"/>
        <v>0</v>
      </c>
      <c r="Y54" s="2">
        <f t="shared" si="31"/>
        <v>0</v>
      </c>
      <c r="Z54" s="2"/>
      <c r="AA54" s="2">
        <v>45037306</v>
      </c>
      <c r="AB54" s="2">
        <f t="shared" si="32"/>
        <v>3.36</v>
      </c>
      <c r="AC54" s="2">
        <f t="shared" si="61"/>
        <v>0.22</v>
      </c>
      <c r="AD54" s="2">
        <f t="shared" si="63"/>
        <v>1.65</v>
      </c>
      <c r="AE54" s="2">
        <f t="shared" si="64"/>
        <v>0.19</v>
      </c>
      <c r="AF54" s="2">
        <f t="shared" si="65"/>
        <v>1.49</v>
      </c>
      <c r="AG54" s="2">
        <f t="shared" si="34"/>
        <v>0</v>
      </c>
      <c r="AH54" s="2">
        <f t="shared" si="66"/>
        <v>0.12</v>
      </c>
      <c r="AI54" s="2">
        <f t="shared" si="67"/>
        <v>0</v>
      </c>
      <c r="AJ54" s="2">
        <f t="shared" si="36"/>
        <v>0</v>
      </c>
      <c r="AK54" s="2">
        <v>3.36</v>
      </c>
      <c r="AL54" s="2">
        <v>0.22</v>
      </c>
      <c r="AM54" s="2">
        <v>1.65</v>
      </c>
      <c r="AN54" s="2">
        <v>0.19</v>
      </c>
      <c r="AO54" s="2">
        <v>1.49</v>
      </c>
      <c r="AP54" s="2">
        <v>0</v>
      </c>
      <c r="AQ54" s="2">
        <v>0.12</v>
      </c>
      <c r="AR54" s="2">
        <v>0</v>
      </c>
      <c r="AS54" s="2">
        <v>0</v>
      </c>
      <c r="AT54" s="2">
        <v>0</v>
      </c>
      <c r="AU54" s="2">
        <v>0</v>
      </c>
      <c r="AV54" s="2">
        <v>1</v>
      </c>
      <c r="AW54" s="2">
        <v>1</v>
      </c>
      <c r="AX54" s="2"/>
      <c r="AY54" s="2"/>
      <c r="AZ54" s="2">
        <v>1</v>
      </c>
      <c r="BA54" s="2">
        <v>1</v>
      </c>
      <c r="BB54" s="2">
        <v>1</v>
      </c>
      <c r="BC54" s="2">
        <v>1</v>
      </c>
      <c r="BD54" s="2" t="s">
        <v>3</v>
      </c>
      <c r="BE54" s="2" t="s">
        <v>3</v>
      </c>
      <c r="BF54" s="2" t="s">
        <v>3</v>
      </c>
      <c r="BG54" s="2" t="s">
        <v>3</v>
      </c>
      <c r="BH54" s="2">
        <v>0</v>
      </c>
      <c r="BI54" s="2">
        <v>1</v>
      </c>
      <c r="BJ54" s="2" t="s">
        <v>95</v>
      </c>
      <c r="BK54" s="2"/>
      <c r="BL54" s="2"/>
      <c r="BM54" s="2">
        <v>1306</v>
      </c>
      <c r="BN54" s="2">
        <v>7156650</v>
      </c>
      <c r="BO54" s="2" t="s">
        <v>3</v>
      </c>
      <c r="BP54" s="2">
        <v>0</v>
      </c>
      <c r="BQ54" s="2">
        <v>60</v>
      </c>
      <c r="BR54" s="2">
        <v>0</v>
      </c>
      <c r="BS54" s="2">
        <v>1</v>
      </c>
      <c r="BT54" s="2">
        <v>1</v>
      </c>
      <c r="BU54" s="2">
        <v>1</v>
      </c>
      <c r="BV54" s="2">
        <v>1</v>
      </c>
      <c r="BW54" s="2">
        <v>1</v>
      </c>
      <c r="BX54" s="2">
        <v>1</v>
      </c>
      <c r="BY54" s="2" t="s">
        <v>3</v>
      </c>
      <c r="BZ54" s="2">
        <v>0</v>
      </c>
      <c r="CA54" s="2">
        <v>0</v>
      </c>
      <c r="CB54" s="2"/>
      <c r="CC54" s="2"/>
      <c r="CD54" s="2"/>
      <c r="CE54" s="2"/>
      <c r="CF54" s="2">
        <v>0</v>
      </c>
      <c r="CG54" s="2">
        <v>0</v>
      </c>
      <c r="CH54" s="2"/>
      <c r="CI54" s="2"/>
      <c r="CJ54" s="2"/>
      <c r="CK54" s="2"/>
      <c r="CL54" s="2"/>
      <c r="CM54" s="2">
        <v>0</v>
      </c>
      <c r="CN54" s="2" t="s">
        <v>3</v>
      </c>
      <c r="CO54" s="2">
        <v>0</v>
      </c>
      <c r="CP54" s="2">
        <f t="shared" si="37"/>
        <v>17.509999999999998</v>
      </c>
      <c r="CQ54" s="2">
        <f t="shared" si="38"/>
        <v>0.22</v>
      </c>
      <c r="CR54" s="2">
        <f t="shared" si="39"/>
        <v>1.65</v>
      </c>
      <c r="CS54" s="2">
        <f t="shared" si="40"/>
        <v>0.19</v>
      </c>
      <c r="CT54" s="2">
        <f t="shared" si="41"/>
        <v>1.49</v>
      </c>
      <c r="CU54" s="2">
        <f t="shared" si="42"/>
        <v>0</v>
      </c>
      <c r="CV54" s="2">
        <f t="shared" si="43"/>
        <v>0.12</v>
      </c>
      <c r="CW54" s="2">
        <f t="shared" si="44"/>
        <v>0</v>
      </c>
      <c r="CX54" s="2">
        <f t="shared" si="45"/>
        <v>0</v>
      </c>
      <c r="CY54" s="2">
        <f t="shared" si="46"/>
        <v>0</v>
      </c>
      <c r="CZ54" s="2">
        <f t="shared" si="47"/>
        <v>0</v>
      </c>
      <c r="DA54" s="2"/>
      <c r="DB54" s="2"/>
      <c r="DC54" s="2" t="s">
        <v>3</v>
      </c>
      <c r="DD54" s="2" t="s">
        <v>3</v>
      </c>
      <c r="DE54" s="2" t="s">
        <v>3</v>
      </c>
      <c r="DF54" s="2" t="s">
        <v>3</v>
      </c>
      <c r="DG54" s="2" t="s">
        <v>3</v>
      </c>
      <c r="DH54" s="2" t="s">
        <v>3</v>
      </c>
      <c r="DI54" s="2" t="s">
        <v>3</v>
      </c>
      <c r="DJ54" s="2" t="s">
        <v>3</v>
      </c>
      <c r="DK54" s="2" t="s">
        <v>3</v>
      </c>
      <c r="DL54" s="2" t="s">
        <v>3</v>
      </c>
      <c r="DM54" s="2" t="s">
        <v>3</v>
      </c>
      <c r="DN54" s="2">
        <v>156</v>
      </c>
      <c r="DO54" s="2">
        <v>84</v>
      </c>
      <c r="DP54" s="2">
        <v>1.0469999999999999</v>
      </c>
      <c r="DQ54" s="2">
        <v>1.002</v>
      </c>
      <c r="DR54" s="2"/>
      <c r="DS54" s="2"/>
      <c r="DT54" s="2"/>
      <c r="DU54" s="2">
        <v>1013</v>
      </c>
      <c r="DV54" s="2" t="s">
        <v>94</v>
      </c>
      <c r="DW54" s="2" t="s">
        <v>94</v>
      </c>
      <c r="DX54" s="2">
        <v>1</v>
      </c>
      <c r="DY54" s="2"/>
      <c r="DZ54" s="2"/>
      <c r="EA54" s="2"/>
      <c r="EB54" s="2"/>
      <c r="EC54" s="2"/>
      <c r="ED54" s="2"/>
      <c r="EE54" s="2">
        <v>44847813</v>
      </c>
      <c r="EF54" s="2">
        <v>60</v>
      </c>
      <c r="EG54" s="2" t="s">
        <v>23</v>
      </c>
      <c r="EH54" s="2">
        <v>0</v>
      </c>
      <c r="EI54" s="2" t="s">
        <v>3</v>
      </c>
      <c r="EJ54" s="2">
        <v>1</v>
      </c>
      <c r="EK54" s="2">
        <v>1306</v>
      </c>
      <c r="EL54" s="2" t="s">
        <v>96</v>
      </c>
      <c r="EM54" s="2" t="s">
        <v>97</v>
      </c>
      <c r="EN54" s="2"/>
      <c r="EO54" s="2" t="s">
        <v>3</v>
      </c>
      <c r="EP54" s="2"/>
      <c r="EQ54" s="2">
        <v>131072</v>
      </c>
      <c r="ER54" s="2">
        <v>3.36</v>
      </c>
      <c r="ES54" s="2">
        <v>0.22</v>
      </c>
      <c r="ET54" s="2">
        <v>1.65</v>
      </c>
      <c r="EU54" s="2">
        <v>0.19</v>
      </c>
      <c r="EV54" s="2">
        <v>1.49</v>
      </c>
      <c r="EW54" s="2">
        <v>0.12</v>
      </c>
      <c r="EX54" s="2">
        <v>0</v>
      </c>
      <c r="EY54" s="2">
        <v>0</v>
      </c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>
        <v>0</v>
      </c>
      <c r="FR54" s="2">
        <f t="shared" si="48"/>
        <v>0</v>
      </c>
      <c r="FS54" s="2">
        <v>0</v>
      </c>
      <c r="FT54" s="2"/>
      <c r="FU54" s="2"/>
      <c r="FV54" s="2"/>
      <c r="FW54" s="2"/>
      <c r="FX54" s="2">
        <v>156</v>
      </c>
      <c r="FY54" s="2">
        <v>84</v>
      </c>
      <c r="FZ54" s="2"/>
      <c r="GA54" s="2" t="s">
        <v>3</v>
      </c>
      <c r="GB54" s="2"/>
      <c r="GC54" s="2"/>
      <c r="GD54" s="2">
        <v>0</v>
      </c>
      <c r="GE54" s="2"/>
      <c r="GF54" s="2">
        <v>-57622826</v>
      </c>
      <c r="GG54" s="2">
        <v>2</v>
      </c>
      <c r="GH54" s="2">
        <v>1</v>
      </c>
      <c r="GI54" s="2">
        <v>3</v>
      </c>
      <c r="GJ54" s="2">
        <v>0</v>
      </c>
      <c r="GK54" s="2">
        <f>ROUND(R54*(R12)/100,2)</f>
        <v>1.78</v>
      </c>
      <c r="GL54" s="2">
        <f t="shared" si="49"/>
        <v>0</v>
      </c>
      <c r="GM54" s="2">
        <f t="shared" si="50"/>
        <v>19.29</v>
      </c>
      <c r="GN54" s="2">
        <f t="shared" si="51"/>
        <v>19.29</v>
      </c>
      <c r="GO54" s="2">
        <f t="shared" si="52"/>
        <v>0</v>
      </c>
      <c r="GP54" s="2">
        <f t="shared" si="53"/>
        <v>0</v>
      </c>
      <c r="GQ54" s="2"/>
      <c r="GR54" s="2">
        <v>0</v>
      </c>
      <c r="GS54" s="2">
        <v>3</v>
      </c>
      <c r="GT54" s="2">
        <v>0</v>
      </c>
      <c r="GU54" s="2" t="s">
        <v>3</v>
      </c>
      <c r="GV54" s="2">
        <f t="shared" si="54"/>
        <v>0</v>
      </c>
      <c r="GW54" s="2">
        <v>1</v>
      </c>
      <c r="GX54" s="2">
        <f t="shared" si="55"/>
        <v>0</v>
      </c>
      <c r="GY54" s="2"/>
      <c r="GZ54" s="2"/>
      <c r="HA54" s="2">
        <v>0</v>
      </c>
      <c r="HB54" s="2">
        <v>0</v>
      </c>
      <c r="HC54" s="2"/>
      <c r="HD54" s="2"/>
      <c r="HE54" s="2"/>
      <c r="HF54" s="2"/>
      <c r="HG54" s="2"/>
      <c r="HH54" s="2"/>
      <c r="HI54" s="2"/>
      <c r="HJ54" s="2"/>
      <c r="HK54" s="2"/>
      <c r="HL54" s="2"/>
      <c r="HM54" s="2"/>
      <c r="HN54" s="2"/>
      <c r="HO54" s="2"/>
      <c r="HP54" s="2"/>
      <c r="HQ54" s="2"/>
      <c r="HR54" s="2"/>
      <c r="HS54" s="2"/>
      <c r="HT54" s="2"/>
      <c r="HU54" s="2"/>
      <c r="HV54" s="2"/>
      <c r="HW54" s="2"/>
      <c r="HX54" s="2"/>
      <c r="HY54" s="2"/>
      <c r="HZ54" s="2"/>
      <c r="IA54" s="2"/>
      <c r="IB54" s="2"/>
      <c r="IC54" s="2"/>
      <c r="ID54" s="2"/>
      <c r="IE54" s="2"/>
      <c r="IF54" s="2"/>
      <c r="IG54" s="2"/>
      <c r="IH54" s="2"/>
      <c r="II54" s="2"/>
      <c r="IJ54" s="2"/>
      <c r="IK54" s="2">
        <v>0</v>
      </c>
      <c r="IL54" s="2"/>
      <c r="IM54" s="2"/>
      <c r="IN54" s="2"/>
      <c r="IO54" s="2"/>
      <c r="IP54" s="2"/>
      <c r="IQ54" s="2"/>
      <c r="IR54" s="2"/>
      <c r="IS54" s="2"/>
      <c r="IT54" s="2"/>
      <c r="IU54" s="2"/>
    </row>
    <row r="55" spans="1:255" x14ac:dyDescent="0.2">
      <c r="A55">
        <v>17</v>
      </c>
      <c r="B55">
        <v>1</v>
      </c>
      <c r="C55">
        <f>ROW(SmtRes!A72)</f>
        <v>72</v>
      </c>
      <c r="D55">
        <f>ROW(EtalonRes!A72)</f>
        <v>72</v>
      </c>
      <c r="E55" t="s">
        <v>91</v>
      </c>
      <c r="F55" t="s">
        <v>92</v>
      </c>
      <c r="G55" t="s">
        <v>93</v>
      </c>
      <c r="H55" t="s">
        <v>94</v>
      </c>
      <c r="I55">
        <v>5.21</v>
      </c>
      <c r="J55">
        <v>0</v>
      </c>
      <c r="O55">
        <f t="shared" si="21"/>
        <v>231.25</v>
      </c>
      <c r="P55">
        <f t="shared" si="22"/>
        <v>13.49</v>
      </c>
      <c r="Q55">
        <f t="shared" si="23"/>
        <v>59.4</v>
      </c>
      <c r="R55">
        <f t="shared" si="24"/>
        <v>20.190000000000001</v>
      </c>
      <c r="S55">
        <f t="shared" si="25"/>
        <v>158.36000000000001</v>
      </c>
      <c r="T55">
        <f t="shared" si="26"/>
        <v>0</v>
      </c>
      <c r="U55">
        <f t="shared" si="27"/>
        <v>0.62519999999999998</v>
      </c>
      <c r="V55">
        <f t="shared" si="28"/>
        <v>0</v>
      </c>
      <c r="W55">
        <f t="shared" si="29"/>
        <v>0</v>
      </c>
      <c r="X55">
        <f t="shared" si="30"/>
        <v>142.52000000000001</v>
      </c>
      <c r="Y55">
        <f t="shared" si="31"/>
        <v>64.930000000000007</v>
      </c>
      <c r="AA55">
        <v>45037307</v>
      </c>
      <c r="AB55">
        <f t="shared" si="32"/>
        <v>3.36</v>
      </c>
      <c r="AC55">
        <f t="shared" si="61"/>
        <v>0.22</v>
      </c>
      <c r="AD55">
        <f t="shared" si="63"/>
        <v>1.65</v>
      </c>
      <c r="AE55">
        <f t="shared" si="64"/>
        <v>0.19</v>
      </c>
      <c r="AF55">
        <f t="shared" si="65"/>
        <v>1.49</v>
      </c>
      <c r="AG55">
        <f t="shared" si="34"/>
        <v>0</v>
      </c>
      <c r="AH55">
        <f t="shared" si="66"/>
        <v>0.12</v>
      </c>
      <c r="AI55">
        <f t="shared" si="67"/>
        <v>0</v>
      </c>
      <c r="AJ55">
        <f t="shared" si="36"/>
        <v>0</v>
      </c>
      <c r="AK55">
        <v>3.36</v>
      </c>
      <c r="AL55">
        <v>0.22</v>
      </c>
      <c r="AM55">
        <v>1.65</v>
      </c>
      <c r="AN55">
        <v>0.19</v>
      </c>
      <c r="AO55">
        <v>1.49</v>
      </c>
      <c r="AP55">
        <v>0</v>
      </c>
      <c r="AQ55">
        <v>0.12</v>
      </c>
      <c r="AR55">
        <v>0</v>
      </c>
      <c r="AS55">
        <v>0</v>
      </c>
      <c r="AT55">
        <v>90</v>
      </c>
      <c r="AU55">
        <v>41</v>
      </c>
      <c r="AV55">
        <v>1</v>
      </c>
      <c r="AW55">
        <v>1</v>
      </c>
      <c r="AZ55">
        <v>1</v>
      </c>
      <c r="BA55">
        <v>20.399999999999999</v>
      </c>
      <c r="BB55">
        <v>6.91</v>
      </c>
      <c r="BC55">
        <v>11.77</v>
      </c>
      <c r="BD55" t="s">
        <v>3</v>
      </c>
      <c r="BE55" t="s">
        <v>3</v>
      </c>
      <c r="BF55" t="s">
        <v>3</v>
      </c>
      <c r="BG55" t="s">
        <v>3</v>
      </c>
      <c r="BH55">
        <v>0</v>
      </c>
      <c r="BI55">
        <v>1</v>
      </c>
      <c r="BJ55" t="s">
        <v>95</v>
      </c>
      <c r="BM55">
        <v>1306</v>
      </c>
      <c r="BN55">
        <v>7156650</v>
      </c>
      <c r="BO55" t="s">
        <v>92</v>
      </c>
      <c r="BP55">
        <v>1</v>
      </c>
      <c r="BQ55">
        <v>60</v>
      </c>
      <c r="BR55">
        <v>0</v>
      </c>
      <c r="BS55">
        <v>20.399999999999999</v>
      </c>
      <c r="BT55">
        <v>1</v>
      </c>
      <c r="BU55">
        <v>1</v>
      </c>
      <c r="BV55">
        <v>1</v>
      </c>
      <c r="BW55">
        <v>1</v>
      </c>
      <c r="BX55">
        <v>1</v>
      </c>
      <c r="BY55" t="s">
        <v>3</v>
      </c>
      <c r="BZ55">
        <v>90</v>
      </c>
      <c r="CA55">
        <v>41</v>
      </c>
      <c r="CF55">
        <v>0</v>
      </c>
      <c r="CG55">
        <v>0</v>
      </c>
      <c r="CM55">
        <v>0</v>
      </c>
      <c r="CN55" t="s">
        <v>3</v>
      </c>
      <c r="CO55">
        <v>0</v>
      </c>
      <c r="CP55">
        <f t="shared" si="37"/>
        <v>231.25</v>
      </c>
      <c r="CQ55">
        <f t="shared" si="38"/>
        <v>2.5893999999999999</v>
      </c>
      <c r="CR55">
        <f t="shared" si="39"/>
        <v>11.4015</v>
      </c>
      <c r="CS55">
        <f t="shared" si="40"/>
        <v>3.8759999999999999</v>
      </c>
      <c r="CT55">
        <f t="shared" si="41"/>
        <v>30.395999999999997</v>
      </c>
      <c r="CU55">
        <f t="shared" si="42"/>
        <v>0</v>
      </c>
      <c r="CV55">
        <f t="shared" si="43"/>
        <v>0.12</v>
      </c>
      <c r="CW55">
        <f t="shared" si="44"/>
        <v>0</v>
      </c>
      <c r="CX55">
        <f t="shared" si="45"/>
        <v>0</v>
      </c>
      <c r="CY55">
        <f t="shared" si="46"/>
        <v>142.52400000000003</v>
      </c>
      <c r="CZ55">
        <f t="shared" si="47"/>
        <v>64.927599999999998</v>
      </c>
      <c r="DC55" t="s">
        <v>3</v>
      </c>
      <c r="DD55" t="s">
        <v>3</v>
      </c>
      <c r="DE55" t="s">
        <v>3</v>
      </c>
      <c r="DF55" t="s">
        <v>3</v>
      </c>
      <c r="DG55" t="s">
        <v>3</v>
      </c>
      <c r="DH55" t="s">
        <v>3</v>
      </c>
      <c r="DI55" t="s">
        <v>3</v>
      </c>
      <c r="DJ55" t="s">
        <v>3</v>
      </c>
      <c r="DK55" t="s">
        <v>3</v>
      </c>
      <c r="DL55" t="s">
        <v>3</v>
      </c>
      <c r="DM55" t="s">
        <v>3</v>
      </c>
      <c r="DN55">
        <v>156</v>
      </c>
      <c r="DO55">
        <v>84</v>
      </c>
      <c r="DP55">
        <v>1.0469999999999999</v>
      </c>
      <c r="DQ55">
        <v>1.002</v>
      </c>
      <c r="DU55">
        <v>1013</v>
      </c>
      <c r="DV55" t="s">
        <v>94</v>
      </c>
      <c r="DW55" t="s">
        <v>94</v>
      </c>
      <c r="DX55">
        <v>1</v>
      </c>
      <c r="EE55">
        <v>44847813</v>
      </c>
      <c r="EF55">
        <v>60</v>
      </c>
      <c r="EG55" t="s">
        <v>23</v>
      </c>
      <c r="EH55">
        <v>0</v>
      </c>
      <c r="EI55" t="s">
        <v>3</v>
      </c>
      <c r="EJ55">
        <v>1</v>
      </c>
      <c r="EK55">
        <v>1306</v>
      </c>
      <c r="EL55" t="s">
        <v>96</v>
      </c>
      <c r="EM55" t="s">
        <v>97</v>
      </c>
      <c r="EO55" t="s">
        <v>3</v>
      </c>
      <c r="EQ55">
        <v>131072</v>
      </c>
      <c r="ER55">
        <v>3.36</v>
      </c>
      <c r="ES55">
        <v>0.22</v>
      </c>
      <c r="ET55">
        <v>1.65</v>
      </c>
      <c r="EU55">
        <v>0.19</v>
      </c>
      <c r="EV55">
        <v>1.49</v>
      </c>
      <c r="EW55">
        <v>0.12</v>
      </c>
      <c r="EX55">
        <v>0</v>
      </c>
      <c r="EY55">
        <v>0</v>
      </c>
      <c r="FQ55">
        <v>0</v>
      </c>
      <c r="FR55">
        <f t="shared" si="48"/>
        <v>0</v>
      </c>
      <c r="FS55">
        <v>0</v>
      </c>
      <c r="FX55">
        <v>156</v>
      </c>
      <c r="FY55">
        <v>84</v>
      </c>
      <c r="GA55" t="s">
        <v>3</v>
      </c>
      <c r="GD55">
        <v>0</v>
      </c>
      <c r="GF55">
        <v>-57622826</v>
      </c>
      <c r="GG55">
        <v>2</v>
      </c>
      <c r="GH55">
        <v>1</v>
      </c>
      <c r="GI55">
        <v>3</v>
      </c>
      <c r="GJ55">
        <v>0</v>
      </c>
      <c r="GK55">
        <f>ROUND(R55*(S12)/100,2)</f>
        <v>33.92</v>
      </c>
      <c r="GL55">
        <f t="shared" si="49"/>
        <v>0</v>
      </c>
      <c r="GM55">
        <f t="shared" si="50"/>
        <v>472.62</v>
      </c>
      <c r="GN55">
        <f t="shared" si="51"/>
        <v>472.62</v>
      </c>
      <c r="GO55">
        <f t="shared" si="52"/>
        <v>0</v>
      </c>
      <c r="GP55">
        <f t="shared" si="53"/>
        <v>0</v>
      </c>
      <c r="GR55">
        <v>0</v>
      </c>
      <c r="GS55">
        <v>3</v>
      </c>
      <c r="GT55">
        <v>0</v>
      </c>
      <c r="GU55" t="s">
        <v>3</v>
      </c>
      <c r="GV55">
        <f t="shared" si="54"/>
        <v>0</v>
      </c>
      <c r="GW55">
        <v>1</v>
      </c>
      <c r="GX55">
        <f t="shared" si="55"/>
        <v>0</v>
      </c>
      <c r="HA55">
        <v>0</v>
      </c>
      <c r="HB55">
        <v>0</v>
      </c>
      <c r="IK55">
        <v>0</v>
      </c>
    </row>
    <row r="56" spans="1:255" x14ac:dyDescent="0.2">
      <c r="A56" s="2">
        <v>18</v>
      </c>
      <c r="B56" s="2">
        <v>1</v>
      </c>
      <c r="C56" s="2">
        <v>66</v>
      </c>
      <c r="D56" s="2"/>
      <c r="E56" s="2" t="s">
        <v>98</v>
      </c>
      <c r="F56" s="2" t="s">
        <v>99</v>
      </c>
      <c r="G56" s="2" t="s">
        <v>100</v>
      </c>
      <c r="H56" s="2" t="s">
        <v>101</v>
      </c>
      <c r="I56" s="2">
        <f>I54*J56</f>
        <v>5.21</v>
      </c>
      <c r="J56" s="2">
        <v>1</v>
      </c>
      <c r="K56" s="2"/>
      <c r="L56" s="2"/>
      <c r="M56" s="2"/>
      <c r="N56" s="2"/>
      <c r="O56" s="2">
        <f t="shared" si="21"/>
        <v>1867.99</v>
      </c>
      <c r="P56" s="2">
        <f t="shared" si="22"/>
        <v>1867.99</v>
      </c>
      <c r="Q56" s="2">
        <f t="shared" si="23"/>
        <v>0</v>
      </c>
      <c r="R56" s="2">
        <f t="shared" si="24"/>
        <v>0</v>
      </c>
      <c r="S56" s="2">
        <f t="shared" si="25"/>
        <v>0</v>
      </c>
      <c r="T56" s="2">
        <f t="shared" si="26"/>
        <v>0</v>
      </c>
      <c r="U56" s="2">
        <f t="shared" si="27"/>
        <v>0</v>
      </c>
      <c r="V56" s="2">
        <f t="shared" si="28"/>
        <v>0</v>
      </c>
      <c r="W56" s="2">
        <f t="shared" si="29"/>
        <v>0</v>
      </c>
      <c r="X56" s="2">
        <f t="shared" si="30"/>
        <v>0</v>
      </c>
      <c r="Y56" s="2">
        <f t="shared" si="31"/>
        <v>0</v>
      </c>
      <c r="Z56" s="2"/>
      <c r="AA56" s="2">
        <v>45037306</v>
      </c>
      <c r="AB56" s="2">
        <f t="shared" si="32"/>
        <v>358.54</v>
      </c>
      <c r="AC56" s="2">
        <f t="shared" si="61"/>
        <v>358.54</v>
      </c>
      <c r="AD56" s="2">
        <f t="shared" si="63"/>
        <v>0</v>
      </c>
      <c r="AE56" s="2">
        <f t="shared" si="64"/>
        <v>0</v>
      </c>
      <c r="AF56" s="2">
        <f t="shared" si="65"/>
        <v>0</v>
      </c>
      <c r="AG56" s="2">
        <f t="shared" si="34"/>
        <v>0</v>
      </c>
      <c r="AH56" s="2">
        <f t="shared" si="66"/>
        <v>0</v>
      </c>
      <c r="AI56" s="2">
        <f t="shared" si="67"/>
        <v>0</v>
      </c>
      <c r="AJ56" s="2">
        <f t="shared" si="36"/>
        <v>0</v>
      </c>
      <c r="AK56" s="2">
        <v>358.54</v>
      </c>
      <c r="AL56" s="2">
        <v>358.54</v>
      </c>
      <c r="AM56" s="2">
        <v>0</v>
      </c>
      <c r="AN56" s="2">
        <v>0</v>
      </c>
      <c r="AO56" s="2">
        <v>0</v>
      </c>
      <c r="AP56" s="2">
        <v>0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1</v>
      </c>
      <c r="AW56" s="2">
        <v>1</v>
      </c>
      <c r="AX56" s="2"/>
      <c r="AY56" s="2"/>
      <c r="AZ56" s="2">
        <v>1</v>
      </c>
      <c r="BA56" s="2">
        <v>1</v>
      </c>
      <c r="BB56" s="2">
        <v>1</v>
      </c>
      <c r="BC56" s="2">
        <v>1</v>
      </c>
      <c r="BD56" s="2" t="s">
        <v>3</v>
      </c>
      <c r="BE56" s="2" t="s">
        <v>3</v>
      </c>
      <c r="BF56" s="2" t="s">
        <v>3</v>
      </c>
      <c r="BG56" s="2" t="s">
        <v>3</v>
      </c>
      <c r="BH56" s="2">
        <v>3</v>
      </c>
      <c r="BI56" s="2">
        <v>1</v>
      </c>
      <c r="BJ56" s="2" t="s">
        <v>102</v>
      </c>
      <c r="BK56" s="2"/>
      <c r="BL56" s="2"/>
      <c r="BM56" s="2">
        <v>1306</v>
      </c>
      <c r="BN56" s="2">
        <v>7156650</v>
      </c>
      <c r="BO56" s="2" t="s">
        <v>3</v>
      </c>
      <c r="BP56" s="2">
        <v>0</v>
      </c>
      <c r="BQ56" s="2">
        <v>60</v>
      </c>
      <c r="BR56" s="2">
        <v>0</v>
      </c>
      <c r="BS56" s="2">
        <v>1</v>
      </c>
      <c r="BT56" s="2">
        <v>1</v>
      </c>
      <c r="BU56" s="2">
        <v>1</v>
      </c>
      <c r="BV56" s="2">
        <v>1</v>
      </c>
      <c r="BW56" s="2">
        <v>1</v>
      </c>
      <c r="BX56" s="2">
        <v>1</v>
      </c>
      <c r="BY56" s="2" t="s">
        <v>3</v>
      </c>
      <c r="BZ56" s="2">
        <v>0</v>
      </c>
      <c r="CA56" s="2">
        <v>0</v>
      </c>
      <c r="CB56" s="2"/>
      <c r="CC56" s="2"/>
      <c r="CD56" s="2"/>
      <c r="CE56" s="2"/>
      <c r="CF56" s="2">
        <v>0</v>
      </c>
      <c r="CG56" s="2">
        <v>0</v>
      </c>
      <c r="CH56" s="2"/>
      <c r="CI56" s="2"/>
      <c r="CJ56" s="2"/>
      <c r="CK56" s="2"/>
      <c r="CL56" s="2"/>
      <c r="CM56" s="2">
        <v>0</v>
      </c>
      <c r="CN56" s="2" t="s">
        <v>3</v>
      </c>
      <c r="CO56" s="2">
        <v>0</v>
      </c>
      <c r="CP56" s="2">
        <f t="shared" si="37"/>
        <v>1867.99</v>
      </c>
      <c r="CQ56" s="2">
        <f t="shared" si="38"/>
        <v>358.54</v>
      </c>
      <c r="CR56" s="2">
        <f t="shared" si="39"/>
        <v>0</v>
      </c>
      <c r="CS56" s="2">
        <f t="shared" si="40"/>
        <v>0</v>
      </c>
      <c r="CT56" s="2">
        <f t="shared" si="41"/>
        <v>0</v>
      </c>
      <c r="CU56" s="2">
        <f t="shared" si="42"/>
        <v>0</v>
      </c>
      <c r="CV56" s="2">
        <f t="shared" si="43"/>
        <v>0</v>
      </c>
      <c r="CW56" s="2">
        <f t="shared" si="44"/>
        <v>0</v>
      </c>
      <c r="CX56" s="2">
        <f t="shared" si="45"/>
        <v>0</v>
      </c>
      <c r="CY56" s="2">
        <f t="shared" si="46"/>
        <v>0</v>
      </c>
      <c r="CZ56" s="2">
        <f t="shared" si="47"/>
        <v>0</v>
      </c>
      <c r="DA56" s="2"/>
      <c r="DB56" s="2"/>
      <c r="DC56" s="2" t="s">
        <v>3</v>
      </c>
      <c r="DD56" s="2" t="s">
        <v>3</v>
      </c>
      <c r="DE56" s="2" t="s">
        <v>3</v>
      </c>
      <c r="DF56" s="2" t="s">
        <v>3</v>
      </c>
      <c r="DG56" s="2" t="s">
        <v>3</v>
      </c>
      <c r="DH56" s="2" t="s">
        <v>3</v>
      </c>
      <c r="DI56" s="2" t="s">
        <v>3</v>
      </c>
      <c r="DJ56" s="2" t="s">
        <v>3</v>
      </c>
      <c r="DK56" s="2" t="s">
        <v>3</v>
      </c>
      <c r="DL56" s="2" t="s">
        <v>3</v>
      </c>
      <c r="DM56" s="2" t="s">
        <v>3</v>
      </c>
      <c r="DN56" s="2">
        <v>156</v>
      </c>
      <c r="DO56" s="2">
        <v>84</v>
      </c>
      <c r="DP56" s="2">
        <v>1.0469999999999999</v>
      </c>
      <c r="DQ56" s="2">
        <v>1.002</v>
      </c>
      <c r="DR56" s="2"/>
      <c r="DS56" s="2"/>
      <c r="DT56" s="2"/>
      <c r="DU56" s="2">
        <v>1005</v>
      </c>
      <c r="DV56" s="2" t="s">
        <v>101</v>
      </c>
      <c r="DW56" s="2" t="s">
        <v>101</v>
      </c>
      <c r="DX56" s="2">
        <v>1</v>
      </c>
      <c r="DY56" s="2"/>
      <c r="DZ56" s="2"/>
      <c r="EA56" s="2"/>
      <c r="EB56" s="2"/>
      <c r="EC56" s="2"/>
      <c r="ED56" s="2"/>
      <c r="EE56" s="2">
        <v>44847813</v>
      </c>
      <c r="EF56" s="2">
        <v>60</v>
      </c>
      <c r="EG56" s="2" t="s">
        <v>23</v>
      </c>
      <c r="EH56" s="2">
        <v>0</v>
      </c>
      <c r="EI56" s="2" t="s">
        <v>3</v>
      </c>
      <c r="EJ56" s="2">
        <v>1</v>
      </c>
      <c r="EK56" s="2">
        <v>1306</v>
      </c>
      <c r="EL56" s="2" t="s">
        <v>96</v>
      </c>
      <c r="EM56" s="2" t="s">
        <v>97</v>
      </c>
      <c r="EN56" s="2"/>
      <c r="EO56" s="2" t="s">
        <v>3</v>
      </c>
      <c r="EP56" s="2"/>
      <c r="EQ56" s="2">
        <v>0</v>
      </c>
      <c r="ER56" s="2">
        <v>358.54</v>
      </c>
      <c r="ES56" s="2">
        <v>358.54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>
        <v>0</v>
      </c>
      <c r="FR56" s="2">
        <f t="shared" si="48"/>
        <v>0</v>
      </c>
      <c r="FS56" s="2">
        <v>0</v>
      </c>
      <c r="FT56" s="2"/>
      <c r="FU56" s="2"/>
      <c r="FV56" s="2"/>
      <c r="FW56" s="2"/>
      <c r="FX56" s="2">
        <v>156</v>
      </c>
      <c r="FY56" s="2">
        <v>84</v>
      </c>
      <c r="FZ56" s="2"/>
      <c r="GA56" s="2" t="s">
        <v>3</v>
      </c>
      <c r="GB56" s="2"/>
      <c r="GC56" s="2"/>
      <c r="GD56" s="2">
        <v>0</v>
      </c>
      <c r="GE56" s="2"/>
      <c r="GF56" s="2">
        <v>1093334536</v>
      </c>
      <c r="GG56" s="2">
        <v>2</v>
      </c>
      <c r="GH56" s="2">
        <v>1</v>
      </c>
      <c r="GI56" s="2">
        <v>3</v>
      </c>
      <c r="GJ56" s="2">
        <v>0</v>
      </c>
      <c r="GK56" s="2">
        <f>ROUND(R56*(R12)/100,2)</f>
        <v>0</v>
      </c>
      <c r="GL56" s="2">
        <f t="shared" si="49"/>
        <v>0</v>
      </c>
      <c r="GM56" s="2">
        <f t="shared" si="50"/>
        <v>1867.99</v>
      </c>
      <c r="GN56" s="2">
        <f t="shared" si="51"/>
        <v>1867.99</v>
      </c>
      <c r="GO56" s="2">
        <f t="shared" si="52"/>
        <v>0</v>
      </c>
      <c r="GP56" s="2">
        <f t="shared" si="53"/>
        <v>0</v>
      </c>
      <c r="GQ56" s="2"/>
      <c r="GR56" s="2">
        <v>0</v>
      </c>
      <c r="GS56" s="2">
        <v>3</v>
      </c>
      <c r="GT56" s="2">
        <v>0</v>
      </c>
      <c r="GU56" s="2" t="s">
        <v>3</v>
      </c>
      <c r="GV56" s="2">
        <f t="shared" si="54"/>
        <v>0</v>
      </c>
      <c r="GW56" s="2">
        <v>1</v>
      </c>
      <c r="GX56" s="2">
        <f t="shared" si="55"/>
        <v>0</v>
      </c>
      <c r="GY56" s="2"/>
      <c r="GZ56" s="2"/>
      <c r="HA56" s="2">
        <v>0</v>
      </c>
      <c r="HB56" s="2">
        <v>0</v>
      </c>
      <c r="HC56" s="2"/>
      <c r="HD56" s="2"/>
      <c r="HE56" s="2"/>
      <c r="HF56" s="2"/>
      <c r="HG56" s="2"/>
      <c r="HH56" s="2"/>
      <c r="HI56" s="2"/>
      <c r="HJ56" s="2"/>
      <c r="HK56" s="2"/>
      <c r="HL56" s="2"/>
      <c r="HM56" s="2"/>
      <c r="HN56" s="2"/>
      <c r="HO56" s="2"/>
      <c r="HP56" s="2"/>
      <c r="HQ56" s="2"/>
      <c r="HR56" s="2"/>
      <c r="HS56" s="2"/>
      <c r="HT56" s="2"/>
      <c r="HU56" s="2"/>
      <c r="HV56" s="2"/>
      <c r="HW56" s="2"/>
      <c r="HX56" s="2"/>
      <c r="HY56" s="2"/>
      <c r="HZ56" s="2"/>
      <c r="IA56" s="2"/>
      <c r="IB56" s="2"/>
      <c r="IC56" s="2"/>
      <c r="ID56" s="2"/>
      <c r="IE56" s="2"/>
      <c r="IF56" s="2"/>
      <c r="IG56" s="2"/>
      <c r="IH56" s="2"/>
      <c r="II56" s="2"/>
      <c r="IJ56" s="2"/>
      <c r="IK56" s="2">
        <v>0</v>
      </c>
      <c r="IL56" s="2"/>
      <c r="IM56" s="2"/>
      <c r="IN56" s="2"/>
      <c r="IO56" s="2"/>
      <c r="IP56" s="2"/>
      <c r="IQ56" s="2"/>
      <c r="IR56" s="2"/>
      <c r="IS56" s="2"/>
      <c r="IT56" s="2"/>
      <c r="IU56" s="2"/>
    </row>
    <row r="57" spans="1:255" x14ac:dyDescent="0.2">
      <c r="A57">
        <v>18</v>
      </c>
      <c r="B57">
        <v>1</v>
      </c>
      <c r="C57">
        <v>72</v>
      </c>
      <c r="E57" t="s">
        <v>98</v>
      </c>
      <c r="F57" t="s">
        <v>99</v>
      </c>
      <c r="G57" t="s">
        <v>100</v>
      </c>
      <c r="H57" t="s">
        <v>101</v>
      </c>
      <c r="I57">
        <f>I55*J57</f>
        <v>5.21</v>
      </c>
      <c r="J57">
        <v>1</v>
      </c>
      <c r="O57">
        <f t="shared" si="21"/>
        <v>3306.35</v>
      </c>
      <c r="P57">
        <f t="shared" si="22"/>
        <v>3306.35</v>
      </c>
      <c r="Q57">
        <f t="shared" si="23"/>
        <v>0</v>
      </c>
      <c r="R57">
        <f t="shared" si="24"/>
        <v>0</v>
      </c>
      <c r="S57">
        <f t="shared" si="25"/>
        <v>0</v>
      </c>
      <c r="T57">
        <f t="shared" si="26"/>
        <v>0</v>
      </c>
      <c r="U57">
        <f t="shared" si="27"/>
        <v>0</v>
      </c>
      <c r="V57">
        <f t="shared" si="28"/>
        <v>0</v>
      </c>
      <c r="W57">
        <f t="shared" si="29"/>
        <v>0</v>
      </c>
      <c r="X57">
        <f t="shared" si="30"/>
        <v>0</v>
      </c>
      <c r="Y57">
        <f t="shared" si="31"/>
        <v>0</v>
      </c>
      <c r="AA57">
        <v>45037307</v>
      </c>
      <c r="AB57">
        <f t="shared" si="32"/>
        <v>358.54</v>
      </c>
      <c r="AC57">
        <f t="shared" si="61"/>
        <v>358.54</v>
      </c>
      <c r="AD57">
        <f t="shared" si="63"/>
        <v>0</v>
      </c>
      <c r="AE57">
        <f t="shared" si="64"/>
        <v>0</v>
      </c>
      <c r="AF57">
        <f t="shared" si="65"/>
        <v>0</v>
      </c>
      <c r="AG57">
        <f t="shared" si="34"/>
        <v>0</v>
      </c>
      <c r="AH57">
        <f t="shared" si="66"/>
        <v>0</v>
      </c>
      <c r="AI57">
        <f t="shared" si="67"/>
        <v>0</v>
      </c>
      <c r="AJ57">
        <f t="shared" si="36"/>
        <v>0</v>
      </c>
      <c r="AK57">
        <v>358.54</v>
      </c>
      <c r="AL57">
        <v>358.54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1</v>
      </c>
      <c r="AW57">
        <v>1</v>
      </c>
      <c r="AZ57">
        <v>1</v>
      </c>
      <c r="BA57">
        <v>1</v>
      </c>
      <c r="BB57">
        <v>1</v>
      </c>
      <c r="BC57">
        <v>1.77</v>
      </c>
      <c r="BD57" t="s">
        <v>3</v>
      </c>
      <c r="BE57" t="s">
        <v>3</v>
      </c>
      <c r="BF57" t="s">
        <v>3</v>
      </c>
      <c r="BG57" t="s">
        <v>3</v>
      </c>
      <c r="BH57">
        <v>3</v>
      </c>
      <c r="BI57">
        <v>1</v>
      </c>
      <c r="BJ57" t="s">
        <v>102</v>
      </c>
      <c r="BM57">
        <v>1306</v>
      </c>
      <c r="BN57">
        <v>7156650</v>
      </c>
      <c r="BO57" t="s">
        <v>99</v>
      </c>
      <c r="BP57">
        <v>1</v>
      </c>
      <c r="BQ57">
        <v>60</v>
      </c>
      <c r="BR57">
        <v>0</v>
      </c>
      <c r="BS57">
        <v>1</v>
      </c>
      <c r="BT57">
        <v>1</v>
      </c>
      <c r="BU57">
        <v>1</v>
      </c>
      <c r="BV57">
        <v>1</v>
      </c>
      <c r="BW57">
        <v>1</v>
      </c>
      <c r="BX57">
        <v>1</v>
      </c>
      <c r="BY57" t="s">
        <v>3</v>
      </c>
      <c r="BZ57">
        <v>0</v>
      </c>
      <c r="CA57">
        <v>0</v>
      </c>
      <c r="CF57">
        <v>0</v>
      </c>
      <c r="CG57">
        <v>0</v>
      </c>
      <c r="CM57">
        <v>0</v>
      </c>
      <c r="CN57" t="s">
        <v>3</v>
      </c>
      <c r="CO57">
        <v>0</v>
      </c>
      <c r="CP57">
        <f t="shared" si="37"/>
        <v>3306.35</v>
      </c>
      <c r="CQ57">
        <f t="shared" si="38"/>
        <v>634.61580000000004</v>
      </c>
      <c r="CR57">
        <f t="shared" si="39"/>
        <v>0</v>
      </c>
      <c r="CS57">
        <f t="shared" si="40"/>
        <v>0</v>
      </c>
      <c r="CT57">
        <f t="shared" si="41"/>
        <v>0</v>
      </c>
      <c r="CU57">
        <f t="shared" si="42"/>
        <v>0</v>
      </c>
      <c r="CV57">
        <f t="shared" si="43"/>
        <v>0</v>
      </c>
      <c r="CW57">
        <f t="shared" si="44"/>
        <v>0</v>
      </c>
      <c r="CX57">
        <f t="shared" si="45"/>
        <v>0</v>
      </c>
      <c r="CY57">
        <f t="shared" si="46"/>
        <v>0</v>
      </c>
      <c r="CZ57">
        <f t="shared" si="47"/>
        <v>0</v>
      </c>
      <c r="DC57" t="s">
        <v>3</v>
      </c>
      <c r="DD57" t="s">
        <v>3</v>
      </c>
      <c r="DE57" t="s">
        <v>3</v>
      </c>
      <c r="DF57" t="s">
        <v>3</v>
      </c>
      <c r="DG57" t="s">
        <v>3</v>
      </c>
      <c r="DH57" t="s">
        <v>3</v>
      </c>
      <c r="DI57" t="s">
        <v>3</v>
      </c>
      <c r="DJ57" t="s">
        <v>3</v>
      </c>
      <c r="DK57" t="s">
        <v>3</v>
      </c>
      <c r="DL57" t="s">
        <v>3</v>
      </c>
      <c r="DM57" t="s">
        <v>3</v>
      </c>
      <c r="DN57">
        <v>156</v>
      </c>
      <c r="DO57">
        <v>84</v>
      </c>
      <c r="DP57">
        <v>1.0469999999999999</v>
      </c>
      <c r="DQ57">
        <v>1.002</v>
      </c>
      <c r="DU57">
        <v>1005</v>
      </c>
      <c r="DV57" t="s">
        <v>101</v>
      </c>
      <c r="DW57" t="s">
        <v>101</v>
      </c>
      <c r="DX57">
        <v>1</v>
      </c>
      <c r="EE57">
        <v>44847813</v>
      </c>
      <c r="EF57">
        <v>60</v>
      </c>
      <c r="EG57" t="s">
        <v>23</v>
      </c>
      <c r="EH57">
        <v>0</v>
      </c>
      <c r="EI57" t="s">
        <v>3</v>
      </c>
      <c r="EJ57">
        <v>1</v>
      </c>
      <c r="EK57">
        <v>1306</v>
      </c>
      <c r="EL57" t="s">
        <v>96</v>
      </c>
      <c r="EM57" t="s">
        <v>97</v>
      </c>
      <c r="EO57" t="s">
        <v>3</v>
      </c>
      <c r="EQ57">
        <v>0</v>
      </c>
      <c r="ER57">
        <v>358.54</v>
      </c>
      <c r="ES57">
        <v>358.54</v>
      </c>
      <c r="ET57">
        <v>0</v>
      </c>
      <c r="EU57">
        <v>0</v>
      </c>
      <c r="EV57">
        <v>0</v>
      </c>
      <c r="EW57">
        <v>0</v>
      </c>
      <c r="EX57">
        <v>0</v>
      </c>
      <c r="FQ57">
        <v>0</v>
      </c>
      <c r="FR57">
        <f t="shared" si="48"/>
        <v>0</v>
      </c>
      <c r="FS57">
        <v>0</v>
      </c>
      <c r="FX57">
        <v>156</v>
      </c>
      <c r="FY57">
        <v>84</v>
      </c>
      <c r="GA57" t="s">
        <v>3</v>
      </c>
      <c r="GD57">
        <v>0</v>
      </c>
      <c r="GF57">
        <v>1093334536</v>
      </c>
      <c r="GG57">
        <v>2</v>
      </c>
      <c r="GH57">
        <v>1</v>
      </c>
      <c r="GI57">
        <v>3</v>
      </c>
      <c r="GJ57">
        <v>0</v>
      </c>
      <c r="GK57">
        <f>ROUND(R57*(S12)/100,2)</f>
        <v>0</v>
      </c>
      <c r="GL57">
        <f t="shared" si="49"/>
        <v>0</v>
      </c>
      <c r="GM57">
        <f t="shared" si="50"/>
        <v>3306.35</v>
      </c>
      <c r="GN57">
        <f t="shared" si="51"/>
        <v>3306.35</v>
      </c>
      <c r="GO57">
        <f t="shared" si="52"/>
        <v>0</v>
      </c>
      <c r="GP57">
        <f t="shared" si="53"/>
        <v>0</v>
      </c>
      <c r="GR57">
        <v>0</v>
      </c>
      <c r="GS57">
        <v>3</v>
      </c>
      <c r="GT57">
        <v>0</v>
      </c>
      <c r="GU57" t="s">
        <v>3</v>
      </c>
      <c r="GV57">
        <f t="shared" si="54"/>
        <v>0</v>
      </c>
      <c r="GW57">
        <v>1</v>
      </c>
      <c r="GX57">
        <f t="shared" si="55"/>
        <v>0</v>
      </c>
      <c r="HA57">
        <v>0</v>
      </c>
      <c r="HB57">
        <v>0</v>
      </c>
      <c r="IK57">
        <v>0</v>
      </c>
    </row>
    <row r="58" spans="1:255" x14ac:dyDescent="0.2">
      <c r="A58" s="2">
        <v>17</v>
      </c>
      <c r="B58" s="2">
        <v>1</v>
      </c>
      <c r="C58" s="2">
        <f>ROW(SmtRes!A73)</f>
        <v>73</v>
      </c>
      <c r="D58" s="2">
        <f>ROW(EtalonRes!A73)</f>
        <v>73</v>
      </c>
      <c r="E58" s="2" t="s">
        <v>103</v>
      </c>
      <c r="F58" s="2" t="s">
        <v>104</v>
      </c>
      <c r="G58" s="2" t="s">
        <v>105</v>
      </c>
      <c r="H58" s="2" t="s">
        <v>33</v>
      </c>
      <c r="I58" s="2">
        <f>ROUND(3.29/100,9)</f>
        <v>3.2899999999999999E-2</v>
      </c>
      <c r="J58" s="2">
        <v>0</v>
      </c>
      <c r="K58" s="2"/>
      <c r="L58" s="2"/>
      <c r="M58" s="2"/>
      <c r="N58" s="2"/>
      <c r="O58" s="2">
        <f t="shared" si="21"/>
        <v>26.16</v>
      </c>
      <c r="P58" s="2">
        <f t="shared" si="22"/>
        <v>0</v>
      </c>
      <c r="Q58" s="2">
        <f t="shared" si="23"/>
        <v>0</v>
      </c>
      <c r="R58" s="2">
        <f t="shared" si="24"/>
        <v>0</v>
      </c>
      <c r="S58" s="2">
        <f t="shared" si="25"/>
        <v>26.16</v>
      </c>
      <c r="T58" s="2">
        <f t="shared" si="26"/>
        <v>0</v>
      </c>
      <c r="U58" s="2">
        <f t="shared" si="27"/>
        <v>2.7306999999999997</v>
      </c>
      <c r="V58" s="2">
        <f t="shared" si="28"/>
        <v>0</v>
      </c>
      <c r="W58" s="2">
        <f t="shared" si="29"/>
        <v>0</v>
      </c>
      <c r="X58" s="2">
        <f t="shared" si="30"/>
        <v>0</v>
      </c>
      <c r="Y58" s="2">
        <f t="shared" si="31"/>
        <v>0</v>
      </c>
      <c r="Z58" s="2"/>
      <c r="AA58" s="2">
        <v>45037306</v>
      </c>
      <c r="AB58" s="2">
        <f t="shared" si="32"/>
        <v>795.14</v>
      </c>
      <c r="AC58" s="2">
        <f t="shared" si="61"/>
        <v>0</v>
      </c>
      <c r="AD58" s="2">
        <f t="shared" si="63"/>
        <v>0</v>
      </c>
      <c r="AE58" s="2">
        <f t="shared" si="64"/>
        <v>0</v>
      </c>
      <c r="AF58" s="2">
        <f t="shared" si="65"/>
        <v>795.14</v>
      </c>
      <c r="AG58" s="2">
        <f t="shared" si="34"/>
        <v>0</v>
      </c>
      <c r="AH58" s="2">
        <f t="shared" si="66"/>
        <v>83</v>
      </c>
      <c r="AI58" s="2">
        <f t="shared" si="67"/>
        <v>0</v>
      </c>
      <c r="AJ58" s="2">
        <f t="shared" si="36"/>
        <v>0</v>
      </c>
      <c r="AK58" s="2">
        <v>795.14</v>
      </c>
      <c r="AL58" s="2">
        <v>0</v>
      </c>
      <c r="AM58" s="2">
        <v>0</v>
      </c>
      <c r="AN58" s="2">
        <v>0</v>
      </c>
      <c r="AO58" s="2">
        <v>795.14</v>
      </c>
      <c r="AP58" s="2">
        <v>0</v>
      </c>
      <c r="AQ58" s="2">
        <v>83</v>
      </c>
      <c r="AR58" s="2">
        <v>0</v>
      </c>
      <c r="AS58" s="2">
        <v>0</v>
      </c>
      <c r="AT58" s="2">
        <v>0</v>
      </c>
      <c r="AU58" s="2">
        <v>0</v>
      </c>
      <c r="AV58" s="2">
        <v>1</v>
      </c>
      <c r="AW58" s="2">
        <v>1</v>
      </c>
      <c r="AX58" s="2"/>
      <c r="AY58" s="2"/>
      <c r="AZ58" s="2">
        <v>1</v>
      </c>
      <c r="BA58" s="2">
        <v>1</v>
      </c>
      <c r="BB58" s="2">
        <v>1</v>
      </c>
      <c r="BC58" s="2">
        <v>1</v>
      </c>
      <c r="BD58" s="2" t="s">
        <v>3</v>
      </c>
      <c r="BE58" s="2" t="s">
        <v>3</v>
      </c>
      <c r="BF58" s="2" t="s">
        <v>3</v>
      </c>
      <c r="BG58" s="2" t="s">
        <v>3</v>
      </c>
      <c r="BH58" s="2">
        <v>0</v>
      </c>
      <c r="BI58" s="2">
        <v>1</v>
      </c>
      <c r="BJ58" s="2" t="s">
        <v>106</v>
      </c>
      <c r="BK58" s="2"/>
      <c r="BL58" s="2"/>
      <c r="BM58" s="2">
        <v>393</v>
      </c>
      <c r="BN58" s="2">
        <v>7156650</v>
      </c>
      <c r="BO58" s="2" t="s">
        <v>3</v>
      </c>
      <c r="BP58" s="2">
        <v>0</v>
      </c>
      <c r="BQ58" s="2">
        <v>60</v>
      </c>
      <c r="BR58" s="2">
        <v>0</v>
      </c>
      <c r="BS58" s="2">
        <v>1</v>
      </c>
      <c r="BT58" s="2">
        <v>1</v>
      </c>
      <c r="BU58" s="2">
        <v>1</v>
      </c>
      <c r="BV58" s="2">
        <v>1</v>
      </c>
      <c r="BW58" s="2">
        <v>1</v>
      </c>
      <c r="BX58" s="2">
        <v>1</v>
      </c>
      <c r="BY58" s="2" t="s">
        <v>3</v>
      </c>
      <c r="BZ58" s="2">
        <v>0</v>
      </c>
      <c r="CA58" s="2">
        <v>0</v>
      </c>
      <c r="CB58" s="2"/>
      <c r="CC58" s="2"/>
      <c r="CD58" s="2"/>
      <c r="CE58" s="2"/>
      <c r="CF58" s="2">
        <v>0</v>
      </c>
      <c r="CG58" s="2">
        <v>0</v>
      </c>
      <c r="CH58" s="2"/>
      <c r="CI58" s="2"/>
      <c r="CJ58" s="2"/>
      <c r="CK58" s="2"/>
      <c r="CL58" s="2"/>
      <c r="CM58" s="2">
        <v>0</v>
      </c>
      <c r="CN58" s="2" t="s">
        <v>3</v>
      </c>
      <c r="CO58" s="2">
        <v>0</v>
      </c>
      <c r="CP58" s="2">
        <f t="shared" si="37"/>
        <v>26.16</v>
      </c>
      <c r="CQ58" s="2">
        <f t="shared" si="38"/>
        <v>0</v>
      </c>
      <c r="CR58" s="2">
        <f t="shared" si="39"/>
        <v>0</v>
      </c>
      <c r="CS58" s="2">
        <f t="shared" si="40"/>
        <v>0</v>
      </c>
      <c r="CT58" s="2">
        <f t="shared" si="41"/>
        <v>795.14</v>
      </c>
      <c r="CU58" s="2">
        <f t="shared" si="42"/>
        <v>0</v>
      </c>
      <c r="CV58" s="2">
        <f t="shared" si="43"/>
        <v>83</v>
      </c>
      <c r="CW58" s="2">
        <f t="shared" si="44"/>
        <v>0</v>
      </c>
      <c r="CX58" s="2">
        <f t="shared" si="45"/>
        <v>0</v>
      </c>
      <c r="CY58" s="2">
        <f t="shared" si="46"/>
        <v>0</v>
      </c>
      <c r="CZ58" s="2">
        <f t="shared" si="47"/>
        <v>0</v>
      </c>
      <c r="DA58" s="2"/>
      <c r="DB58" s="2"/>
      <c r="DC58" s="2" t="s">
        <v>3</v>
      </c>
      <c r="DD58" s="2" t="s">
        <v>3</v>
      </c>
      <c r="DE58" s="2" t="s">
        <v>3</v>
      </c>
      <c r="DF58" s="2" t="s">
        <v>3</v>
      </c>
      <c r="DG58" s="2" t="s">
        <v>3</v>
      </c>
      <c r="DH58" s="2" t="s">
        <v>3</v>
      </c>
      <c r="DI58" s="2" t="s">
        <v>3</v>
      </c>
      <c r="DJ58" s="2" t="s">
        <v>3</v>
      </c>
      <c r="DK58" s="2" t="s">
        <v>3</v>
      </c>
      <c r="DL58" s="2" t="s">
        <v>3</v>
      </c>
      <c r="DM58" s="2" t="s">
        <v>3</v>
      </c>
      <c r="DN58" s="2">
        <v>91</v>
      </c>
      <c r="DO58" s="2">
        <v>67</v>
      </c>
      <c r="DP58" s="2">
        <v>1.248</v>
      </c>
      <c r="DQ58" s="2">
        <v>1</v>
      </c>
      <c r="DR58" s="2"/>
      <c r="DS58" s="2"/>
      <c r="DT58" s="2"/>
      <c r="DU58" s="2">
        <v>1013</v>
      </c>
      <c r="DV58" s="2" t="s">
        <v>33</v>
      </c>
      <c r="DW58" s="2" t="s">
        <v>33</v>
      </c>
      <c r="DX58" s="2">
        <v>1</v>
      </c>
      <c r="DY58" s="2"/>
      <c r="DZ58" s="2"/>
      <c r="EA58" s="2"/>
      <c r="EB58" s="2"/>
      <c r="EC58" s="2"/>
      <c r="ED58" s="2"/>
      <c r="EE58" s="2">
        <v>44846900</v>
      </c>
      <c r="EF58" s="2">
        <v>60</v>
      </c>
      <c r="EG58" s="2" t="s">
        <v>23</v>
      </c>
      <c r="EH58" s="2">
        <v>0</v>
      </c>
      <c r="EI58" s="2" t="s">
        <v>3</v>
      </c>
      <c r="EJ58" s="2">
        <v>1</v>
      </c>
      <c r="EK58" s="2">
        <v>393</v>
      </c>
      <c r="EL58" s="2" t="s">
        <v>107</v>
      </c>
      <c r="EM58" s="2" t="s">
        <v>108</v>
      </c>
      <c r="EN58" s="2"/>
      <c r="EO58" s="2" t="s">
        <v>3</v>
      </c>
      <c r="EP58" s="2"/>
      <c r="EQ58" s="2">
        <v>131072</v>
      </c>
      <c r="ER58" s="2">
        <v>795.14</v>
      </c>
      <c r="ES58" s="2">
        <v>0</v>
      </c>
      <c r="ET58" s="2">
        <v>0</v>
      </c>
      <c r="EU58" s="2">
        <v>0</v>
      </c>
      <c r="EV58" s="2">
        <v>795.14</v>
      </c>
      <c r="EW58" s="2">
        <v>83</v>
      </c>
      <c r="EX58" s="2">
        <v>0</v>
      </c>
      <c r="EY58" s="2">
        <v>0</v>
      </c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>
        <v>0</v>
      </c>
      <c r="FR58" s="2">
        <f t="shared" si="48"/>
        <v>0</v>
      </c>
      <c r="FS58" s="2">
        <v>0</v>
      </c>
      <c r="FT58" s="2"/>
      <c r="FU58" s="2"/>
      <c r="FV58" s="2"/>
      <c r="FW58" s="2"/>
      <c r="FX58" s="2">
        <v>91</v>
      </c>
      <c r="FY58" s="2">
        <v>67</v>
      </c>
      <c r="FZ58" s="2"/>
      <c r="GA58" s="2" t="s">
        <v>3</v>
      </c>
      <c r="GB58" s="2"/>
      <c r="GC58" s="2"/>
      <c r="GD58" s="2">
        <v>0</v>
      </c>
      <c r="GE58" s="2"/>
      <c r="GF58" s="2">
        <v>2144161260</v>
      </c>
      <c r="GG58" s="2">
        <v>2</v>
      </c>
      <c r="GH58" s="2">
        <v>1</v>
      </c>
      <c r="GI58" s="2">
        <v>3</v>
      </c>
      <c r="GJ58" s="2">
        <v>0</v>
      </c>
      <c r="GK58" s="2">
        <f>ROUND(R58*(R12)/100,2)</f>
        <v>0</v>
      </c>
      <c r="GL58" s="2">
        <f t="shared" si="49"/>
        <v>0</v>
      </c>
      <c r="GM58" s="2">
        <f t="shared" si="50"/>
        <v>26.16</v>
      </c>
      <c r="GN58" s="2">
        <f t="shared" si="51"/>
        <v>26.16</v>
      </c>
      <c r="GO58" s="2">
        <f t="shared" si="52"/>
        <v>0</v>
      </c>
      <c r="GP58" s="2">
        <f t="shared" si="53"/>
        <v>0</v>
      </c>
      <c r="GQ58" s="2"/>
      <c r="GR58" s="2">
        <v>0</v>
      </c>
      <c r="GS58" s="2">
        <v>3</v>
      </c>
      <c r="GT58" s="2">
        <v>0</v>
      </c>
      <c r="GU58" s="2" t="s">
        <v>3</v>
      </c>
      <c r="GV58" s="2">
        <f t="shared" si="54"/>
        <v>0</v>
      </c>
      <c r="GW58" s="2">
        <v>1</v>
      </c>
      <c r="GX58" s="2">
        <f t="shared" si="55"/>
        <v>0</v>
      </c>
      <c r="GY58" s="2"/>
      <c r="GZ58" s="2"/>
      <c r="HA58" s="2">
        <v>0</v>
      </c>
      <c r="HB58" s="2">
        <v>0</v>
      </c>
      <c r="HC58" s="2"/>
      <c r="HD58" s="2"/>
      <c r="HE58" s="2"/>
      <c r="HF58" s="2"/>
      <c r="HG58" s="2"/>
      <c r="HH58" s="2"/>
      <c r="HI58" s="2"/>
      <c r="HJ58" s="2"/>
      <c r="HK58" s="2"/>
      <c r="HL58" s="2"/>
      <c r="HM58" s="2"/>
      <c r="HN58" s="2"/>
      <c r="HO58" s="2"/>
      <c r="HP58" s="2"/>
      <c r="HQ58" s="2"/>
      <c r="HR58" s="2"/>
      <c r="HS58" s="2"/>
      <c r="HT58" s="2"/>
      <c r="HU58" s="2"/>
      <c r="HV58" s="2"/>
      <c r="HW58" s="2"/>
      <c r="HX58" s="2"/>
      <c r="HY58" s="2"/>
      <c r="HZ58" s="2"/>
      <c r="IA58" s="2"/>
      <c r="IB58" s="2"/>
      <c r="IC58" s="2"/>
      <c r="ID58" s="2"/>
      <c r="IE58" s="2"/>
      <c r="IF58" s="2"/>
      <c r="IG58" s="2"/>
      <c r="IH58" s="2"/>
      <c r="II58" s="2"/>
      <c r="IJ58" s="2"/>
      <c r="IK58" s="2">
        <v>0</v>
      </c>
      <c r="IL58" s="2"/>
      <c r="IM58" s="2"/>
      <c r="IN58" s="2"/>
      <c r="IO58" s="2"/>
      <c r="IP58" s="2"/>
      <c r="IQ58" s="2"/>
      <c r="IR58" s="2"/>
      <c r="IS58" s="2"/>
      <c r="IT58" s="2"/>
      <c r="IU58" s="2"/>
    </row>
    <row r="59" spans="1:255" x14ac:dyDescent="0.2">
      <c r="A59">
        <v>17</v>
      </c>
      <c r="B59">
        <v>1</v>
      </c>
      <c r="C59">
        <f>ROW(SmtRes!A74)</f>
        <v>74</v>
      </c>
      <c r="D59">
        <f>ROW(EtalonRes!A74)</f>
        <v>74</v>
      </c>
      <c r="E59" t="s">
        <v>103</v>
      </c>
      <c r="F59" t="s">
        <v>104</v>
      </c>
      <c r="G59" t="s">
        <v>105</v>
      </c>
      <c r="H59" t="s">
        <v>33</v>
      </c>
      <c r="I59">
        <f>ROUND(3.29/100,9)</f>
        <v>3.2899999999999999E-2</v>
      </c>
      <c r="J59">
        <v>0</v>
      </c>
      <c r="O59">
        <f t="shared" si="21"/>
        <v>533.66999999999996</v>
      </c>
      <c r="P59">
        <f t="shared" si="22"/>
        <v>0</v>
      </c>
      <c r="Q59">
        <f t="shared" si="23"/>
        <v>0</v>
      </c>
      <c r="R59">
        <f t="shared" si="24"/>
        <v>0</v>
      </c>
      <c r="S59">
        <f t="shared" si="25"/>
        <v>533.66999999999996</v>
      </c>
      <c r="T59">
        <f t="shared" si="26"/>
        <v>0</v>
      </c>
      <c r="U59">
        <f t="shared" si="27"/>
        <v>2.7306999999999997</v>
      </c>
      <c r="V59">
        <f t="shared" si="28"/>
        <v>0</v>
      </c>
      <c r="W59">
        <f t="shared" si="29"/>
        <v>0</v>
      </c>
      <c r="X59">
        <f t="shared" si="30"/>
        <v>389.58</v>
      </c>
      <c r="Y59">
        <f t="shared" si="31"/>
        <v>218.8</v>
      </c>
      <c r="AA59">
        <v>45037307</v>
      </c>
      <c r="AB59">
        <f t="shared" si="32"/>
        <v>795.14</v>
      </c>
      <c r="AC59">
        <f t="shared" si="61"/>
        <v>0</v>
      </c>
      <c r="AD59">
        <f t="shared" si="63"/>
        <v>0</v>
      </c>
      <c r="AE59">
        <f t="shared" si="64"/>
        <v>0</v>
      </c>
      <c r="AF59">
        <f t="shared" si="65"/>
        <v>795.14</v>
      </c>
      <c r="AG59">
        <f t="shared" si="34"/>
        <v>0</v>
      </c>
      <c r="AH59">
        <f t="shared" si="66"/>
        <v>83</v>
      </c>
      <c r="AI59">
        <f t="shared" si="67"/>
        <v>0</v>
      </c>
      <c r="AJ59">
        <f t="shared" si="36"/>
        <v>0</v>
      </c>
      <c r="AK59">
        <v>795.14</v>
      </c>
      <c r="AL59">
        <v>0</v>
      </c>
      <c r="AM59">
        <v>0</v>
      </c>
      <c r="AN59">
        <v>0</v>
      </c>
      <c r="AO59">
        <v>795.14</v>
      </c>
      <c r="AP59">
        <v>0</v>
      </c>
      <c r="AQ59">
        <v>83</v>
      </c>
      <c r="AR59">
        <v>0</v>
      </c>
      <c r="AS59">
        <v>0</v>
      </c>
      <c r="AT59">
        <v>73</v>
      </c>
      <c r="AU59">
        <v>41</v>
      </c>
      <c r="AV59">
        <v>1</v>
      </c>
      <c r="AW59">
        <v>1</v>
      </c>
      <c r="AZ59">
        <v>1</v>
      </c>
      <c r="BA59">
        <v>20.399999999999999</v>
      </c>
      <c r="BB59">
        <v>1</v>
      </c>
      <c r="BC59">
        <v>1</v>
      </c>
      <c r="BD59" t="s">
        <v>3</v>
      </c>
      <c r="BE59" t="s">
        <v>3</v>
      </c>
      <c r="BF59" t="s">
        <v>3</v>
      </c>
      <c r="BG59" t="s">
        <v>3</v>
      </c>
      <c r="BH59">
        <v>0</v>
      </c>
      <c r="BI59">
        <v>1</v>
      </c>
      <c r="BJ59" t="s">
        <v>106</v>
      </c>
      <c r="BM59">
        <v>393</v>
      </c>
      <c r="BN59">
        <v>7156650</v>
      </c>
      <c r="BO59" t="s">
        <v>104</v>
      </c>
      <c r="BP59">
        <v>1</v>
      </c>
      <c r="BQ59">
        <v>60</v>
      </c>
      <c r="BR59">
        <v>0</v>
      </c>
      <c r="BS59">
        <v>20.399999999999999</v>
      </c>
      <c r="BT59">
        <v>1</v>
      </c>
      <c r="BU59">
        <v>1</v>
      </c>
      <c r="BV59">
        <v>1</v>
      </c>
      <c r="BW59">
        <v>1</v>
      </c>
      <c r="BX59">
        <v>1</v>
      </c>
      <c r="BY59" t="s">
        <v>3</v>
      </c>
      <c r="BZ59">
        <v>73</v>
      </c>
      <c r="CA59">
        <v>41</v>
      </c>
      <c r="CF59">
        <v>0</v>
      </c>
      <c r="CG59">
        <v>0</v>
      </c>
      <c r="CM59">
        <v>0</v>
      </c>
      <c r="CN59" t="s">
        <v>3</v>
      </c>
      <c r="CO59">
        <v>0</v>
      </c>
      <c r="CP59">
        <f t="shared" si="37"/>
        <v>533.66999999999996</v>
      </c>
      <c r="CQ59">
        <f t="shared" si="38"/>
        <v>0</v>
      </c>
      <c r="CR59">
        <f t="shared" si="39"/>
        <v>0</v>
      </c>
      <c r="CS59">
        <f t="shared" si="40"/>
        <v>0</v>
      </c>
      <c r="CT59">
        <f t="shared" si="41"/>
        <v>16220.855999999998</v>
      </c>
      <c r="CU59">
        <f t="shared" si="42"/>
        <v>0</v>
      </c>
      <c r="CV59">
        <f t="shared" si="43"/>
        <v>83</v>
      </c>
      <c r="CW59">
        <f t="shared" si="44"/>
        <v>0</v>
      </c>
      <c r="CX59">
        <f t="shared" si="45"/>
        <v>0</v>
      </c>
      <c r="CY59">
        <f t="shared" si="46"/>
        <v>389.57909999999998</v>
      </c>
      <c r="CZ59">
        <f t="shared" si="47"/>
        <v>218.80469999999997</v>
      </c>
      <c r="DC59" t="s">
        <v>3</v>
      </c>
      <c r="DD59" t="s">
        <v>3</v>
      </c>
      <c r="DE59" t="s">
        <v>3</v>
      </c>
      <c r="DF59" t="s">
        <v>3</v>
      </c>
      <c r="DG59" t="s">
        <v>3</v>
      </c>
      <c r="DH59" t="s">
        <v>3</v>
      </c>
      <c r="DI59" t="s">
        <v>3</v>
      </c>
      <c r="DJ59" t="s">
        <v>3</v>
      </c>
      <c r="DK59" t="s">
        <v>3</v>
      </c>
      <c r="DL59" t="s">
        <v>3</v>
      </c>
      <c r="DM59" t="s">
        <v>3</v>
      </c>
      <c r="DN59">
        <v>91</v>
      </c>
      <c r="DO59">
        <v>67</v>
      </c>
      <c r="DP59">
        <v>1.248</v>
      </c>
      <c r="DQ59">
        <v>1</v>
      </c>
      <c r="DU59">
        <v>1013</v>
      </c>
      <c r="DV59" t="s">
        <v>33</v>
      </c>
      <c r="DW59" t="s">
        <v>33</v>
      </c>
      <c r="DX59">
        <v>1</v>
      </c>
      <c r="EE59">
        <v>44846900</v>
      </c>
      <c r="EF59">
        <v>60</v>
      </c>
      <c r="EG59" t="s">
        <v>23</v>
      </c>
      <c r="EH59">
        <v>0</v>
      </c>
      <c r="EI59" t="s">
        <v>3</v>
      </c>
      <c r="EJ59">
        <v>1</v>
      </c>
      <c r="EK59">
        <v>393</v>
      </c>
      <c r="EL59" t="s">
        <v>107</v>
      </c>
      <c r="EM59" t="s">
        <v>108</v>
      </c>
      <c r="EO59" t="s">
        <v>3</v>
      </c>
      <c r="EQ59">
        <v>131072</v>
      </c>
      <c r="ER59">
        <v>795.14</v>
      </c>
      <c r="ES59">
        <v>0</v>
      </c>
      <c r="ET59">
        <v>0</v>
      </c>
      <c r="EU59">
        <v>0</v>
      </c>
      <c r="EV59">
        <v>795.14</v>
      </c>
      <c r="EW59">
        <v>83</v>
      </c>
      <c r="EX59">
        <v>0</v>
      </c>
      <c r="EY59">
        <v>0</v>
      </c>
      <c r="FQ59">
        <v>0</v>
      </c>
      <c r="FR59">
        <f t="shared" si="48"/>
        <v>0</v>
      </c>
      <c r="FS59">
        <v>0</v>
      </c>
      <c r="FX59">
        <v>91</v>
      </c>
      <c r="FY59">
        <v>67</v>
      </c>
      <c r="GA59" t="s">
        <v>3</v>
      </c>
      <c r="GD59">
        <v>0</v>
      </c>
      <c r="GF59">
        <v>2144161260</v>
      </c>
      <c r="GG59">
        <v>2</v>
      </c>
      <c r="GH59">
        <v>1</v>
      </c>
      <c r="GI59">
        <v>3</v>
      </c>
      <c r="GJ59">
        <v>0</v>
      </c>
      <c r="GK59">
        <f>ROUND(R59*(S12)/100,2)</f>
        <v>0</v>
      </c>
      <c r="GL59">
        <f t="shared" si="49"/>
        <v>0</v>
      </c>
      <c r="GM59">
        <f t="shared" si="50"/>
        <v>1142.05</v>
      </c>
      <c r="GN59">
        <f t="shared" si="51"/>
        <v>1142.05</v>
      </c>
      <c r="GO59">
        <f t="shared" si="52"/>
        <v>0</v>
      </c>
      <c r="GP59">
        <f t="shared" si="53"/>
        <v>0</v>
      </c>
      <c r="GR59">
        <v>0</v>
      </c>
      <c r="GS59">
        <v>3</v>
      </c>
      <c r="GT59">
        <v>0</v>
      </c>
      <c r="GU59" t="s">
        <v>3</v>
      </c>
      <c r="GV59">
        <f t="shared" si="54"/>
        <v>0</v>
      </c>
      <c r="GW59">
        <v>1</v>
      </c>
      <c r="GX59">
        <f t="shared" si="55"/>
        <v>0</v>
      </c>
      <c r="HA59">
        <v>0</v>
      </c>
      <c r="HB59">
        <v>0</v>
      </c>
      <c r="IK59">
        <v>0</v>
      </c>
    </row>
    <row r="60" spans="1:255" x14ac:dyDescent="0.2">
      <c r="A60" s="2">
        <v>17</v>
      </c>
      <c r="B60" s="2">
        <v>1</v>
      </c>
      <c r="C60" s="2">
        <f>ROW(SmtRes!A75)</f>
        <v>75</v>
      </c>
      <c r="D60" s="2">
        <f>ROW(EtalonRes!A75)</f>
        <v>75</v>
      </c>
      <c r="E60" s="2" t="s">
        <v>109</v>
      </c>
      <c r="F60" s="2" t="s">
        <v>110</v>
      </c>
      <c r="G60" s="2" t="s">
        <v>111</v>
      </c>
      <c r="H60" s="2" t="s">
        <v>112</v>
      </c>
      <c r="I60" s="2">
        <v>3.29</v>
      </c>
      <c r="J60" s="2">
        <v>0</v>
      </c>
      <c r="K60" s="2"/>
      <c r="L60" s="2"/>
      <c r="M60" s="2"/>
      <c r="N60" s="2"/>
      <c r="O60" s="2">
        <f t="shared" si="21"/>
        <v>175.78</v>
      </c>
      <c r="P60" s="2">
        <f t="shared" si="22"/>
        <v>0</v>
      </c>
      <c r="Q60" s="2">
        <f t="shared" si="23"/>
        <v>175.78</v>
      </c>
      <c r="R60" s="2">
        <f t="shared" si="24"/>
        <v>0</v>
      </c>
      <c r="S60" s="2">
        <f t="shared" si="25"/>
        <v>0</v>
      </c>
      <c r="T60" s="2">
        <f t="shared" si="26"/>
        <v>0</v>
      </c>
      <c r="U60" s="2">
        <f t="shared" si="27"/>
        <v>0</v>
      </c>
      <c r="V60" s="2">
        <f t="shared" si="28"/>
        <v>0</v>
      </c>
      <c r="W60" s="2">
        <f t="shared" si="29"/>
        <v>0</v>
      </c>
      <c r="X60" s="2">
        <f t="shared" si="30"/>
        <v>0</v>
      </c>
      <c r="Y60" s="2">
        <f t="shared" si="31"/>
        <v>0</v>
      </c>
      <c r="Z60" s="2"/>
      <c r="AA60" s="2">
        <v>45037306</v>
      </c>
      <c r="AB60" s="2">
        <f t="shared" si="32"/>
        <v>53.43</v>
      </c>
      <c r="AC60" s="2">
        <f t="shared" si="61"/>
        <v>0</v>
      </c>
      <c r="AD60" s="2">
        <f t="shared" si="63"/>
        <v>53.43</v>
      </c>
      <c r="AE60" s="2">
        <f t="shared" si="64"/>
        <v>0</v>
      </c>
      <c r="AF60" s="2">
        <f t="shared" si="65"/>
        <v>0</v>
      </c>
      <c r="AG60" s="2">
        <f t="shared" si="34"/>
        <v>0</v>
      </c>
      <c r="AH60" s="2">
        <f t="shared" si="66"/>
        <v>0</v>
      </c>
      <c r="AI60" s="2">
        <f t="shared" si="67"/>
        <v>0</v>
      </c>
      <c r="AJ60" s="2">
        <f t="shared" si="36"/>
        <v>0</v>
      </c>
      <c r="AK60" s="2">
        <v>53.43</v>
      </c>
      <c r="AL60" s="2">
        <v>0</v>
      </c>
      <c r="AM60" s="2">
        <v>53.43</v>
      </c>
      <c r="AN60" s="2">
        <v>0</v>
      </c>
      <c r="AO60" s="2">
        <v>0</v>
      </c>
      <c r="AP60" s="2">
        <v>0</v>
      </c>
      <c r="AQ60" s="2">
        <v>0</v>
      </c>
      <c r="AR60" s="2">
        <v>0</v>
      </c>
      <c r="AS60" s="2">
        <v>0</v>
      </c>
      <c r="AT60" s="2">
        <v>0</v>
      </c>
      <c r="AU60" s="2">
        <v>0</v>
      </c>
      <c r="AV60" s="2">
        <v>1</v>
      </c>
      <c r="AW60" s="2">
        <v>1</v>
      </c>
      <c r="AX60" s="2"/>
      <c r="AY60" s="2"/>
      <c r="AZ60" s="2">
        <v>1</v>
      </c>
      <c r="BA60" s="2">
        <v>1</v>
      </c>
      <c r="BB60" s="2">
        <v>1</v>
      </c>
      <c r="BC60" s="2">
        <v>1</v>
      </c>
      <c r="BD60" s="2" t="s">
        <v>3</v>
      </c>
      <c r="BE60" s="2" t="s">
        <v>3</v>
      </c>
      <c r="BF60" s="2" t="s">
        <v>3</v>
      </c>
      <c r="BG60" s="2" t="s">
        <v>3</v>
      </c>
      <c r="BH60" s="2">
        <v>0</v>
      </c>
      <c r="BI60" s="2">
        <v>4</v>
      </c>
      <c r="BJ60" s="2" t="s">
        <v>113</v>
      </c>
      <c r="BK60" s="2"/>
      <c r="BL60" s="2"/>
      <c r="BM60" s="2">
        <v>1110</v>
      </c>
      <c r="BN60" s="2">
        <v>7156650</v>
      </c>
      <c r="BO60" s="2" t="s">
        <v>3</v>
      </c>
      <c r="BP60" s="2">
        <v>0</v>
      </c>
      <c r="BQ60" s="2">
        <v>150</v>
      </c>
      <c r="BR60" s="2">
        <v>0</v>
      </c>
      <c r="BS60" s="2">
        <v>1</v>
      </c>
      <c r="BT60" s="2">
        <v>1</v>
      </c>
      <c r="BU60" s="2">
        <v>1</v>
      </c>
      <c r="BV60" s="2">
        <v>1</v>
      </c>
      <c r="BW60" s="2">
        <v>1</v>
      </c>
      <c r="BX60" s="2">
        <v>1</v>
      </c>
      <c r="BY60" s="2" t="s">
        <v>3</v>
      </c>
      <c r="BZ60" s="2">
        <v>0</v>
      </c>
      <c r="CA60" s="2">
        <v>0</v>
      </c>
      <c r="CB60" s="2"/>
      <c r="CC60" s="2"/>
      <c r="CD60" s="2"/>
      <c r="CE60" s="2"/>
      <c r="CF60" s="2">
        <v>0</v>
      </c>
      <c r="CG60" s="2">
        <v>0</v>
      </c>
      <c r="CH60" s="2"/>
      <c r="CI60" s="2"/>
      <c r="CJ60" s="2"/>
      <c r="CK60" s="2"/>
      <c r="CL60" s="2"/>
      <c r="CM60" s="2">
        <v>0</v>
      </c>
      <c r="CN60" s="2" t="s">
        <v>3</v>
      </c>
      <c r="CO60" s="2">
        <v>0</v>
      </c>
      <c r="CP60" s="2">
        <f t="shared" si="37"/>
        <v>175.78</v>
      </c>
      <c r="CQ60" s="2">
        <f t="shared" si="38"/>
        <v>0</v>
      </c>
      <c r="CR60" s="2">
        <f t="shared" si="39"/>
        <v>53.43</v>
      </c>
      <c r="CS60" s="2">
        <f t="shared" si="40"/>
        <v>0</v>
      </c>
      <c r="CT60" s="2">
        <f t="shared" si="41"/>
        <v>0</v>
      </c>
      <c r="CU60" s="2">
        <f t="shared" si="42"/>
        <v>0</v>
      </c>
      <c r="CV60" s="2">
        <f t="shared" si="43"/>
        <v>0</v>
      </c>
      <c r="CW60" s="2">
        <f t="shared" si="44"/>
        <v>0</v>
      </c>
      <c r="CX60" s="2">
        <f t="shared" si="45"/>
        <v>0</v>
      </c>
      <c r="CY60" s="2">
        <f t="shared" si="46"/>
        <v>0</v>
      </c>
      <c r="CZ60" s="2">
        <f t="shared" si="47"/>
        <v>0</v>
      </c>
      <c r="DA60" s="2"/>
      <c r="DB60" s="2"/>
      <c r="DC60" s="2" t="s">
        <v>3</v>
      </c>
      <c r="DD60" s="2" t="s">
        <v>3</v>
      </c>
      <c r="DE60" s="2" t="s">
        <v>3</v>
      </c>
      <c r="DF60" s="2" t="s">
        <v>3</v>
      </c>
      <c r="DG60" s="2" t="s">
        <v>3</v>
      </c>
      <c r="DH60" s="2" t="s">
        <v>3</v>
      </c>
      <c r="DI60" s="2" t="s">
        <v>3</v>
      </c>
      <c r="DJ60" s="2" t="s">
        <v>3</v>
      </c>
      <c r="DK60" s="2" t="s">
        <v>3</v>
      </c>
      <c r="DL60" s="2" t="s">
        <v>3</v>
      </c>
      <c r="DM60" s="2" t="s">
        <v>3</v>
      </c>
      <c r="DN60" s="2">
        <v>0</v>
      </c>
      <c r="DO60" s="2">
        <v>0</v>
      </c>
      <c r="DP60" s="2">
        <v>1</v>
      </c>
      <c r="DQ60" s="2">
        <v>1</v>
      </c>
      <c r="DR60" s="2"/>
      <c r="DS60" s="2"/>
      <c r="DT60" s="2"/>
      <c r="DU60" s="2">
        <v>1013</v>
      </c>
      <c r="DV60" s="2" t="s">
        <v>112</v>
      </c>
      <c r="DW60" s="2" t="s">
        <v>112</v>
      </c>
      <c r="DX60" s="2">
        <v>1</v>
      </c>
      <c r="DY60" s="2"/>
      <c r="DZ60" s="2"/>
      <c r="EA60" s="2"/>
      <c r="EB60" s="2"/>
      <c r="EC60" s="2"/>
      <c r="ED60" s="2"/>
      <c r="EE60" s="2">
        <v>44847617</v>
      </c>
      <c r="EF60" s="2">
        <v>150</v>
      </c>
      <c r="EG60" s="2" t="s">
        <v>114</v>
      </c>
      <c r="EH60" s="2">
        <v>0</v>
      </c>
      <c r="EI60" s="2" t="s">
        <v>3</v>
      </c>
      <c r="EJ60" s="2">
        <v>4</v>
      </c>
      <c r="EK60" s="2">
        <v>1110</v>
      </c>
      <c r="EL60" s="2" t="s">
        <v>115</v>
      </c>
      <c r="EM60" s="2" t="s">
        <v>116</v>
      </c>
      <c r="EN60" s="2"/>
      <c r="EO60" s="2" t="s">
        <v>3</v>
      </c>
      <c r="EP60" s="2"/>
      <c r="EQ60" s="2">
        <v>131072</v>
      </c>
      <c r="ER60" s="2">
        <v>53.43</v>
      </c>
      <c r="ES60" s="2">
        <v>0</v>
      </c>
      <c r="ET60" s="2">
        <v>53.43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>
        <v>0</v>
      </c>
      <c r="FR60" s="2">
        <f t="shared" si="48"/>
        <v>0</v>
      </c>
      <c r="FS60" s="2">
        <v>0</v>
      </c>
      <c r="FT60" s="2"/>
      <c r="FU60" s="2"/>
      <c r="FV60" s="2"/>
      <c r="FW60" s="2"/>
      <c r="FX60" s="2">
        <v>0</v>
      </c>
      <c r="FY60" s="2">
        <v>0</v>
      </c>
      <c r="FZ60" s="2"/>
      <c r="GA60" s="2" t="s">
        <v>3</v>
      </c>
      <c r="GB60" s="2"/>
      <c r="GC60" s="2"/>
      <c r="GD60" s="2">
        <v>0</v>
      </c>
      <c r="GE60" s="2"/>
      <c r="GF60" s="2">
        <v>849154990</v>
      </c>
      <c r="GG60" s="2">
        <v>2</v>
      </c>
      <c r="GH60" s="2">
        <v>1</v>
      </c>
      <c r="GI60" s="2">
        <v>3</v>
      </c>
      <c r="GJ60" s="2">
        <v>0</v>
      </c>
      <c r="GK60" s="2">
        <f>ROUND(R60*(R12)/100,2)</f>
        <v>0</v>
      </c>
      <c r="GL60" s="2">
        <f t="shared" si="49"/>
        <v>0</v>
      </c>
      <c r="GM60" s="2">
        <f t="shared" si="50"/>
        <v>175.78</v>
      </c>
      <c r="GN60" s="2">
        <f t="shared" si="51"/>
        <v>0</v>
      </c>
      <c r="GO60" s="2">
        <f t="shared" si="52"/>
        <v>0</v>
      </c>
      <c r="GP60" s="2">
        <f t="shared" si="53"/>
        <v>175.78</v>
      </c>
      <c r="GQ60" s="2"/>
      <c r="GR60" s="2">
        <v>0</v>
      </c>
      <c r="GS60" s="2">
        <v>3</v>
      </c>
      <c r="GT60" s="2">
        <v>0</v>
      </c>
      <c r="GU60" s="2" t="s">
        <v>3</v>
      </c>
      <c r="GV60" s="2">
        <f t="shared" si="54"/>
        <v>0</v>
      </c>
      <c r="GW60" s="2">
        <v>1</v>
      </c>
      <c r="GX60" s="2">
        <f t="shared" si="55"/>
        <v>0</v>
      </c>
      <c r="GY60" s="2"/>
      <c r="GZ60" s="2"/>
      <c r="HA60" s="2">
        <v>0</v>
      </c>
      <c r="HB60" s="2">
        <v>0</v>
      </c>
      <c r="HC60" s="2"/>
      <c r="HD60" s="2"/>
      <c r="HE60" s="2"/>
      <c r="HF60" s="2"/>
      <c r="HG60" s="2"/>
      <c r="HH60" s="2"/>
      <c r="HI60" s="2"/>
      <c r="HJ60" s="2"/>
      <c r="HK60" s="2"/>
      <c r="HL60" s="2"/>
      <c r="HM60" s="2"/>
      <c r="HN60" s="2"/>
      <c r="HO60" s="2"/>
      <c r="HP60" s="2"/>
      <c r="HQ60" s="2"/>
      <c r="HR60" s="2"/>
      <c r="HS60" s="2"/>
      <c r="HT60" s="2"/>
      <c r="HU60" s="2"/>
      <c r="HV60" s="2"/>
      <c r="HW60" s="2"/>
      <c r="HX60" s="2"/>
      <c r="HY60" s="2"/>
      <c r="HZ60" s="2"/>
      <c r="IA60" s="2"/>
      <c r="IB60" s="2"/>
      <c r="IC60" s="2"/>
      <c r="ID60" s="2"/>
      <c r="IE60" s="2"/>
      <c r="IF60" s="2"/>
      <c r="IG60" s="2"/>
      <c r="IH60" s="2"/>
      <c r="II60" s="2"/>
      <c r="IJ60" s="2"/>
      <c r="IK60" s="2">
        <v>0</v>
      </c>
      <c r="IL60" s="2"/>
      <c r="IM60" s="2"/>
      <c r="IN60" s="2"/>
      <c r="IO60" s="2"/>
      <c r="IP60" s="2"/>
      <c r="IQ60" s="2"/>
      <c r="IR60" s="2"/>
      <c r="IS60" s="2"/>
      <c r="IT60" s="2"/>
      <c r="IU60" s="2"/>
    </row>
    <row r="61" spans="1:255" x14ac:dyDescent="0.2">
      <c r="A61">
        <v>17</v>
      </c>
      <c r="B61">
        <v>1</v>
      </c>
      <c r="C61">
        <f>ROW(SmtRes!A76)</f>
        <v>76</v>
      </c>
      <c r="D61">
        <f>ROW(EtalonRes!A76)</f>
        <v>76</v>
      </c>
      <c r="E61" t="s">
        <v>109</v>
      </c>
      <c r="F61" t="s">
        <v>110</v>
      </c>
      <c r="G61" t="s">
        <v>111</v>
      </c>
      <c r="H61" t="s">
        <v>112</v>
      </c>
      <c r="I61">
        <v>3.29</v>
      </c>
      <c r="J61">
        <v>0</v>
      </c>
      <c r="O61">
        <f t="shared" si="21"/>
        <v>1720.93</v>
      </c>
      <c r="P61">
        <f t="shared" si="22"/>
        <v>0</v>
      </c>
      <c r="Q61">
        <f t="shared" si="23"/>
        <v>1720.93</v>
      </c>
      <c r="R61">
        <f t="shared" si="24"/>
        <v>0</v>
      </c>
      <c r="S61">
        <f t="shared" si="25"/>
        <v>0</v>
      </c>
      <c r="T61">
        <f t="shared" si="26"/>
        <v>0</v>
      </c>
      <c r="U61">
        <f t="shared" si="27"/>
        <v>0</v>
      </c>
      <c r="V61">
        <f t="shared" si="28"/>
        <v>0</v>
      </c>
      <c r="W61">
        <f t="shared" si="29"/>
        <v>0</v>
      </c>
      <c r="X61">
        <f t="shared" si="30"/>
        <v>0</v>
      </c>
      <c r="Y61">
        <f t="shared" si="31"/>
        <v>0</v>
      </c>
      <c r="AA61">
        <v>45037307</v>
      </c>
      <c r="AB61">
        <f t="shared" si="32"/>
        <v>53.43</v>
      </c>
      <c r="AC61">
        <f t="shared" si="61"/>
        <v>0</v>
      </c>
      <c r="AD61">
        <f t="shared" si="63"/>
        <v>53.43</v>
      </c>
      <c r="AE61">
        <f t="shared" si="64"/>
        <v>0</v>
      </c>
      <c r="AF61">
        <f t="shared" si="65"/>
        <v>0</v>
      </c>
      <c r="AG61">
        <f t="shared" si="34"/>
        <v>0</v>
      </c>
      <c r="AH61">
        <f t="shared" si="66"/>
        <v>0</v>
      </c>
      <c r="AI61">
        <f t="shared" si="67"/>
        <v>0</v>
      </c>
      <c r="AJ61">
        <f t="shared" si="36"/>
        <v>0</v>
      </c>
      <c r="AK61">
        <v>53.43</v>
      </c>
      <c r="AL61">
        <v>0</v>
      </c>
      <c r="AM61">
        <v>53.43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1</v>
      </c>
      <c r="AW61">
        <v>1</v>
      </c>
      <c r="AZ61">
        <v>1</v>
      </c>
      <c r="BA61">
        <v>20.399999999999999</v>
      </c>
      <c r="BB61">
        <v>9.7899999999999991</v>
      </c>
      <c r="BC61">
        <v>1</v>
      </c>
      <c r="BD61" t="s">
        <v>3</v>
      </c>
      <c r="BE61" t="s">
        <v>3</v>
      </c>
      <c r="BF61" t="s">
        <v>3</v>
      </c>
      <c r="BG61" t="s">
        <v>3</v>
      </c>
      <c r="BH61">
        <v>0</v>
      </c>
      <c r="BI61">
        <v>4</v>
      </c>
      <c r="BJ61" t="s">
        <v>113</v>
      </c>
      <c r="BM61">
        <v>1110</v>
      </c>
      <c r="BN61">
        <v>7156650</v>
      </c>
      <c r="BO61" t="s">
        <v>110</v>
      </c>
      <c r="BP61">
        <v>1</v>
      </c>
      <c r="BQ61">
        <v>150</v>
      </c>
      <c r="BR61">
        <v>0</v>
      </c>
      <c r="BS61">
        <v>20.399999999999999</v>
      </c>
      <c r="BT61">
        <v>1</v>
      </c>
      <c r="BU61">
        <v>1</v>
      </c>
      <c r="BV61">
        <v>1</v>
      </c>
      <c r="BW61">
        <v>1</v>
      </c>
      <c r="BX61">
        <v>1</v>
      </c>
      <c r="BY61" t="s">
        <v>3</v>
      </c>
      <c r="BZ61">
        <v>0</v>
      </c>
      <c r="CA61">
        <v>0</v>
      </c>
      <c r="CF61">
        <v>0</v>
      </c>
      <c r="CG61">
        <v>0</v>
      </c>
      <c r="CM61">
        <v>0</v>
      </c>
      <c r="CN61" t="s">
        <v>3</v>
      </c>
      <c r="CO61">
        <v>0</v>
      </c>
      <c r="CP61">
        <f t="shared" si="37"/>
        <v>1720.93</v>
      </c>
      <c r="CQ61">
        <f t="shared" si="38"/>
        <v>0</v>
      </c>
      <c r="CR61">
        <f t="shared" si="39"/>
        <v>523.0797</v>
      </c>
      <c r="CS61">
        <f t="shared" si="40"/>
        <v>0</v>
      </c>
      <c r="CT61">
        <f t="shared" si="41"/>
        <v>0</v>
      </c>
      <c r="CU61">
        <f t="shared" si="42"/>
        <v>0</v>
      </c>
      <c r="CV61">
        <f t="shared" si="43"/>
        <v>0</v>
      </c>
      <c r="CW61">
        <f t="shared" si="44"/>
        <v>0</v>
      </c>
      <c r="CX61">
        <f t="shared" si="45"/>
        <v>0</v>
      </c>
      <c r="CY61">
        <f t="shared" si="46"/>
        <v>0</v>
      </c>
      <c r="CZ61">
        <f t="shared" si="47"/>
        <v>0</v>
      </c>
      <c r="DC61" t="s">
        <v>3</v>
      </c>
      <c r="DD61" t="s">
        <v>3</v>
      </c>
      <c r="DE61" t="s">
        <v>3</v>
      </c>
      <c r="DF61" t="s">
        <v>3</v>
      </c>
      <c r="DG61" t="s">
        <v>3</v>
      </c>
      <c r="DH61" t="s">
        <v>3</v>
      </c>
      <c r="DI61" t="s">
        <v>3</v>
      </c>
      <c r="DJ61" t="s">
        <v>3</v>
      </c>
      <c r="DK61" t="s">
        <v>3</v>
      </c>
      <c r="DL61" t="s">
        <v>3</v>
      </c>
      <c r="DM61" t="s">
        <v>3</v>
      </c>
      <c r="DN61">
        <v>0</v>
      </c>
      <c r="DO61">
        <v>0</v>
      </c>
      <c r="DP61">
        <v>1</v>
      </c>
      <c r="DQ61">
        <v>1</v>
      </c>
      <c r="DU61">
        <v>1013</v>
      </c>
      <c r="DV61" t="s">
        <v>112</v>
      </c>
      <c r="DW61" t="s">
        <v>112</v>
      </c>
      <c r="DX61">
        <v>1</v>
      </c>
      <c r="EE61">
        <v>44847617</v>
      </c>
      <c r="EF61">
        <v>150</v>
      </c>
      <c r="EG61" t="s">
        <v>114</v>
      </c>
      <c r="EH61">
        <v>0</v>
      </c>
      <c r="EI61" t="s">
        <v>3</v>
      </c>
      <c r="EJ61">
        <v>4</v>
      </c>
      <c r="EK61">
        <v>1110</v>
      </c>
      <c r="EL61" t="s">
        <v>115</v>
      </c>
      <c r="EM61" t="s">
        <v>116</v>
      </c>
      <c r="EO61" t="s">
        <v>3</v>
      </c>
      <c r="EQ61">
        <v>131072</v>
      </c>
      <c r="ER61">
        <v>53.43</v>
      </c>
      <c r="ES61">
        <v>0</v>
      </c>
      <c r="ET61">
        <v>53.43</v>
      </c>
      <c r="EU61">
        <v>0</v>
      </c>
      <c r="EV61">
        <v>0</v>
      </c>
      <c r="EW61">
        <v>0</v>
      </c>
      <c r="EX61">
        <v>0</v>
      </c>
      <c r="EY61">
        <v>0</v>
      </c>
      <c r="FQ61">
        <v>0</v>
      </c>
      <c r="FR61">
        <f t="shared" si="48"/>
        <v>0</v>
      </c>
      <c r="FS61">
        <v>0</v>
      </c>
      <c r="FX61">
        <v>0</v>
      </c>
      <c r="FY61">
        <v>0</v>
      </c>
      <c r="GA61" t="s">
        <v>3</v>
      </c>
      <c r="GD61">
        <v>0</v>
      </c>
      <c r="GF61">
        <v>849154990</v>
      </c>
      <c r="GG61">
        <v>2</v>
      </c>
      <c r="GH61">
        <v>1</v>
      </c>
      <c r="GI61">
        <v>3</v>
      </c>
      <c r="GJ61">
        <v>0</v>
      </c>
      <c r="GK61">
        <f>ROUND(R61*(S12)/100,2)</f>
        <v>0</v>
      </c>
      <c r="GL61">
        <f t="shared" si="49"/>
        <v>0</v>
      </c>
      <c r="GM61">
        <f t="shared" si="50"/>
        <v>1720.93</v>
      </c>
      <c r="GN61">
        <f t="shared" si="51"/>
        <v>0</v>
      </c>
      <c r="GO61">
        <f t="shared" si="52"/>
        <v>0</v>
      </c>
      <c r="GP61">
        <f t="shared" si="53"/>
        <v>1720.93</v>
      </c>
      <c r="GR61">
        <v>0</v>
      </c>
      <c r="GS61">
        <v>3</v>
      </c>
      <c r="GT61">
        <v>0</v>
      </c>
      <c r="GU61" t="s">
        <v>3</v>
      </c>
      <c r="GV61">
        <f t="shared" si="54"/>
        <v>0</v>
      </c>
      <c r="GW61">
        <v>1</v>
      </c>
      <c r="GX61">
        <f t="shared" si="55"/>
        <v>0</v>
      </c>
      <c r="HA61">
        <v>0</v>
      </c>
      <c r="HB61">
        <v>0</v>
      </c>
      <c r="IK61">
        <v>0</v>
      </c>
    </row>
    <row r="63" spans="1:255" x14ac:dyDescent="0.2">
      <c r="A63" s="3">
        <v>51</v>
      </c>
      <c r="B63" s="3">
        <f>B24</f>
        <v>1</v>
      </c>
      <c r="C63" s="3">
        <f>A24</f>
        <v>4</v>
      </c>
      <c r="D63" s="3">
        <f>ROW(A24)</f>
        <v>24</v>
      </c>
      <c r="E63" s="3"/>
      <c r="F63" s="3" t="str">
        <f>IF(F24&lt;&gt;"",F24,"")</f>
        <v>Новый раздел</v>
      </c>
      <c r="G63" s="3" t="str">
        <f>IF(G24&lt;&gt;"",G24,"")</f>
        <v>Наружные работы</v>
      </c>
      <c r="H63" s="3">
        <v>0</v>
      </c>
      <c r="I63" s="3"/>
      <c r="J63" s="3"/>
      <c r="K63" s="3"/>
      <c r="L63" s="3"/>
      <c r="M63" s="3"/>
      <c r="N63" s="3"/>
      <c r="O63" s="3">
        <f t="shared" ref="O63:T63" si="68">ROUND(AB63,2)</f>
        <v>4038.94</v>
      </c>
      <c r="P63" s="3">
        <f t="shared" si="68"/>
        <v>3347.09</v>
      </c>
      <c r="Q63" s="3">
        <f t="shared" si="68"/>
        <v>368.07</v>
      </c>
      <c r="R63" s="3">
        <f t="shared" si="68"/>
        <v>35.51</v>
      </c>
      <c r="S63" s="3">
        <f t="shared" si="68"/>
        <v>323.77999999999997</v>
      </c>
      <c r="T63" s="3">
        <f t="shared" si="68"/>
        <v>0</v>
      </c>
      <c r="U63" s="3">
        <f>AH63</f>
        <v>30.291389649999999</v>
      </c>
      <c r="V63" s="3">
        <f>AI63</f>
        <v>0</v>
      </c>
      <c r="W63" s="3">
        <f>ROUND(AJ63,2)</f>
        <v>0</v>
      </c>
      <c r="X63" s="3">
        <f>ROUND(AK63,2)</f>
        <v>0</v>
      </c>
      <c r="Y63" s="3">
        <f>ROUND(AL63,2)</f>
        <v>0</v>
      </c>
      <c r="Z63" s="3"/>
      <c r="AA63" s="3"/>
      <c r="AB63" s="3">
        <f>ROUND(SUMIF(AA28:AA61,"=45037306",O28:O61),2)</f>
        <v>4038.94</v>
      </c>
      <c r="AC63" s="3">
        <f>ROUND(SUMIF(AA28:AA61,"=45037306",P28:P61),2)</f>
        <v>3347.09</v>
      </c>
      <c r="AD63" s="3">
        <f>ROUND(SUMIF(AA28:AA61,"=45037306",Q28:Q61),2)</f>
        <v>368.07</v>
      </c>
      <c r="AE63" s="3">
        <f>ROUND(SUMIF(AA28:AA61,"=45037306",R28:R61),2)</f>
        <v>35.51</v>
      </c>
      <c r="AF63" s="3">
        <f>ROUND(SUMIF(AA28:AA61,"=45037306",S28:S61),2)</f>
        <v>323.77999999999997</v>
      </c>
      <c r="AG63" s="3">
        <f>ROUND(SUMIF(AA28:AA61,"=45037306",T28:T61),2)</f>
        <v>0</v>
      </c>
      <c r="AH63" s="3">
        <f>SUMIF(AA28:AA61,"=45037306",U28:U61)</f>
        <v>30.291389649999999</v>
      </c>
      <c r="AI63" s="3">
        <f>SUMIF(AA28:AA61,"=45037306",V28:V61)</f>
        <v>0</v>
      </c>
      <c r="AJ63" s="3">
        <f>ROUND(SUMIF(AA28:AA61,"=45037306",W28:W61),2)</f>
        <v>0</v>
      </c>
      <c r="AK63" s="3">
        <f>ROUND(SUMIF(AA28:AA61,"=45037306",X28:X61),2)</f>
        <v>0</v>
      </c>
      <c r="AL63" s="3">
        <f>ROUND(SUMIF(AA28:AA61,"=45037306",Y28:Y61),2)</f>
        <v>0</v>
      </c>
      <c r="AM63" s="3"/>
      <c r="AN63" s="3"/>
      <c r="AO63" s="3">
        <f t="shared" ref="AO63:BC63" si="69">ROUND(BX63,2)</f>
        <v>0</v>
      </c>
      <c r="AP63" s="3">
        <f t="shared" si="69"/>
        <v>0</v>
      </c>
      <c r="AQ63" s="3">
        <f t="shared" si="69"/>
        <v>0</v>
      </c>
      <c r="AR63" s="3">
        <f t="shared" si="69"/>
        <v>4102.8500000000004</v>
      </c>
      <c r="AS63" s="3">
        <f t="shared" si="69"/>
        <v>3927.07</v>
      </c>
      <c r="AT63" s="3">
        <f t="shared" si="69"/>
        <v>0</v>
      </c>
      <c r="AU63" s="3">
        <f t="shared" si="69"/>
        <v>175.78</v>
      </c>
      <c r="AV63" s="3">
        <f t="shared" si="69"/>
        <v>3347.09</v>
      </c>
      <c r="AW63" s="3">
        <f t="shared" si="69"/>
        <v>3347.09</v>
      </c>
      <c r="AX63" s="3">
        <f t="shared" si="69"/>
        <v>0</v>
      </c>
      <c r="AY63" s="3">
        <f t="shared" si="69"/>
        <v>3347.09</v>
      </c>
      <c r="AZ63" s="3">
        <f t="shared" si="69"/>
        <v>0</v>
      </c>
      <c r="BA63" s="3">
        <f t="shared" si="69"/>
        <v>0</v>
      </c>
      <c r="BB63" s="3">
        <f t="shared" si="69"/>
        <v>0</v>
      </c>
      <c r="BC63" s="3">
        <f t="shared" si="69"/>
        <v>0</v>
      </c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>
        <f>ROUND(SUMIF(AA28:AA61,"=45037306",FQ28:FQ61),2)</f>
        <v>0</v>
      </c>
      <c r="BY63" s="3">
        <f>ROUND(SUMIF(AA28:AA61,"=45037306",FR28:FR61),2)</f>
        <v>0</v>
      </c>
      <c r="BZ63" s="3">
        <f>ROUND(SUMIF(AA28:AA61,"=45037306",GL28:GL61),2)</f>
        <v>0</v>
      </c>
      <c r="CA63" s="3">
        <f>ROUND(SUMIF(AA28:AA61,"=45037306",GM28:GM61),2)</f>
        <v>4102.8500000000004</v>
      </c>
      <c r="CB63" s="3">
        <f>ROUND(SUMIF(AA28:AA61,"=45037306",GN28:GN61),2)</f>
        <v>3927.07</v>
      </c>
      <c r="CC63" s="3">
        <f>ROUND(SUMIF(AA28:AA61,"=45037306",GO28:GO61),2)</f>
        <v>0</v>
      </c>
      <c r="CD63" s="3">
        <f>ROUND(SUMIF(AA28:AA61,"=45037306",GP28:GP61),2)</f>
        <v>175.78</v>
      </c>
      <c r="CE63" s="3">
        <f>AC63-BX63</f>
        <v>3347.09</v>
      </c>
      <c r="CF63" s="3">
        <f>AC63-BY63</f>
        <v>3347.09</v>
      </c>
      <c r="CG63" s="3">
        <f>BX63-BZ63</f>
        <v>0</v>
      </c>
      <c r="CH63" s="3">
        <f>AC63-BX63-BY63+BZ63</f>
        <v>3347.09</v>
      </c>
      <c r="CI63" s="3">
        <f>BY63-BZ63</f>
        <v>0</v>
      </c>
      <c r="CJ63" s="3">
        <f>ROUND(SUMIF(AA28:AA61,"=45037306",GX28:GX61),2)</f>
        <v>0</v>
      </c>
      <c r="CK63" s="3">
        <f>ROUND(SUMIF(AA28:AA61,"=45037306",GY28:GY61),2)</f>
        <v>0</v>
      </c>
      <c r="CL63" s="3">
        <f>ROUND(SUMIF(AA28:AA61,"=45037306",GZ28:GZ61),2)</f>
        <v>0</v>
      </c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4">
        <f t="shared" ref="DG63:DL63" si="70">ROUND(DT63,2)</f>
        <v>24518.93</v>
      </c>
      <c r="DH63" s="4">
        <f t="shared" si="70"/>
        <v>14477.79</v>
      </c>
      <c r="DI63" s="4">
        <f t="shared" si="70"/>
        <v>3435.99</v>
      </c>
      <c r="DJ63" s="4">
        <f t="shared" si="70"/>
        <v>724.45</v>
      </c>
      <c r="DK63" s="4">
        <f t="shared" si="70"/>
        <v>6605.15</v>
      </c>
      <c r="DL63" s="4">
        <f t="shared" si="70"/>
        <v>0</v>
      </c>
      <c r="DM63" s="4">
        <f>DZ63</f>
        <v>30.291389649999999</v>
      </c>
      <c r="DN63" s="4">
        <f>EA63</f>
        <v>0</v>
      </c>
      <c r="DO63" s="4">
        <f>ROUND(EB63,2)</f>
        <v>0</v>
      </c>
      <c r="DP63" s="4">
        <f>ROUND(EC63,2)</f>
        <v>5241.09</v>
      </c>
      <c r="DQ63" s="4">
        <f>ROUND(ED63,2)</f>
        <v>2708.1</v>
      </c>
      <c r="DR63" s="4"/>
      <c r="DS63" s="4"/>
      <c r="DT63" s="4">
        <f>ROUND(SUMIF(AA28:AA61,"=45037307",O28:O61),2)</f>
        <v>24518.93</v>
      </c>
      <c r="DU63" s="4">
        <f>ROUND(SUMIF(AA28:AA61,"=45037307",P28:P61),2)</f>
        <v>14477.79</v>
      </c>
      <c r="DV63" s="4">
        <f>ROUND(SUMIF(AA28:AA61,"=45037307",Q28:Q61),2)</f>
        <v>3435.99</v>
      </c>
      <c r="DW63" s="4">
        <f>ROUND(SUMIF(AA28:AA61,"=45037307",R28:R61),2)</f>
        <v>724.45</v>
      </c>
      <c r="DX63" s="4">
        <f>ROUND(SUMIF(AA28:AA61,"=45037307",S28:S61),2)</f>
        <v>6605.15</v>
      </c>
      <c r="DY63" s="4">
        <f>ROUND(SUMIF(AA28:AA61,"=45037307",T28:T61),2)</f>
        <v>0</v>
      </c>
      <c r="DZ63" s="4">
        <f>SUMIF(AA28:AA61,"=45037307",U28:U61)</f>
        <v>30.291389649999999</v>
      </c>
      <c r="EA63" s="4">
        <f>SUMIF(AA28:AA61,"=45037307",V28:V61)</f>
        <v>0</v>
      </c>
      <c r="EB63" s="4">
        <f>ROUND(SUMIF(AA28:AA61,"=45037307",W28:W61),2)</f>
        <v>0</v>
      </c>
      <c r="EC63" s="4">
        <f>ROUND(SUMIF(AA28:AA61,"=45037307",X28:X61),2)</f>
        <v>5241.09</v>
      </c>
      <c r="ED63" s="4">
        <f>ROUND(SUMIF(AA28:AA61,"=45037307",Y28:Y61),2)</f>
        <v>2708.1</v>
      </c>
      <c r="EE63" s="4"/>
      <c r="EF63" s="4"/>
      <c r="EG63" s="4">
        <f t="shared" ref="EG63:EU63" si="71">ROUND(FP63,2)</f>
        <v>0</v>
      </c>
      <c r="EH63" s="4">
        <f t="shared" si="71"/>
        <v>0</v>
      </c>
      <c r="EI63" s="4">
        <f t="shared" si="71"/>
        <v>0</v>
      </c>
      <c r="EJ63" s="4">
        <f t="shared" si="71"/>
        <v>33685.199999999997</v>
      </c>
      <c r="EK63" s="4">
        <f t="shared" si="71"/>
        <v>31964.27</v>
      </c>
      <c r="EL63" s="4">
        <f t="shared" si="71"/>
        <v>0</v>
      </c>
      <c r="EM63" s="4">
        <f t="shared" si="71"/>
        <v>1720.93</v>
      </c>
      <c r="EN63" s="4">
        <f t="shared" si="71"/>
        <v>14477.79</v>
      </c>
      <c r="EO63" s="4">
        <f t="shared" si="71"/>
        <v>14477.79</v>
      </c>
      <c r="EP63" s="4">
        <f t="shared" si="71"/>
        <v>0</v>
      </c>
      <c r="EQ63" s="4">
        <f t="shared" si="71"/>
        <v>14477.79</v>
      </c>
      <c r="ER63" s="4">
        <f t="shared" si="71"/>
        <v>0</v>
      </c>
      <c r="ES63" s="4">
        <f t="shared" si="71"/>
        <v>0</v>
      </c>
      <c r="ET63" s="4">
        <f t="shared" si="71"/>
        <v>0</v>
      </c>
      <c r="EU63" s="4">
        <f t="shared" si="71"/>
        <v>0</v>
      </c>
      <c r="EV63" s="4"/>
      <c r="EW63" s="4"/>
      <c r="EX63" s="4"/>
      <c r="EY63" s="4"/>
      <c r="EZ63" s="4"/>
      <c r="FA63" s="4"/>
      <c r="FB63" s="4"/>
      <c r="FC63" s="4"/>
      <c r="FD63" s="4"/>
      <c r="FE63" s="4"/>
      <c r="FF63" s="4"/>
      <c r="FG63" s="4"/>
      <c r="FH63" s="4"/>
      <c r="FI63" s="4"/>
      <c r="FJ63" s="4"/>
      <c r="FK63" s="4"/>
      <c r="FL63" s="4"/>
      <c r="FM63" s="4"/>
      <c r="FN63" s="4"/>
      <c r="FO63" s="4"/>
      <c r="FP63" s="4">
        <f>ROUND(SUMIF(AA28:AA61,"=45037307",FQ28:FQ61),2)</f>
        <v>0</v>
      </c>
      <c r="FQ63" s="4">
        <f>ROUND(SUMIF(AA28:AA61,"=45037307",FR28:FR61),2)</f>
        <v>0</v>
      </c>
      <c r="FR63" s="4">
        <f>ROUND(SUMIF(AA28:AA61,"=45037307",GL28:GL61),2)</f>
        <v>0</v>
      </c>
      <c r="FS63" s="4">
        <f>ROUND(SUMIF(AA28:AA61,"=45037307",GM28:GM61),2)</f>
        <v>33685.199999999997</v>
      </c>
      <c r="FT63" s="4">
        <f>ROUND(SUMIF(AA28:AA61,"=45037307",GN28:GN61),2)</f>
        <v>31964.27</v>
      </c>
      <c r="FU63" s="4">
        <f>ROUND(SUMIF(AA28:AA61,"=45037307",GO28:GO61),2)</f>
        <v>0</v>
      </c>
      <c r="FV63" s="4">
        <f>ROUND(SUMIF(AA28:AA61,"=45037307",GP28:GP61),2)</f>
        <v>1720.93</v>
      </c>
      <c r="FW63" s="4">
        <f>DU63-FP63</f>
        <v>14477.79</v>
      </c>
      <c r="FX63" s="4">
        <f>DU63-FQ63</f>
        <v>14477.79</v>
      </c>
      <c r="FY63" s="4">
        <f>FP63-FR63</f>
        <v>0</v>
      </c>
      <c r="FZ63" s="4">
        <f>DU63-FP63-FQ63+FR63</f>
        <v>14477.79</v>
      </c>
      <c r="GA63" s="4">
        <f>FQ63-FR63</f>
        <v>0</v>
      </c>
      <c r="GB63" s="4">
        <f>ROUND(SUMIF(AA28:AA61,"=45037307",GX28:GX61),2)</f>
        <v>0</v>
      </c>
      <c r="GC63" s="4">
        <f>ROUND(SUMIF(AA28:AA61,"=45037307",GY28:GY61),2)</f>
        <v>0</v>
      </c>
      <c r="GD63" s="4">
        <f>ROUND(SUMIF(AA28:AA61,"=45037307",GZ28:GZ61),2)</f>
        <v>0</v>
      </c>
      <c r="GE63" s="4"/>
      <c r="GF63" s="4"/>
      <c r="GG63" s="4"/>
      <c r="GH63" s="4"/>
      <c r="GI63" s="4"/>
      <c r="GJ63" s="4"/>
      <c r="GK63" s="4"/>
      <c r="GL63" s="4"/>
      <c r="GM63" s="4"/>
      <c r="GN63" s="4"/>
      <c r="GO63" s="4"/>
      <c r="GP63" s="4"/>
      <c r="GQ63" s="4"/>
      <c r="GR63" s="4"/>
      <c r="GS63" s="4"/>
      <c r="GT63" s="4"/>
      <c r="GU63" s="4"/>
      <c r="GV63" s="4"/>
      <c r="GW63" s="4"/>
      <c r="GX63" s="4">
        <v>0</v>
      </c>
    </row>
    <row r="65" spans="1:23" x14ac:dyDescent="0.2">
      <c r="A65" s="5">
        <v>50</v>
      </c>
      <c r="B65" s="5">
        <v>0</v>
      </c>
      <c r="C65" s="5">
        <v>0</v>
      </c>
      <c r="D65" s="5">
        <v>1</v>
      </c>
      <c r="E65" s="5">
        <v>201</v>
      </c>
      <c r="F65" s="5">
        <f>ROUND(Source!O63,O65)</f>
        <v>4038.94</v>
      </c>
      <c r="G65" s="5" t="s">
        <v>117</v>
      </c>
      <c r="H65" s="5" t="s">
        <v>118</v>
      </c>
      <c r="I65" s="5"/>
      <c r="J65" s="5"/>
      <c r="K65" s="5">
        <v>201</v>
      </c>
      <c r="L65" s="5">
        <v>1</v>
      </c>
      <c r="M65" s="5">
        <v>3</v>
      </c>
      <c r="N65" s="5" t="s">
        <v>3</v>
      </c>
      <c r="O65" s="5">
        <v>2</v>
      </c>
      <c r="P65" s="5">
        <f>ROUND(Source!DG63,O65)</f>
        <v>24518.93</v>
      </c>
      <c r="Q65" s="5"/>
      <c r="R65" s="5"/>
      <c r="S65" s="5"/>
      <c r="T65" s="5"/>
      <c r="U65" s="5"/>
      <c r="V65" s="5"/>
      <c r="W65" s="5"/>
    </row>
    <row r="66" spans="1:23" x14ac:dyDescent="0.2">
      <c r="A66" s="5">
        <v>50</v>
      </c>
      <c r="B66" s="5">
        <v>0</v>
      </c>
      <c r="C66" s="5">
        <v>0</v>
      </c>
      <c r="D66" s="5">
        <v>1</v>
      </c>
      <c r="E66" s="5">
        <v>202</v>
      </c>
      <c r="F66" s="5">
        <f>ROUND(Source!P63,O66)</f>
        <v>3347.09</v>
      </c>
      <c r="G66" s="5" t="s">
        <v>119</v>
      </c>
      <c r="H66" s="5" t="s">
        <v>120</v>
      </c>
      <c r="I66" s="5"/>
      <c r="J66" s="5"/>
      <c r="K66" s="5">
        <v>202</v>
      </c>
      <c r="L66" s="5">
        <v>2</v>
      </c>
      <c r="M66" s="5">
        <v>3</v>
      </c>
      <c r="N66" s="5" t="s">
        <v>3</v>
      </c>
      <c r="O66" s="5">
        <v>2</v>
      </c>
      <c r="P66" s="5">
        <f>ROUND(Source!DH63,O66)</f>
        <v>14477.79</v>
      </c>
      <c r="Q66" s="5"/>
      <c r="R66" s="5"/>
      <c r="S66" s="5"/>
      <c r="T66" s="5"/>
      <c r="U66" s="5"/>
      <c r="V66" s="5"/>
      <c r="W66" s="5"/>
    </row>
    <row r="67" spans="1:23" x14ac:dyDescent="0.2">
      <c r="A67" s="5">
        <v>50</v>
      </c>
      <c r="B67" s="5">
        <v>0</v>
      </c>
      <c r="C67" s="5">
        <v>0</v>
      </c>
      <c r="D67" s="5">
        <v>1</v>
      </c>
      <c r="E67" s="5">
        <v>227</v>
      </c>
      <c r="F67" s="5">
        <f>ROUND(Source!AO63,O67)</f>
        <v>0</v>
      </c>
      <c r="G67" s="5" t="s">
        <v>121</v>
      </c>
      <c r="H67" s="5" t="s">
        <v>122</v>
      </c>
      <c r="I67" s="5"/>
      <c r="J67" s="5"/>
      <c r="K67" s="5">
        <v>222</v>
      </c>
      <c r="L67" s="5">
        <v>3</v>
      </c>
      <c r="M67" s="5">
        <v>3</v>
      </c>
      <c r="N67" s="5" t="s">
        <v>3</v>
      </c>
      <c r="O67" s="5">
        <v>2</v>
      </c>
      <c r="P67" s="5">
        <f>ROUND(Source!EG63,O67)</f>
        <v>0</v>
      </c>
      <c r="Q67" s="5"/>
      <c r="R67" s="5"/>
      <c r="S67" s="5"/>
      <c r="T67" s="5"/>
      <c r="U67" s="5"/>
      <c r="V67" s="5"/>
      <c r="W67" s="5"/>
    </row>
    <row r="68" spans="1:23" x14ac:dyDescent="0.2">
      <c r="A68" s="5">
        <v>50</v>
      </c>
      <c r="B68" s="5">
        <v>0</v>
      </c>
      <c r="C68" s="5">
        <v>0</v>
      </c>
      <c r="D68" s="5">
        <v>1</v>
      </c>
      <c r="E68" s="5">
        <v>225</v>
      </c>
      <c r="F68" s="5">
        <f>ROUND(Source!AV63,O68)</f>
        <v>3347.09</v>
      </c>
      <c r="G68" s="5" t="s">
        <v>123</v>
      </c>
      <c r="H68" s="5" t="s">
        <v>124</v>
      </c>
      <c r="I68" s="5"/>
      <c r="J68" s="5"/>
      <c r="K68" s="5">
        <v>225</v>
      </c>
      <c r="L68" s="5">
        <v>4</v>
      </c>
      <c r="M68" s="5">
        <v>3</v>
      </c>
      <c r="N68" s="5" t="s">
        <v>3</v>
      </c>
      <c r="O68" s="5">
        <v>2</v>
      </c>
      <c r="P68" s="5">
        <f>ROUND(Source!EN63,O68)</f>
        <v>14477.79</v>
      </c>
      <c r="Q68" s="5"/>
      <c r="R68" s="5"/>
      <c r="S68" s="5"/>
      <c r="T68" s="5"/>
      <c r="U68" s="5"/>
      <c r="V68" s="5"/>
      <c r="W68" s="5"/>
    </row>
    <row r="69" spans="1:23" x14ac:dyDescent="0.2">
      <c r="A69" s="5">
        <v>50</v>
      </c>
      <c r="B69" s="5">
        <v>0</v>
      </c>
      <c r="C69" s="5">
        <v>0</v>
      </c>
      <c r="D69" s="5">
        <v>1</v>
      </c>
      <c r="E69" s="5">
        <v>226</v>
      </c>
      <c r="F69" s="5">
        <f>ROUND(Source!AW63,O69)</f>
        <v>3347.09</v>
      </c>
      <c r="G69" s="5" t="s">
        <v>125</v>
      </c>
      <c r="H69" s="5" t="s">
        <v>126</v>
      </c>
      <c r="I69" s="5"/>
      <c r="J69" s="5"/>
      <c r="K69" s="5">
        <v>226</v>
      </c>
      <c r="L69" s="5">
        <v>5</v>
      </c>
      <c r="M69" s="5">
        <v>3</v>
      </c>
      <c r="N69" s="5" t="s">
        <v>3</v>
      </c>
      <c r="O69" s="5">
        <v>2</v>
      </c>
      <c r="P69" s="5">
        <f>ROUND(Source!EO63,O69)</f>
        <v>14477.79</v>
      </c>
      <c r="Q69" s="5"/>
      <c r="R69" s="5"/>
      <c r="S69" s="5"/>
      <c r="T69" s="5"/>
      <c r="U69" s="5"/>
      <c r="V69" s="5"/>
      <c r="W69" s="5"/>
    </row>
    <row r="70" spans="1:23" x14ac:dyDescent="0.2">
      <c r="A70" s="5">
        <v>50</v>
      </c>
      <c r="B70" s="5">
        <v>0</v>
      </c>
      <c r="C70" s="5">
        <v>0</v>
      </c>
      <c r="D70" s="5">
        <v>1</v>
      </c>
      <c r="E70" s="5">
        <v>0</v>
      </c>
      <c r="F70" s="5">
        <f>ROUND(Source!AX63,O70)</f>
        <v>0</v>
      </c>
      <c r="G70" s="5" t="s">
        <v>127</v>
      </c>
      <c r="H70" s="5" t="s">
        <v>128</v>
      </c>
      <c r="I70" s="5"/>
      <c r="J70" s="5"/>
      <c r="K70" s="5">
        <v>227</v>
      </c>
      <c r="L70" s="5">
        <v>6</v>
      </c>
      <c r="M70" s="5">
        <v>3</v>
      </c>
      <c r="N70" s="5" t="s">
        <v>3</v>
      </c>
      <c r="O70" s="5">
        <v>2</v>
      </c>
      <c r="P70" s="5">
        <f>ROUND(Source!EP63,O70)</f>
        <v>0</v>
      </c>
      <c r="Q70" s="5"/>
      <c r="R70" s="5"/>
      <c r="S70" s="5"/>
      <c r="T70" s="5"/>
      <c r="U70" s="5"/>
      <c r="V70" s="5"/>
      <c r="W70" s="5"/>
    </row>
    <row r="71" spans="1:23" x14ac:dyDescent="0.2">
      <c r="A71" s="5">
        <v>50</v>
      </c>
      <c r="B71" s="5">
        <v>0</v>
      </c>
      <c r="C71" s="5">
        <v>0</v>
      </c>
      <c r="D71" s="5">
        <v>1</v>
      </c>
      <c r="E71" s="5">
        <v>228</v>
      </c>
      <c r="F71" s="5">
        <f>ROUND(Source!AY63,O71)</f>
        <v>3347.09</v>
      </c>
      <c r="G71" s="5" t="s">
        <v>129</v>
      </c>
      <c r="H71" s="5" t="s">
        <v>130</v>
      </c>
      <c r="I71" s="5"/>
      <c r="J71" s="5"/>
      <c r="K71" s="5">
        <v>228</v>
      </c>
      <c r="L71" s="5">
        <v>7</v>
      </c>
      <c r="M71" s="5">
        <v>3</v>
      </c>
      <c r="N71" s="5" t="s">
        <v>3</v>
      </c>
      <c r="O71" s="5">
        <v>2</v>
      </c>
      <c r="P71" s="5">
        <f>ROUND(Source!EQ63,O71)</f>
        <v>14477.79</v>
      </c>
      <c r="Q71" s="5"/>
      <c r="R71" s="5"/>
      <c r="S71" s="5"/>
      <c r="T71" s="5"/>
      <c r="U71" s="5"/>
      <c r="V71" s="5"/>
      <c r="W71" s="5"/>
    </row>
    <row r="72" spans="1:23" x14ac:dyDescent="0.2">
      <c r="A72" s="5">
        <v>50</v>
      </c>
      <c r="B72" s="5">
        <v>0</v>
      </c>
      <c r="C72" s="5">
        <v>0</v>
      </c>
      <c r="D72" s="5">
        <v>1</v>
      </c>
      <c r="E72" s="5">
        <v>216</v>
      </c>
      <c r="F72" s="5">
        <f>ROUND(Source!AP63,O72)</f>
        <v>0</v>
      </c>
      <c r="G72" s="5" t="s">
        <v>131</v>
      </c>
      <c r="H72" s="5" t="s">
        <v>132</v>
      </c>
      <c r="I72" s="5"/>
      <c r="J72" s="5"/>
      <c r="K72" s="5">
        <v>216</v>
      </c>
      <c r="L72" s="5">
        <v>8</v>
      </c>
      <c r="M72" s="5">
        <v>3</v>
      </c>
      <c r="N72" s="5" t="s">
        <v>3</v>
      </c>
      <c r="O72" s="5">
        <v>2</v>
      </c>
      <c r="P72" s="5">
        <f>ROUND(Source!EH63,O72)</f>
        <v>0</v>
      </c>
      <c r="Q72" s="5"/>
      <c r="R72" s="5"/>
      <c r="S72" s="5"/>
      <c r="T72" s="5"/>
      <c r="U72" s="5"/>
      <c r="V72" s="5"/>
      <c r="W72" s="5"/>
    </row>
    <row r="73" spans="1:23" x14ac:dyDescent="0.2">
      <c r="A73" s="5">
        <v>50</v>
      </c>
      <c r="B73" s="5">
        <v>0</v>
      </c>
      <c r="C73" s="5">
        <v>0</v>
      </c>
      <c r="D73" s="5">
        <v>1</v>
      </c>
      <c r="E73" s="5">
        <v>223</v>
      </c>
      <c r="F73" s="5">
        <f>ROUND(Source!AQ63,O73)</f>
        <v>0</v>
      </c>
      <c r="G73" s="5" t="s">
        <v>133</v>
      </c>
      <c r="H73" s="5" t="s">
        <v>134</v>
      </c>
      <c r="I73" s="5"/>
      <c r="J73" s="5"/>
      <c r="K73" s="5">
        <v>223</v>
      </c>
      <c r="L73" s="5">
        <v>9</v>
      </c>
      <c r="M73" s="5">
        <v>3</v>
      </c>
      <c r="N73" s="5" t="s">
        <v>3</v>
      </c>
      <c r="O73" s="5">
        <v>2</v>
      </c>
      <c r="P73" s="5">
        <f>ROUND(Source!EI63,O73)</f>
        <v>0</v>
      </c>
      <c r="Q73" s="5"/>
      <c r="R73" s="5"/>
      <c r="S73" s="5"/>
      <c r="T73" s="5"/>
      <c r="U73" s="5"/>
      <c r="V73" s="5"/>
      <c r="W73" s="5"/>
    </row>
    <row r="74" spans="1:23" x14ac:dyDescent="0.2">
      <c r="A74" s="5">
        <v>50</v>
      </c>
      <c r="B74" s="5">
        <v>0</v>
      </c>
      <c r="C74" s="5">
        <v>0</v>
      </c>
      <c r="D74" s="5">
        <v>1</v>
      </c>
      <c r="E74" s="5">
        <v>229</v>
      </c>
      <c r="F74" s="5">
        <f>ROUND(Source!AZ63,O74)</f>
        <v>0</v>
      </c>
      <c r="G74" s="5" t="s">
        <v>135</v>
      </c>
      <c r="H74" s="5" t="s">
        <v>136</v>
      </c>
      <c r="I74" s="5"/>
      <c r="J74" s="5"/>
      <c r="K74" s="5">
        <v>229</v>
      </c>
      <c r="L74" s="5">
        <v>10</v>
      </c>
      <c r="M74" s="5">
        <v>3</v>
      </c>
      <c r="N74" s="5" t="s">
        <v>3</v>
      </c>
      <c r="O74" s="5">
        <v>2</v>
      </c>
      <c r="P74" s="5">
        <f>ROUND(Source!ER63,O74)</f>
        <v>0</v>
      </c>
      <c r="Q74" s="5"/>
      <c r="R74" s="5"/>
      <c r="S74" s="5"/>
      <c r="T74" s="5"/>
      <c r="U74" s="5"/>
      <c r="V74" s="5"/>
      <c r="W74" s="5"/>
    </row>
    <row r="75" spans="1:23" x14ac:dyDescent="0.2">
      <c r="A75" s="5">
        <v>50</v>
      </c>
      <c r="B75" s="5">
        <v>0</v>
      </c>
      <c r="C75" s="5">
        <v>0</v>
      </c>
      <c r="D75" s="5">
        <v>1</v>
      </c>
      <c r="E75" s="5">
        <v>203</v>
      </c>
      <c r="F75" s="5">
        <f>ROUND(Source!Q63,O75)</f>
        <v>368.07</v>
      </c>
      <c r="G75" s="5" t="s">
        <v>137</v>
      </c>
      <c r="H75" s="5" t="s">
        <v>138</v>
      </c>
      <c r="I75" s="5"/>
      <c r="J75" s="5"/>
      <c r="K75" s="5">
        <v>203</v>
      </c>
      <c r="L75" s="5">
        <v>11</v>
      </c>
      <c r="M75" s="5">
        <v>3</v>
      </c>
      <c r="N75" s="5" t="s">
        <v>3</v>
      </c>
      <c r="O75" s="5">
        <v>2</v>
      </c>
      <c r="P75" s="5">
        <f>ROUND(Source!DI63,O75)</f>
        <v>3435.99</v>
      </c>
      <c r="Q75" s="5"/>
      <c r="R75" s="5"/>
      <c r="S75" s="5"/>
      <c r="T75" s="5"/>
      <c r="U75" s="5"/>
      <c r="V75" s="5"/>
      <c r="W75" s="5"/>
    </row>
    <row r="76" spans="1:23" x14ac:dyDescent="0.2">
      <c r="A76" s="5">
        <v>50</v>
      </c>
      <c r="B76" s="5">
        <v>0</v>
      </c>
      <c r="C76" s="5">
        <v>0</v>
      </c>
      <c r="D76" s="5">
        <v>1</v>
      </c>
      <c r="E76" s="5">
        <v>231</v>
      </c>
      <c r="F76" s="5">
        <f>ROUND(Source!BB63,O76)</f>
        <v>0</v>
      </c>
      <c r="G76" s="5" t="s">
        <v>139</v>
      </c>
      <c r="H76" s="5" t="s">
        <v>140</v>
      </c>
      <c r="I76" s="5"/>
      <c r="J76" s="5"/>
      <c r="K76" s="5">
        <v>231</v>
      </c>
      <c r="L76" s="5">
        <v>12</v>
      </c>
      <c r="M76" s="5">
        <v>3</v>
      </c>
      <c r="N76" s="5" t="s">
        <v>3</v>
      </c>
      <c r="O76" s="5">
        <v>2</v>
      </c>
      <c r="P76" s="5">
        <f>ROUND(Source!ET63,O76)</f>
        <v>0</v>
      </c>
      <c r="Q76" s="5"/>
      <c r="R76" s="5"/>
      <c r="S76" s="5"/>
      <c r="T76" s="5"/>
      <c r="U76" s="5"/>
      <c r="V76" s="5"/>
      <c r="W76" s="5"/>
    </row>
    <row r="77" spans="1:23" x14ac:dyDescent="0.2">
      <c r="A77" s="5">
        <v>50</v>
      </c>
      <c r="B77" s="5">
        <v>0</v>
      </c>
      <c r="C77" s="5">
        <v>0</v>
      </c>
      <c r="D77" s="5">
        <v>1</v>
      </c>
      <c r="E77" s="5">
        <v>204</v>
      </c>
      <c r="F77" s="5">
        <f>ROUND(Source!R63,O77)</f>
        <v>35.51</v>
      </c>
      <c r="G77" s="5" t="s">
        <v>141</v>
      </c>
      <c r="H77" s="5" t="s">
        <v>142</v>
      </c>
      <c r="I77" s="5"/>
      <c r="J77" s="5"/>
      <c r="K77" s="5">
        <v>204</v>
      </c>
      <c r="L77" s="5">
        <v>13</v>
      </c>
      <c r="M77" s="5">
        <v>3</v>
      </c>
      <c r="N77" s="5" t="s">
        <v>3</v>
      </c>
      <c r="O77" s="5">
        <v>2</v>
      </c>
      <c r="P77" s="5">
        <f>ROUND(Source!DJ63,O77)</f>
        <v>724.45</v>
      </c>
      <c r="Q77" s="5"/>
      <c r="R77" s="5"/>
      <c r="S77" s="5"/>
      <c r="T77" s="5"/>
      <c r="U77" s="5"/>
      <c r="V77" s="5"/>
      <c r="W77" s="5"/>
    </row>
    <row r="78" spans="1:23" x14ac:dyDescent="0.2">
      <c r="A78" s="5">
        <v>50</v>
      </c>
      <c r="B78" s="5">
        <v>0</v>
      </c>
      <c r="C78" s="5">
        <v>0</v>
      </c>
      <c r="D78" s="5">
        <v>1</v>
      </c>
      <c r="E78" s="5">
        <v>205</v>
      </c>
      <c r="F78" s="5">
        <f>ROUND(Source!S63,O78)</f>
        <v>323.77999999999997</v>
      </c>
      <c r="G78" s="5" t="s">
        <v>143</v>
      </c>
      <c r="H78" s="5" t="s">
        <v>144</v>
      </c>
      <c r="I78" s="5"/>
      <c r="J78" s="5"/>
      <c r="K78" s="5">
        <v>205</v>
      </c>
      <c r="L78" s="5">
        <v>14</v>
      </c>
      <c r="M78" s="5">
        <v>3</v>
      </c>
      <c r="N78" s="5" t="s">
        <v>3</v>
      </c>
      <c r="O78" s="5">
        <v>2</v>
      </c>
      <c r="P78" s="5">
        <f>ROUND(Source!DK63,O78)</f>
        <v>6605.15</v>
      </c>
      <c r="Q78" s="5"/>
      <c r="R78" s="5"/>
      <c r="S78" s="5"/>
      <c r="T78" s="5"/>
      <c r="U78" s="5"/>
      <c r="V78" s="5"/>
      <c r="W78" s="5"/>
    </row>
    <row r="79" spans="1:23" x14ac:dyDescent="0.2">
      <c r="A79" s="5">
        <v>50</v>
      </c>
      <c r="B79" s="5">
        <v>0</v>
      </c>
      <c r="C79" s="5">
        <v>0</v>
      </c>
      <c r="D79" s="5">
        <v>1</v>
      </c>
      <c r="E79" s="5">
        <v>232</v>
      </c>
      <c r="F79" s="5">
        <f>ROUND(Source!BC63,O79)</f>
        <v>0</v>
      </c>
      <c r="G79" s="5" t="s">
        <v>145</v>
      </c>
      <c r="H79" s="5" t="s">
        <v>146</v>
      </c>
      <c r="I79" s="5"/>
      <c r="J79" s="5"/>
      <c r="K79" s="5">
        <v>232</v>
      </c>
      <c r="L79" s="5">
        <v>15</v>
      </c>
      <c r="M79" s="5">
        <v>3</v>
      </c>
      <c r="N79" s="5" t="s">
        <v>3</v>
      </c>
      <c r="O79" s="5">
        <v>2</v>
      </c>
      <c r="P79" s="5">
        <f>ROUND(Source!EU63,O79)</f>
        <v>0</v>
      </c>
      <c r="Q79" s="5"/>
      <c r="R79" s="5"/>
      <c r="S79" s="5"/>
      <c r="T79" s="5"/>
      <c r="U79" s="5"/>
      <c r="V79" s="5"/>
      <c r="W79" s="5"/>
    </row>
    <row r="80" spans="1:23" x14ac:dyDescent="0.2">
      <c r="A80" s="5">
        <v>50</v>
      </c>
      <c r="B80" s="5">
        <v>0</v>
      </c>
      <c r="C80" s="5">
        <v>0</v>
      </c>
      <c r="D80" s="5">
        <v>1</v>
      </c>
      <c r="E80" s="5">
        <v>214</v>
      </c>
      <c r="F80" s="5">
        <f>ROUND(Source!AS63,O80)</f>
        <v>3927.07</v>
      </c>
      <c r="G80" s="5" t="s">
        <v>147</v>
      </c>
      <c r="H80" s="5" t="s">
        <v>148</v>
      </c>
      <c r="I80" s="5"/>
      <c r="J80" s="5"/>
      <c r="K80" s="5">
        <v>214</v>
      </c>
      <c r="L80" s="5">
        <v>16</v>
      </c>
      <c r="M80" s="5">
        <v>3</v>
      </c>
      <c r="N80" s="5" t="s">
        <v>3</v>
      </c>
      <c r="O80" s="5">
        <v>2</v>
      </c>
      <c r="P80" s="5">
        <f>ROUND(Source!EK63,O80)</f>
        <v>31964.27</v>
      </c>
      <c r="Q80" s="5"/>
      <c r="R80" s="5"/>
      <c r="S80" s="5"/>
      <c r="T80" s="5"/>
      <c r="U80" s="5"/>
      <c r="V80" s="5"/>
      <c r="W80" s="5"/>
    </row>
    <row r="81" spans="1:206" x14ac:dyDescent="0.2">
      <c r="A81" s="5">
        <v>50</v>
      </c>
      <c r="B81" s="5">
        <v>0</v>
      </c>
      <c r="C81" s="5">
        <v>0</v>
      </c>
      <c r="D81" s="5">
        <v>1</v>
      </c>
      <c r="E81" s="5">
        <v>215</v>
      </c>
      <c r="F81" s="5">
        <f>ROUND(Source!AT63,O81)</f>
        <v>0</v>
      </c>
      <c r="G81" s="5" t="s">
        <v>149</v>
      </c>
      <c r="H81" s="5" t="s">
        <v>150</v>
      </c>
      <c r="I81" s="5"/>
      <c r="J81" s="5"/>
      <c r="K81" s="5">
        <v>215</v>
      </c>
      <c r="L81" s="5">
        <v>17</v>
      </c>
      <c r="M81" s="5">
        <v>3</v>
      </c>
      <c r="N81" s="5" t="s">
        <v>3</v>
      </c>
      <c r="O81" s="5">
        <v>2</v>
      </c>
      <c r="P81" s="5">
        <f>ROUND(Source!EL63,O81)</f>
        <v>0</v>
      </c>
      <c r="Q81" s="5"/>
      <c r="R81" s="5"/>
      <c r="S81" s="5"/>
      <c r="T81" s="5"/>
      <c r="U81" s="5"/>
      <c r="V81" s="5"/>
      <c r="W81" s="5"/>
    </row>
    <row r="82" spans="1:206" x14ac:dyDescent="0.2">
      <c r="A82" s="5">
        <v>50</v>
      </c>
      <c r="B82" s="5">
        <v>0</v>
      </c>
      <c r="C82" s="5">
        <v>0</v>
      </c>
      <c r="D82" s="5">
        <v>1</v>
      </c>
      <c r="E82" s="5">
        <v>217</v>
      </c>
      <c r="F82" s="5">
        <f>ROUND(Source!AU63,O82)</f>
        <v>175.78</v>
      </c>
      <c r="G82" s="5" t="s">
        <v>151</v>
      </c>
      <c r="H82" s="5" t="s">
        <v>152</v>
      </c>
      <c r="I82" s="5"/>
      <c r="J82" s="5"/>
      <c r="K82" s="5">
        <v>217</v>
      </c>
      <c r="L82" s="5">
        <v>18</v>
      </c>
      <c r="M82" s="5">
        <v>3</v>
      </c>
      <c r="N82" s="5" t="s">
        <v>3</v>
      </c>
      <c r="O82" s="5">
        <v>2</v>
      </c>
      <c r="P82" s="5">
        <f>ROUND(Source!EM63,O82)</f>
        <v>1720.93</v>
      </c>
      <c r="Q82" s="5"/>
      <c r="R82" s="5"/>
      <c r="S82" s="5"/>
      <c r="T82" s="5"/>
      <c r="U82" s="5"/>
      <c r="V82" s="5"/>
      <c r="W82" s="5"/>
    </row>
    <row r="83" spans="1:206" x14ac:dyDescent="0.2">
      <c r="A83" s="5">
        <v>50</v>
      </c>
      <c r="B83" s="5">
        <v>0</v>
      </c>
      <c r="C83" s="5">
        <v>0</v>
      </c>
      <c r="D83" s="5">
        <v>1</v>
      </c>
      <c r="E83" s="5">
        <v>230</v>
      </c>
      <c r="F83" s="5">
        <f>ROUND(Source!BA63,O83)</f>
        <v>0</v>
      </c>
      <c r="G83" s="5" t="s">
        <v>153</v>
      </c>
      <c r="H83" s="5" t="s">
        <v>154</v>
      </c>
      <c r="I83" s="5"/>
      <c r="J83" s="5"/>
      <c r="K83" s="5">
        <v>230</v>
      </c>
      <c r="L83" s="5">
        <v>19</v>
      </c>
      <c r="M83" s="5">
        <v>3</v>
      </c>
      <c r="N83" s="5" t="s">
        <v>3</v>
      </c>
      <c r="O83" s="5">
        <v>2</v>
      </c>
      <c r="P83" s="5">
        <f>ROUND(Source!ES63,O83)</f>
        <v>0</v>
      </c>
      <c r="Q83" s="5"/>
      <c r="R83" s="5"/>
      <c r="S83" s="5"/>
      <c r="T83" s="5"/>
      <c r="U83" s="5"/>
      <c r="V83" s="5"/>
      <c r="W83" s="5"/>
    </row>
    <row r="84" spans="1:206" x14ac:dyDescent="0.2">
      <c r="A84" s="5">
        <v>50</v>
      </c>
      <c r="B84" s="5">
        <v>0</v>
      </c>
      <c r="C84" s="5">
        <v>0</v>
      </c>
      <c r="D84" s="5">
        <v>1</v>
      </c>
      <c r="E84" s="5">
        <v>206</v>
      </c>
      <c r="F84" s="5">
        <f>ROUND(Source!T63,O84)</f>
        <v>0</v>
      </c>
      <c r="G84" s="5" t="s">
        <v>155</v>
      </c>
      <c r="H84" s="5" t="s">
        <v>156</v>
      </c>
      <c r="I84" s="5"/>
      <c r="J84" s="5"/>
      <c r="K84" s="5">
        <v>206</v>
      </c>
      <c r="L84" s="5">
        <v>20</v>
      </c>
      <c r="M84" s="5">
        <v>3</v>
      </c>
      <c r="N84" s="5" t="s">
        <v>3</v>
      </c>
      <c r="O84" s="5">
        <v>2</v>
      </c>
      <c r="P84" s="5">
        <f>ROUND(Source!DL63,O84)</f>
        <v>0</v>
      </c>
      <c r="Q84" s="5"/>
      <c r="R84" s="5"/>
      <c r="S84" s="5"/>
      <c r="T84" s="5"/>
      <c r="U84" s="5"/>
      <c r="V84" s="5"/>
      <c r="W84" s="5"/>
    </row>
    <row r="85" spans="1:206" x14ac:dyDescent="0.2">
      <c r="A85" s="5">
        <v>50</v>
      </c>
      <c r="B85" s="5">
        <v>0</v>
      </c>
      <c r="C85" s="5">
        <v>0</v>
      </c>
      <c r="D85" s="5">
        <v>1</v>
      </c>
      <c r="E85" s="5">
        <v>207</v>
      </c>
      <c r="F85" s="5">
        <f>Source!U63</f>
        <v>30.291389649999999</v>
      </c>
      <c r="G85" s="5" t="s">
        <v>157</v>
      </c>
      <c r="H85" s="5" t="s">
        <v>158</v>
      </c>
      <c r="I85" s="5"/>
      <c r="J85" s="5"/>
      <c r="K85" s="5">
        <v>207</v>
      </c>
      <c r="L85" s="5">
        <v>21</v>
      </c>
      <c r="M85" s="5">
        <v>3</v>
      </c>
      <c r="N85" s="5" t="s">
        <v>3</v>
      </c>
      <c r="O85" s="5">
        <v>-1</v>
      </c>
      <c r="P85" s="5">
        <f>Source!DM63</f>
        <v>30.291389649999999</v>
      </c>
      <c r="Q85" s="5"/>
      <c r="R85" s="5"/>
      <c r="S85" s="5"/>
      <c r="T85" s="5"/>
      <c r="U85" s="5"/>
      <c r="V85" s="5"/>
      <c r="W85" s="5"/>
    </row>
    <row r="86" spans="1:206" x14ac:dyDescent="0.2">
      <c r="A86" s="5">
        <v>50</v>
      </c>
      <c r="B86" s="5">
        <v>0</v>
      </c>
      <c r="C86" s="5">
        <v>0</v>
      </c>
      <c r="D86" s="5">
        <v>1</v>
      </c>
      <c r="E86" s="5">
        <v>208</v>
      </c>
      <c r="F86" s="5">
        <f>Source!V63</f>
        <v>0</v>
      </c>
      <c r="G86" s="5" t="s">
        <v>159</v>
      </c>
      <c r="H86" s="5" t="s">
        <v>160</v>
      </c>
      <c r="I86" s="5"/>
      <c r="J86" s="5"/>
      <c r="K86" s="5">
        <v>208</v>
      </c>
      <c r="L86" s="5">
        <v>22</v>
      </c>
      <c r="M86" s="5">
        <v>3</v>
      </c>
      <c r="N86" s="5" t="s">
        <v>3</v>
      </c>
      <c r="O86" s="5">
        <v>-1</v>
      </c>
      <c r="P86" s="5">
        <f>Source!DN63</f>
        <v>0</v>
      </c>
      <c r="Q86" s="5"/>
      <c r="R86" s="5"/>
      <c r="S86" s="5"/>
      <c r="T86" s="5"/>
      <c r="U86" s="5"/>
      <c r="V86" s="5"/>
      <c r="W86" s="5"/>
    </row>
    <row r="87" spans="1:206" x14ac:dyDescent="0.2">
      <c r="A87" s="5">
        <v>50</v>
      </c>
      <c r="B87" s="5">
        <v>0</v>
      </c>
      <c r="C87" s="5">
        <v>0</v>
      </c>
      <c r="D87" s="5">
        <v>1</v>
      </c>
      <c r="E87" s="5">
        <v>209</v>
      </c>
      <c r="F87" s="5">
        <f>ROUND(Source!W63,O87)</f>
        <v>0</v>
      </c>
      <c r="G87" s="5" t="s">
        <v>161</v>
      </c>
      <c r="H87" s="5" t="s">
        <v>162</v>
      </c>
      <c r="I87" s="5"/>
      <c r="J87" s="5"/>
      <c r="K87" s="5">
        <v>209</v>
      </c>
      <c r="L87" s="5">
        <v>23</v>
      </c>
      <c r="M87" s="5">
        <v>3</v>
      </c>
      <c r="N87" s="5" t="s">
        <v>3</v>
      </c>
      <c r="O87" s="5">
        <v>2</v>
      </c>
      <c r="P87" s="5">
        <f>ROUND(Source!DO63,O87)</f>
        <v>0</v>
      </c>
      <c r="Q87" s="5"/>
      <c r="R87" s="5"/>
      <c r="S87" s="5"/>
      <c r="T87" s="5"/>
      <c r="U87" s="5"/>
      <c r="V87" s="5"/>
      <c r="W87" s="5"/>
    </row>
    <row r="88" spans="1:206" x14ac:dyDescent="0.2">
      <c r="A88" s="5">
        <v>50</v>
      </c>
      <c r="B88" s="5">
        <v>0</v>
      </c>
      <c r="C88" s="5">
        <v>0</v>
      </c>
      <c r="D88" s="5">
        <v>1</v>
      </c>
      <c r="E88" s="5">
        <v>210</v>
      </c>
      <c r="F88" s="5">
        <f>ROUND(Source!X63,O88)</f>
        <v>0</v>
      </c>
      <c r="G88" s="5" t="s">
        <v>163</v>
      </c>
      <c r="H88" s="5" t="s">
        <v>164</v>
      </c>
      <c r="I88" s="5"/>
      <c r="J88" s="5"/>
      <c r="K88" s="5">
        <v>210</v>
      </c>
      <c r="L88" s="5">
        <v>24</v>
      </c>
      <c r="M88" s="5">
        <v>3</v>
      </c>
      <c r="N88" s="5" t="s">
        <v>3</v>
      </c>
      <c r="O88" s="5">
        <v>2</v>
      </c>
      <c r="P88" s="5">
        <f>ROUND(Source!DP63,O88)</f>
        <v>5241.09</v>
      </c>
      <c r="Q88" s="5"/>
      <c r="R88" s="5"/>
      <c r="S88" s="5"/>
      <c r="T88" s="5"/>
      <c r="U88" s="5"/>
      <c r="V88" s="5"/>
      <c r="W88" s="5"/>
    </row>
    <row r="89" spans="1:206" x14ac:dyDescent="0.2">
      <c r="A89" s="5">
        <v>50</v>
      </c>
      <c r="B89" s="5">
        <v>0</v>
      </c>
      <c r="C89" s="5">
        <v>0</v>
      </c>
      <c r="D89" s="5">
        <v>1</v>
      </c>
      <c r="E89" s="5">
        <v>211</v>
      </c>
      <c r="F89" s="5">
        <f>ROUND(Source!Y63,O89)</f>
        <v>0</v>
      </c>
      <c r="G89" s="5" t="s">
        <v>165</v>
      </c>
      <c r="H89" s="5" t="s">
        <v>166</v>
      </c>
      <c r="I89" s="5"/>
      <c r="J89" s="5"/>
      <c r="K89" s="5">
        <v>211</v>
      </c>
      <c r="L89" s="5">
        <v>25</v>
      </c>
      <c r="M89" s="5">
        <v>3</v>
      </c>
      <c r="N89" s="5" t="s">
        <v>3</v>
      </c>
      <c r="O89" s="5">
        <v>2</v>
      </c>
      <c r="P89" s="5">
        <f>ROUND(Source!DQ63,O89)</f>
        <v>2708.1</v>
      </c>
      <c r="Q89" s="5"/>
      <c r="R89" s="5"/>
      <c r="S89" s="5"/>
      <c r="T89" s="5"/>
      <c r="U89" s="5"/>
      <c r="V89" s="5"/>
      <c r="W89" s="5"/>
    </row>
    <row r="90" spans="1:206" x14ac:dyDescent="0.2">
      <c r="A90" s="5">
        <v>50</v>
      </c>
      <c r="B90" s="5">
        <v>0</v>
      </c>
      <c r="C90" s="5">
        <v>0</v>
      </c>
      <c r="D90" s="5">
        <v>1</v>
      </c>
      <c r="E90" s="5">
        <v>224</v>
      </c>
      <c r="F90" s="5">
        <f>ROUND(Source!AR63,O90)</f>
        <v>4102.8500000000004</v>
      </c>
      <c r="G90" s="5" t="s">
        <v>167</v>
      </c>
      <c r="H90" s="5" t="s">
        <v>168</v>
      </c>
      <c r="I90" s="5"/>
      <c r="J90" s="5"/>
      <c r="K90" s="5">
        <v>224</v>
      </c>
      <c r="L90" s="5">
        <v>26</v>
      </c>
      <c r="M90" s="5">
        <v>3</v>
      </c>
      <c r="N90" s="5" t="s">
        <v>3</v>
      </c>
      <c r="O90" s="5">
        <v>2</v>
      </c>
      <c r="P90" s="5">
        <f>ROUND(Source!EJ63,O90)</f>
        <v>33685.199999999997</v>
      </c>
      <c r="Q90" s="5"/>
      <c r="R90" s="5"/>
      <c r="S90" s="5"/>
      <c r="T90" s="5"/>
      <c r="U90" s="5"/>
      <c r="V90" s="5"/>
      <c r="W90" s="5"/>
    </row>
    <row r="92" spans="1:206" x14ac:dyDescent="0.2">
      <c r="A92" s="1">
        <v>4</v>
      </c>
      <c r="B92" s="1">
        <v>1</v>
      </c>
      <c r="C92" s="1"/>
      <c r="D92" s="1">
        <f>ROW(A146)</f>
        <v>146</v>
      </c>
      <c r="E92" s="1"/>
      <c r="F92" s="1" t="s">
        <v>16</v>
      </c>
      <c r="G92" s="1" t="s">
        <v>169</v>
      </c>
      <c r="H92" s="1" t="s">
        <v>3</v>
      </c>
      <c r="I92" s="1">
        <v>0</v>
      </c>
      <c r="J92" s="1"/>
      <c r="K92" s="1">
        <v>0</v>
      </c>
      <c r="L92" s="1"/>
      <c r="M92" s="1"/>
      <c r="N92" s="1"/>
      <c r="O92" s="1"/>
      <c r="P92" s="1"/>
      <c r="Q92" s="1"/>
      <c r="R92" s="1"/>
      <c r="S92" s="1"/>
      <c r="T92" s="1"/>
      <c r="U92" s="1" t="s">
        <v>3</v>
      </c>
      <c r="V92" s="1">
        <v>0</v>
      </c>
      <c r="W92" s="1"/>
      <c r="X92" s="1"/>
      <c r="Y92" s="1"/>
      <c r="Z92" s="1"/>
      <c r="AA92" s="1"/>
      <c r="AB92" s="1" t="s">
        <v>3</v>
      </c>
      <c r="AC92" s="1" t="s">
        <v>3</v>
      </c>
      <c r="AD92" s="1" t="s">
        <v>3</v>
      </c>
      <c r="AE92" s="1" t="s">
        <v>3</v>
      </c>
      <c r="AF92" s="1" t="s">
        <v>3</v>
      </c>
      <c r="AG92" s="1" t="s">
        <v>3</v>
      </c>
      <c r="AH92" s="1"/>
      <c r="AI92" s="1"/>
      <c r="AJ92" s="1"/>
      <c r="AK92" s="1"/>
      <c r="AL92" s="1"/>
      <c r="AM92" s="1"/>
      <c r="AN92" s="1"/>
      <c r="AO92" s="1"/>
      <c r="AP92" s="1" t="s">
        <v>3</v>
      </c>
      <c r="AQ92" s="1" t="s">
        <v>3</v>
      </c>
      <c r="AR92" s="1" t="s">
        <v>3</v>
      </c>
      <c r="AS92" s="1"/>
      <c r="AT92" s="1"/>
      <c r="AU92" s="1"/>
      <c r="AV92" s="1"/>
      <c r="AW92" s="1"/>
      <c r="AX92" s="1"/>
      <c r="AY92" s="1"/>
      <c r="AZ92" s="1" t="s">
        <v>3</v>
      </c>
      <c r="BA92" s="1"/>
      <c r="BB92" s="1" t="s">
        <v>3</v>
      </c>
      <c r="BC92" s="1" t="s">
        <v>3</v>
      </c>
      <c r="BD92" s="1" t="s">
        <v>3</v>
      </c>
      <c r="BE92" s="1" t="s">
        <v>3</v>
      </c>
      <c r="BF92" s="1" t="s">
        <v>3</v>
      </c>
      <c r="BG92" s="1" t="s">
        <v>3</v>
      </c>
      <c r="BH92" s="1" t="s">
        <v>3</v>
      </c>
      <c r="BI92" s="1" t="s">
        <v>3</v>
      </c>
      <c r="BJ92" s="1" t="s">
        <v>3</v>
      </c>
      <c r="BK92" s="1" t="s">
        <v>3</v>
      </c>
      <c r="BL92" s="1" t="s">
        <v>3</v>
      </c>
      <c r="BM92" s="1" t="s">
        <v>3</v>
      </c>
      <c r="BN92" s="1" t="s">
        <v>3</v>
      </c>
      <c r="BO92" s="1" t="s">
        <v>3</v>
      </c>
      <c r="BP92" s="1" t="s">
        <v>3</v>
      </c>
      <c r="BQ92" s="1"/>
      <c r="BR92" s="1"/>
      <c r="BS92" s="1"/>
      <c r="BT92" s="1"/>
      <c r="BU92" s="1"/>
      <c r="BV92" s="1"/>
      <c r="BW92" s="1"/>
      <c r="BX92" s="1">
        <v>0</v>
      </c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>
        <v>0</v>
      </c>
    </row>
    <row r="94" spans="1:206" x14ac:dyDescent="0.2">
      <c r="A94" s="3">
        <v>52</v>
      </c>
      <c r="B94" s="3">
        <f t="shared" ref="B94:G94" si="72">B146</f>
        <v>1</v>
      </c>
      <c r="C94" s="3">
        <f t="shared" si="72"/>
        <v>4</v>
      </c>
      <c r="D94" s="3">
        <f t="shared" si="72"/>
        <v>92</v>
      </c>
      <c r="E94" s="3">
        <f t="shared" si="72"/>
        <v>0</v>
      </c>
      <c r="F94" s="3" t="str">
        <f t="shared" si="72"/>
        <v>Новый раздел</v>
      </c>
      <c r="G94" s="3" t="str">
        <f t="shared" si="72"/>
        <v>Демонтажные работы</v>
      </c>
      <c r="H94" s="3"/>
      <c r="I94" s="3"/>
      <c r="J94" s="3"/>
      <c r="K94" s="3"/>
      <c r="L94" s="3"/>
      <c r="M94" s="3"/>
      <c r="N94" s="3"/>
      <c r="O94" s="3">
        <f t="shared" ref="O94:AT94" si="73">O146</f>
        <v>168.81</v>
      </c>
      <c r="P94" s="3">
        <f t="shared" si="73"/>
        <v>11.1</v>
      </c>
      <c r="Q94" s="3">
        <f t="shared" si="73"/>
        <v>45.47</v>
      </c>
      <c r="R94" s="3">
        <f t="shared" si="73"/>
        <v>9.2100000000000009</v>
      </c>
      <c r="S94" s="3">
        <f t="shared" si="73"/>
        <v>112.24</v>
      </c>
      <c r="T94" s="3">
        <f t="shared" si="73"/>
        <v>0</v>
      </c>
      <c r="U94" s="3">
        <f t="shared" si="73"/>
        <v>8.9279600000000006</v>
      </c>
      <c r="V94" s="3">
        <f t="shared" si="73"/>
        <v>0</v>
      </c>
      <c r="W94" s="3">
        <f t="shared" si="73"/>
        <v>0</v>
      </c>
      <c r="X94" s="3">
        <f t="shared" si="73"/>
        <v>0</v>
      </c>
      <c r="Y94" s="3">
        <f t="shared" si="73"/>
        <v>0</v>
      </c>
      <c r="Z94" s="3">
        <f t="shared" si="73"/>
        <v>0</v>
      </c>
      <c r="AA94" s="3">
        <f t="shared" si="73"/>
        <v>0</v>
      </c>
      <c r="AB94" s="3">
        <f t="shared" si="73"/>
        <v>0</v>
      </c>
      <c r="AC94" s="3">
        <f t="shared" si="73"/>
        <v>0</v>
      </c>
      <c r="AD94" s="3">
        <f t="shared" si="73"/>
        <v>0</v>
      </c>
      <c r="AE94" s="3">
        <f t="shared" si="73"/>
        <v>0</v>
      </c>
      <c r="AF94" s="3">
        <f t="shared" si="73"/>
        <v>0</v>
      </c>
      <c r="AG94" s="3">
        <f t="shared" si="73"/>
        <v>0</v>
      </c>
      <c r="AH94" s="3">
        <f t="shared" si="73"/>
        <v>0</v>
      </c>
      <c r="AI94" s="3">
        <f t="shared" si="73"/>
        <v>0</v>
      </c>
      <c r="AJ94" s="3">
        <f t="shared" si="73"/>
        <v>0</v>
      </c>
      <c r="AK94" s="3">
        <f t="shared" si="73"/>
        <v>0</v>
      </c>
      <c r="AL94" s="3">
        <f t="shared" si="73"/>
        <v>0</v>
      </c>
      <c r="AM94" s="3">
        <f t="shared" si="73"/>
        <v>0</v>
      </c>
      <c r="AN94" s="3">
        <f t="shared" si="73"/>
        <v>0</v>
      </c>
      <c r="AO94" s="3">
        <f t="shared" si="73"/>
        <v>0</v>
      </c>
      <c r="AP94" s="3">
        <f t="shared" si="73"/>
        <v>0</v>
      </c>
      <c r="AQ94" s="3">
        <f t="shared" si="73"/>
        <v>0</v>
      </c>
      <c r="AR94" s="3">
        <f t="shared" si="73"/>
        <v>185.38</v>
      </c>
      <c r="AS94" s="3">
        <f t="shared" si="73"/>
        <v>185.38</v>
      </c>
      <c r="AT94" s="3">
        <f t="shared" si="73"/>
        <v>0</v>
      </c>
      <c r="AU94" s="3">
        <f t="shared" ref="AU94:BZ94" si="74">AU146</f>
        <v>0</v>
      </c>
      <c r="AV94" s="3">
        <f t="shared" si="74"/>
        <v>11.1</v>
      </c>
      <c r="AW94" s="3">
        <f t="shared" si="74"/>
        <v>11.1</v>
      </c>
      <c r="AX94" s="3">
        <f t="shared" si="74"/>
        <v>0</v>
      </c>
      <c r="AY94" s="3">
        <f t="shared" si="74"/>
        <v>11.1</v>
      </c>
      <c r="AZ94" s="3">
        <f t="shared" si="74"/>
        <v>0</v>
      </c>
      <c r="BA94" s="3">
        <f t="shared" si="74"/>
        <v>0</v>
      </c>
      <c r="BB94" s="3">
        <f t="shared" si="74"/>
        <v>0</v>
      </c>
      <c r="BC94" s="3">
        <f t="shared" si="74"/>
        <v>0</v>
      </c>
      <c r="BD94" s="3">
        <f t="shared" si="74"/>
        <v>0</v>
      </c>
      <c r="BE94" s="3">
        <f t="shared" si="74"/>
        <v>0</v>
      </c>
      <c r="BF94" s="3">
        <f t="shared" si="74"/>
        <v>0</v>
      </c>
      <c r="BG94" s="3">
        <f t="shared" si="74"/>
        <v>0</v>
      </c>
      <c r="BH94" s="3">
        <f t="shared" si="74"/>
        <v>0</v>
      </c>
      <c r="BI94" s="3">
        <f t="shared" si="74"/>
        <v>0</v>
      </c>
      <c r="BJ94" s="3">
        <f t="shared" si="74"/>
        <v>0</v>
      </c>
      <c r="BK94" s="3">
        <f t="shared" si="74"/>
        <v>0</v>
      </c>
      <c r="BL94" s="3">
        <f t="shared" si="74"/>
        <v>0</v>
      </c>
      <c r="BM94" s="3">
        <f t="shared" si="74"/>
        <v>0</v>
      </c>
      <c r="BN94" s="3">
        <f t="shared" si="74"/>
        <v>0</v>
      </c>
      <c r="BO94" s="3">
        <f t="shared" si="74"/>
        <v>0</v>
      </c>
      <c r="BP94" s="3">
        <f t="shared" si="74"/>
        <v>0</v>
      </c>
      <c r="BQ94" s="3">
        <f t="shared" si="74"/>
        <v>0</v>
      </c>
      <c r="BR94" s="3">
        <f t="shared" si="74"/>
        <v>0</v>
      </c>
      <c r="BS94" s="3">
        <f t="shared" si="74"/>
        <v>0</v>
      </c>
      <c r="BT94" s="3">
        <f t="shared" si="74"/>
        <v>0</v>
      </c>
      <c r="BU94" s="3">
        <f t="shared" si="74"/>
        <v>0</v>
      </c>
      <c r="BV94" s="3">
        <f t="shared" si="74"/>
        <v>0</v>
      </c>
      <c r="BW94" s="3">
        <f t="shared" si="74"/>
        <v>0</v>
      </c>
      <c r="BX94" s="3">
        <f t="shared" si="74"/>
        <v>0</v>
      </c>
      <c r="BY94" s="3">
        <f t="shared" si="74"/>
        <v>0</v>
      </c>
      <c r="BZ94" s="3">
        <f t="shared" si="74"/>
        <v>0</v>
      </c>
      <c r="CA94" s="3">
        <f t="shared" ref="CA94:DF94" si="75">CA146</f>
        <v>0</v>
      </c>
      <c r="CB94" s="3">
        <f t="shared" si="75"/>
        <v>0</v>
      </c>
      <c r="CC94" s="3">
        <f t="shared" si="75"/>
        <v>0</v>
      </c>
      <c r="CD94" s="3">
        <f t="shared" si="75"/>
        <v>0</v>
      </c>
      <c r="CE94" s="3">
        <f t="shared" si="75"/>
        <v>0</v>
      </c>
      <c r="CF94" s="3">
        <f t="shared" si="75"/>
        <v>0</v>
      </c>
      <c r="CG94" s="3">
        <f t="shared" si="75"/>
        <v>0</v>
      </c>
      <c r="CH94" s="3">
        <f t="shared" si="75"/>
        <v>0</v>
      </c>
      <c r="CI94" s="3">
        <f t="shared" si="75"/>
        <v>0</v>
      </c>
      <c r="CJ94" s="3">
        <f t="shared" si="75"/>
        <v>0</v>
      </c>
      <c r="CK94" s="3">
        <f t="shared" si="75"/>
        <v>0</v>
      </c>
      <c r="CL94" s="3">
        <f t="shared" si="75"/>
        <v>0</v>
      </c>
      <c r="CM94" s="3">
        <f t="shared" si="75"/>
        <v>0</v>
      </c>
      <c r="CN94" s="3">
        <f t="shared" si="75"/>
        <v>0</v>
      </c>
      <c r="CO94" s="3">
        <f t="shared" si="75"/>
        <v>0</v>
      </c>
      <c r="CP94" s="3">
        <f t="shared" si="75"/>
        <v>0</v>
      </c>
      <c r="CQ94" s="3">
        <f t="shared" si="75"/>
        <v>0</v>
      </c>
      <c r="CR94" s="3">
        <f t="shared" si="75"/>
        <v>0</v>
      </c>
      <c r="CS94" s="3">
        <f t="shared" si="75"/>
        <v>0</v>
      </c>
      <c r="CT94" s="3">
        <f t="shared" si="75"/>
        <v>0</v>
      </c>
      <c r="CU94" s="3">
        <f t="shared" si="75"/>
        <v>0</v>
      </c>
      <c r="CV94" s="3">
        <f t="shared" si="75"/>
        <v>0</v>
      </c>
      <c r="CW94" s="3">
        <f t="shared" si="75"/>
        <v>0</v>
      </c>
      <c r="CX94" s="3">
        <f t="shared" si="75"/>
        <v>0</v>
      </c>
      <c r="CY94" s="3">
        <f t="shared" si="75"/>
        <v>0</v>
      </c>
      <c r="CZ94" s="3">
        <f t="shared" si="75"/>
        <v>0</v>
      </c>
      <c r="DA94" s="3">
        <f t="shared" si="75"/>
        <v>0</v>
      </c>
      <c r="DB94" s="3">
        <f t="shared" si="75"/>
        <v>0</v>
      </c>
      <c r="DC94" s="3">
        <f t="shared" si="75"/>
        <v>0</v>
      </c>
      <c r="DD94" s="3">
        <f t="shared" si="75"/>
        <v>0</v>
      </c>
      <c r="DE94" s="3">
        <f t="shared" si="75"/>
        <v>0</v>
      </c>
      <c r="DF94" s="3">
        <f t="shared" si="75"/>
        <v>0</v>
      </c>
      <c r="DG94" s="4">
        <f t="shared" ref="DG94:EL94" si="76">DG146</f>
        <v>2736.92</v>
      </c>
      <c r="DH94" s="4">
        <f t="shared" si="76"/>
        <v>63.49</v>
      </c>
      <c r="DI94" s="4">
        <f t="shared" si="76"/>
        <v>383.72</v>
      </c>
      <c r="DJ94" s="4">
        <f t="shared" si="76"/>
        <v>187.76</v>
      </c>
      <c r="DK94" s="4">
        <f t="shared" si="76"/>
        <v>2289.71</v>
      </c>
      <c r="DL94" s="4">
        <f t="shared" si="76"/>
        <v>0</v>
      </c>
      <c r="DM94" s="4">
        <f t="shared" si="76"/>
        <v>8.9279600000000006</v>
      </c>
      <c r="DN94" s="4">
        <f t="shared" si="76"/>
        <v>0</v>
      </c>
      <c r="DO94" s="4">
        <f t="shared" si="76"/>
        <v>0</v>
      </c>
      <c r="DP94" s="4">
        <f t="shared" si="76"/>
        <v>1566.02</v>
      </c>
      <c r="DQ94" s="4">
        <f t="shared" si="76"/>
        <v>938.78</v>
      </c>
      <c r="DR94" s="4">
        <f t="shared" si="76"/>
        <v>0</v>
      </c>
      <c r="DS94" s="4">
        <f t="shared" si="76"/>
        <v>0</v>
      </c>
      <c r="DT94" s="4">
        <f t="shared" si="76"/>
        <v>0</v>
      </c>
      <c r="DU94" s="4">
        <f t="shared" si="76"/>
        <v>0</v>
      </c>
      <c r="DV94" s="4">
        <f t="shared" si="76"/>
        <v>0</v>
      </c>
      <c r="DW94" s="4">
        <f t="shared" si="76"/>
        <v>0</v>
      </c>
      <c r="DX94" s="4">
        <f t="shared" si="76"/>
        <v>0</v>
      </c>
      <c r="DY94" s="4">
        <f t="shared" si="76"/>
        <v>0</v>
      </c>
      <c r="DZ94" s="4">
        <f t="shared" si="76"/>
        <v>0</v>
      </c>
      <c r="EA94" s="4">
        <f t="shared" si="76"/>
        <v>0</v>
      </c>
      <c r="EB94" s="4">
        <f t="shared" si="76"/>
        <v>0</v>
      </c>
      <c r="EC94" s="4">
        <f t="shared" si="76"/>
        <v>0</v>
      </c>
      <c r="ED94" s="4">
        <f t="shared" si="76"/>
        <v>0</v>
      </c>
      <c r="EE94" s="4">
        <f t="shared" si="76"/>
        <v>0</v>
      </c>
      <c r="EF94" s="4">
        <f t="shared" si="76"/>
        <v>0</v>
      </c>
      <c r="EG94" s="4">
        <f t="shared" si="76"/>
        <v>0</v>
      </c>
      <c r="EH94" s="4">
        <f t="shared" si="76"/>
        <v>0</v>
      </c>
      <c r="EI94" s="4">
        <f t="shared" si="76"/>
        <v>0</v>
      </c>
      <c r="EJ94" s="4">
        <f t="shared" si="76"/>
        <v>5557.16</v>
      </c>
      <c r="EK94" s="4">
        <f t="shared" si="76"/>
        <v>5557.16</v>
      </c>
      <c r="EL94" s="4">
        <f t="shared" si="76"/>
        <v>0</v>
      </c>
      <c r="EM94" s="4">
        <f t="shared" ref="EM94:FR94" si="77">EM146</f>
        <v>0</v>
      </c>
      <c r="EN94" s="4">
        <f t="shared" si="77"/>
        <v>63.49</v>
      </c>
      <c r="EO94" s="4">
        <f t="shared" si="77"/>
        <v>63.49</v>
      </c>
      <c r="EP94" s="4">
        <f t="shared" si="77"/>
        <v>0</v>
      </c>
      <c r="EQ94" s="4">
        <f t="shared" si="77"/>
        <v>63.49</v>
      </c>
      <c r="ER94" s="4">
        <f t="shared" si="77"/>
        <v>0</v>
      </c>
      <c r="ES94" s="4">
        <f t="shared" si="77"/>
        <v>0</v>
      </c>
      <c r="ET94" s="4">
        <f t="shared" si="77"/>
        <v>0</v>
      </c>
      <c r="EU94" s="4">
        <f t="shared" si="77"/>
        <v>0</v>
      </c>
      <c r="EV94" s="4">
        <f t="shared" si="77"/>
        <v>0</v>
      </c>
      <c r="EW94" s="4">
        <f t="shared" si="77"/>
        <v>0</v>
      </c>
      <c r="EX94" s="4">
        <f t="shared" si="77"/>
        <v>0</v>
      </c>
      <c r="EY94" s="4">
        <f t="shared" si="77"/>
        <v>0</v>
      </c>
      <c r="EZ94" s="4">
        <f t="shared" si="77"/>
        <v>0</v>
      </c>
      <c r="FA94" s="4">
        <f t="shared" si="77"/>
        <v>0</v>
      </c>
      <c r="FB94" s="4">
        <f t="shared" si="77"/>
        <v>0</v>
      </c>
      <c r="FC94" s="4">
        <f t="shared" si="77"/>
        <v>0</v>
      </c>
      <c r="FD94" s="4">
        <f t="shared" si="77"/>
        <v>0</v>
      </c>
      <c r="FE94" s="4">
        <f t="shared" si="77"/>
        <v>0</v>
      </c>
      <c r="FF94" s="4">
        <f t="shared" si="77"/>
        <v>0</v>
      </c>
      <c r="FG94" s="4">
        <f t="shared" si="77"/>
        <v>0</v>
      </c>
      <c r="FH94" s="4">
        <f t="shared" si="77"/>
        <v>0</v>
      </c>
      <c r="FI94" s="4">
        <f t="shared" si="77"/>
        <v>0</v>
      </c>
      <c r="FJ94" s="4">
        <f t="shared" si="77"/>
        <v>0</v>
      </c>
      <c r="FK94" s="4">
        <f t="shared" si="77"/>
        <v>0</v>
      </c>
      <c r="FL94" s="4">
        <f t="shared" si="77"/>
        <v>0</v>
      </c>
      <c r="FM94" s="4">
        <f t="shared" si="77"/>
        <v>0</v>
      </c>
      <c r="FN94" s="4">
        <f t="shared" si="77"/>
        <v>0</v>
      </c>
      <c r="FO94" s="4">
        <f t="shared" si="77"/>
        <v>0</v>
      </c>
      <c r="FP94" s="4">
        <f t="shared" si="77"/>
        <v>0</v>
      </c>
      <c r="FQ94" s="4">
        <f t="shared" si="77"/>
        <v>0</v>
      </c>
      <c r="FR94" s="4">
        <f t="shared" si="77"/>
        <v>0</v>
      </c>
      <c r="FS94" s="4">
        <f t="shared" ref="FS94:GX94" si="78">FS146</f>
        <v>0</v>
      </c>
      <c r="FT94" s="4">
        <f t="shared" si="78"/>
        <v>0</v>
      </c>
      <c r="FU94" s="4">
        <f t="shared" si="78"/>
        <v>0</v>
      </c>
      <c r="FV94" s="4">
        <f t="shared" si="78"/>
        <v>0</v>
      </c>
      <c r="FW94" s="4">
        <f t="shared" si="78"/>
        <v>0</v>
      </c>
      <c r="FX94" s="4">
        <f t="shared" si="78"/>
        <v>0</v>
      </c>
      <c r="FY94" s="4">
        <f t="shared" si="78"/>
        <v>0</v>
      </c>
      <c r="FZ94" s="4">
        <f t="shared" si="78"/>
        <v>0</v>
      </c>
      <c r="GA94" s="4">
        <f t="shared" si="78"/>
        <v>0</v>
      </c>
      <c r="GB94" s="4">
        <f t="shared" si="78"/>
        <v>0</v>
      </c>
      <c r="GC94" s="4">
        <f t="shared" si="78"/>
        <v>0</v>
      </c>
      <c r="GD94" s="4">
        <f t="shared" si="78"/>
        <v>0</v>
      </c>
      <c r="GE94" s="4">
        <f t="shared" si="78"/>
        <v>0</v>
      </c>
      <c r="GF94" s="4">
        <f t="shared" si="78"/>
        <v>0</v>
      </c>
      <c r="GG94" s="4">
        <f t="shared" si="78"/>
        <v>0</v>
      </c>
      <c r="GH94" s="4">
        <f t="shared" si="78"/>
        <v>0</v>
      </c>
      <c r="GI94" s="4">
        <f t="shared" si="78"/>
        <v>0</v>
      </c>
      <c r="GJ94" s="4">
        <f t="shared" si="78"/>
        <v>0</v>
      </c>
      <c r="GK94" s="4">
        <f t="shared" si="78"/>
        <v>0</v>
      </c>
      <c r="GL94" s="4">
        <f t="shared" si="78"/>
        <v>0</v>
      </c>
      <c r="GM94" s="4">
        <f t="shared" si="78"/>
        <v>0</v>
      </c>
      <c r="GN94" s="4">
        <f t="shared" si="78"/>
        <v>0</v>
      </c>
      <c r="GO94" s="4">
        <f t="shared" si="78"/>
        <v>0</v>
      </c>
      <c r="GP94" s="4">
        <f t="shared" si="78"/>
        <v>0</v>
      </c>
      <c r="GQ94" s="4">
        <f t="shared" si="78"/>
        <v>0</v>
      </c>
      <c r="GR94" s="4">
        <f t="shared" si="78"/>
        <v>0</v>
      </c>
      <c r="GS94" s="4">
        <f t="shared" si="78"/>
        <v>0</v>
      </c>
      <c r="GT94" s="4">
        <f t="shared" si="78"/>
        <v>0</v>
      </c>
      <c r="GU94" s="4">
        <f t="shared" si="78"/>
        <v>0</v>
      </c>
      <c r="GV94" s="4">
        <f t="shared" si="78"/>
        <v>0</v>
      </c>
      <c r="GW94" s="4">
        <f t="shared" si="78"/>
        <v>0</v>
      </c>
      <c r="GX94" s="4">
        <f t="shared" si="78"/>
        <v>0</v>
      </c>
    </row>
    <row r="96" spans="1:206" x14ac:dyDescent="0.2">
      <c r="A96" s="1">
        <v>5</v>
      </c>
      <c r="B96" s="1">
        <v>1</v>
      </c>
      <c r="C96" s="1"/>
      <c r="D96" s="1">
        <f>ROW(A117)</f>
        <v>117</v>
      </c>
      <c r="E96" s="1"/>
      <c r="F96" s="1" t="s">
        <v>170</v>
      </c>
      <c r="G96" s="1" t="s">
        <v>171</v>
      </c>
      <c r="H96" s="1" t="s">
        <v>3</v>
      </c>
      <c r="I96" s="1">
        <v>0</v>
      </c>
      <c r="J96" s="1"/>
      <c r="K96" s="1">
        <v>-1</v>
      </c>
      <c r="L96" s="1"/>
      <c r="M96" s="1"/>
      <c r="N96" s="1"/>
      <c r="O96" s="1"/>
      <c r="P96" s="1"/>
      <c r="Q96" s="1"/>
      <c r="R96" s="1"/>
      <c r="S96" s="1"/>
      <c r="T96" s="1"/>
      <c r="U96" s="1" t="s">
        <v>3</v>
      </c>
      <c r="V96" s="1">
        <v>0</v>
      </c>
      <c r="W96" s="1"/>
      <c r="X96" s="1"/>
      <c r="Y96" s="1"/>
      <c r="Z96" s="1"/>
      <c r="AA96" s="1"/>
      <c r="AB96" s="1" t="s">
        <v>3</v>
      </c>
      <c r="AC96" s="1" t="s">
        <v>3</v>
      </c>
      <c r="AD96" s="1" t="s">
        <v>3</v>
      </c>
      <c r="AE96" s="1" t="s">
        <v>3</v>
      </c>
      <c r="AF96" s="1" t="s">
        <v>3</v>
      </c>
      <c r="AG96" s="1" t="s">
        <v>3</v>
      </c>
      <c r="AH96" s="1"/>
      <c r="AI96" s="1"/>
      <c r="AJ96" s="1"/>
      <c r="AK96" s="1"/>
      <c r="AL96" s="1"/>
      <c r="AM96" s="1"/>
      <c r="AN96" s="1"/>
      <c r="AO96" s="1"/>
      <c r="AP96" s="1" t="s">
        <v>3</v>
      </c>
      <c r="AQ96" s="1" t="s">
        <v>3</v>
      </c>
      <c r="AR96" s="1" t="s">
        <v>3</v>
      </c>
      <c r="AS96" s="1"/>
      <c r="AT96" s="1"/>
      <c r="AU96" s="1"/>
      <c r="AV96" s="1"/>
      <c r="AW96" s="1"/>
      <c r="AX96" s="1"/>
      <c r="AY96" s="1"/>
      <c r="AZ96" s="1" t="s">
        <v>3</v>
      </c>
      <c r="BA96" s="1"/>
      <c r="BB96" s="1" t="s">
        <v>3</v>
      </c>
      <c r="BC96" s="1" t="s">
        <v>3</v>
      </c>
      <c r="BD96" s="1" t="s">
        <v>3</v>
      </c>
      <c r="BE96" s="1" t="s">
        <v>3</v>
      </c>
      <c r="BF96" s="1" t="s">
        <v>3</v>
      </c>
      <c r="BG96" s="1" t="s">
        <v>3</v>
      </c>
      <c r="BH96" s="1" t="s">
        <v>3</v>
      </c>
      <c r="BI96" s="1" t="s">
        <v>3</v>
      </c>
      <c r="BJ96" s="1" t="s">
        <v>3</v>
      </c>
      <c r="BK96" s="1" t="s">
        <v>3</v>
      </c>
      <c r="BL96" s="1" t="s">
        <v>3</v>
      </c>
      <c r="BM96" s="1" t="s">
        <v>3</v>
      </c>
      <c r="BN96" s="1" t="s">
        <v>3</v>
      </c>
      <c r="BO96" s="1" t="s">
        <v>3</v>
      </c>
      <c r="BP96" s="1" t="s">
        <v>3</v>
      </c>
      <c r="BQ96" s="1"/>
      <c r="BR96" s="1"/>
      <c r="BS96" s="1"/>
      <c r="BT96" s="1"/>
      <c r="BU96" s="1"/>
      <c r="BV96" s="1"/>
      <c r="BW96" s="1"/>
      <c r="BX96" s="1">
        <v>0</v>
      </c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>
        <v>0</v>
      </c>
    </row>
    <row r="98" spans="1:255" x14ac:dyDescent="0.2">
      <c r="A98" s="3">
        <v>52</v>
      </c>
      <c r="B98" s="3">
        <f t="shared" ref="B98:G98" si="79">B117</f>
        <v>1</v>
      </c>
      <c r="C98" s="3">
        <f t="shared" si="79"/>
        <v>5</v>
      </c>
      <c r="D98" s="3">
        <f t="shared" si="79"/>
        <v>96</v>
      </c>
      <c r="E98" s="3">
        <f t="shared" si="79"/>
        <v>0</v>
      </c>
      <c r="F98" s="3" t="str">
        <f t="shared" si="79"/>
        <v>Новый подраздел</v>
      </c>
      <c r="G98" s="3" t="str">
        <f t="shared" si="79"/>
        <v>Входная группа</v>
      </c>
      <c r="H98" s="3"/>
      <c r="I98" s="3"/>
      <c r="J98" s="3"/>
      <c r="K98" s="3"/>
      <c r="L98" s="3"/>
      <c r="M98" s="3"/>
      <c r="N98" s="3"/>
      <c r="O98" s="3">
        <f t="shared" ref="O98:AT98" si="80">O117</f>
        <v>168.81</v>
      </c>
      <c r="P98" s="3">
        <f t="shared" si="80"/>
        <v>11.1</v>
      </c>
      <c r="Q98" s="3">
        <f t="shared" si="80"/>
        <v>45.47</v>
      </c>
      <c r="R98" s="3">
        <f t="shared" si="80"/>
        <v>9.2100000000000009</v>
      </c>
      <c r="S98" s="3">
        <f t="shared" si="80"/>
        <v>112.24</v>
      </c>
      <c r="T98" s="3">
        <f t="shared" si="80"/>
        <v>0</v>
      </c>
      <c r="U98" s="3">
        <f t="shared" si="80"/>
        <v>8.9279600000000006</v>
      </c>
      <c r="V98" s="3">
        <f t="shared" si="80"/>
        <v>0</v>
      </c>
      <c r="W98" s="3">
        <f t="shared" si="80"/>
        <v>0</v>
      </c>
      <c r="X98" s="3">
        <f t="shared" si="80"/>
        <v>0</v>
      </c>
      <c r="Y98" s="3">
        <f t="shared" si="80"/>
        <v>0</v>
      </c>
      <c r="Z98" s="3">
        <f t="shared" si="80"/>
        <v>0</v>
      </c>
      <c r="AA98" s="3">
        <f t="shared" si="80"/>
        <v>0</v>
      </c>
      <c r="AB98" s="3">
        <f t="shared" si="80"/>
        <v>168.81</v>
      </c>
      <c r="AC98" s="3">
        <f t="shared" si="80"/>
        <v>11.1</v>
      </c>
      <c r="AD98" s="3">
        <f t="shared" si="80"/>
        <v>45.47</v>
      </c>
      <c r="AE98" s="3">
        <f t="shared" si="80"/>
        <v>9.2100000000000009</v>
      </c>
      <c r="AF98" s="3">
        <f t="shared" si="80"/>
        <v>112.24</v>
      </c>
      <c r="AG98" s="3">
        <f t="shared" si="80"/>
        <v>0</v>
      </c>
      <c r="AH98" s="3">
        <f t="shared" si="80"/>
        <v>8.9279600000000006</v>
      </c>
      <c r="AI98" s="3">
        <f t="shared" si="80"/>
        <v>0</v>
      </c>
      <c r="AJ98" s="3">
        <f t="shared" si="80"/>
        <v>0</v>
      </c>
      <c r="AK98" s="3">
        <f t="shared" si="80"/>
        <v>0</v>
      </c>
      <c r="AL98" s="3">
        <f t="shared" si="80"/>
        <v>0</v>
      </c>
      <c r="AM98" s="3">
        <f t="shared" si="80"/>
        <v>0</v>
      </c>
      <c r="AN98" s="3">
        <f t="shared" si="80"/>
        <v>0</v>
      </c>
      <c r="AO98" s="3">
        <f t="shared" si="80"/>
        <v>0</v>
      </c>
      <c r="AP98" s="3">
        <f t="shared" si="80"/>
        <v>0</v>
      </c>
      <c r="AQ98" s="3">
        <f t="shared" si="80"/>
        <v>0</v>
      </c>
      <c r="AR98" s="3">
        <f t="shared" si="80"/>
        <v>185.38</v>
      </c>
      <c r="AS98" s="3">
        <f t="shared" si="80"/>
        <v>185.38</v>
      </c>
      <c r="AT98" s="3">
        <f t="shared" si="80"/>
        <v>0</v>
      </c>
      <c r="AU98" s="3">
        <f t="shared" ref="AU98:BZ98" si="81">AU117</f>
        <v>0</v>
      </c>
      <c r="AV98" s="3">
        <f t="shared" si="81"/>
        <v>11.1</v>
      </c>
      <c r="AW98" s="3">
        <f t="shared" si="81"/>
        <v>11.1</v>
      </c>
      <c r="AX98" s="3">
        <f t="shared" si="81"/>
        <v>0</v>
      </c>
      <c r="AY98" s="3">
        <f t="shared" si="81"/>
        <v>11.1</v>
      </c>
      <c r="AZ98" s="3">
        <f t="shared" si="81"/>
        <v>0</v>
      </c>
      <c r="BA98" s="3">
        <f t="shared" si="81"/>
        <v>0</v>
      </c>
      <c r="BB98" s="3">
        <f t="shared" si="81"/>
        <v>0</v>
      </c>
      <c r="BC98" s="3">
        <f t="shared" si="81"/>
        <v>0</v>
      </c>
      <c r="BD98" s="3">
        <f t="shared" si="81"/>
        <v>0</v>
      </c>
      <c r="BE98" s="3">
        <f t="shared" si="81"/>
        <v>0</v>
      </c>
      <c r="BF98" s="3">
        <f t="shared" si="81"/>
        <v>0</v>
      </c>
      <c r="BG98" s="3">
        <f t="shared" si="81"/>
        <v>0</v>
      </c>
      <c r="BH98" s="3">
        <f t="shared" si="81"/>
        <v>0</v>
      </c>
      <c r="BI98" s="3">
        <f t="shared" si="81"/>
        <v>0</v>
      </c>
      <c r="BJ98" s="3">
        <f t="shared" si="81"/>
        <v>0</v>
      </c>
      <c r="BK98" s="3">
        <f t="shared" si="81"/>
        <v>0</v>
      </c>
      <c r="BL98" s="3">
        <f t="shared" si="81"/>
        <v>0</v>
      </c>
      <c r="BM98" s="3">
        <f t="shared" si="81"/>
        <v>0</v>
      </c>
      <c r="BN98" s="3">
        <f t="shared" si="81"/>
        <v>0</v>
      </c>
      <c r="BO98" s="3">
        <f t="shared" si="81"/>
        <v>0</v>
      </c>
      <c r="BP98" s="3">
        <f t="shared" si="81"/>
        <v>0</v>
      </c>
      <c r="BQ98" s="3">
        <f t="shared" si="81"/>
        <v>0</v>
      </c>
      <c r="BR98" s="3">
        <f t="shared" si="81"/>
        <v>0</v>
      </c>
      <c r="BS98" s="3">
        <f t="shared" si="81"/>
        <v>0</v>
      </c>
      <c r="BT98" s="3">
        <f t="shared" si="81"/>
        <v>0</v>
      </c>
      <c r="BU98" s="3">
        <f t="shared" si="81"/>
        <v>0</v>
      </c>
      <c r="BV98" s="3">
        <f t="shared" si="81"/>
        <v>0</v>
      </c>
      <c r="BW98" s="3">
        <f t="shared" si="81"/>
        <v>0</v>
      </c>
      <c r="BX98" s="3">
        <f t="shared" si="81"/>
        <v>0</v>
      </c>
      <c r="BY98" s="3">
        <f t="shared" si="81"/>
        <v>0</v>
      </c>
      <c r="BZ98" s="3">
        <f t="shared" si="81"/>
        <v>0</v>
      </c>
      <c r="CA98" s="3">
        <f t="shared" ref="CA98:DF98" si="82">CA117</f>
        <v>185.38</v>
      </c>
      <c r="CB98" s="3">
        <f t="shared" si="82"/>
        <v>185.38</v>
      </c>
      <c r="CC98" s="3">
        <f t="shared" si="82"/>
        <v>0</v>
      </c>
      <c r="CD98" s="3">
        <f t="shared" si="82"/>
        <v>0</v>
      </c>
      <c r="CE98" s="3">
        <f t="shared" si="82"/>
        <v>11.1</v>
      </c>
      <c r="CF98" s="3">
        <f t="shared" si="82"/>
        <v>11.1</v>
      </c>
      <c r="CG98" s="3">
        <f t="shared" si="82"/>
        <v>0</v>
      </c>
      <c r="CH98" s="3">
        <f t="shared" si="82"/>
        <v>11.1</v>
      </c>
      <c r="CI98" s="3">
        <f t="shared" si="82"/>
        <v>0</v>
      </c>
      <c r="CJ98" s="3">
        <f t="shared" si="82"/>
        <v>0</v>
      </c>
      <c r="CK98" s="3">
        <f t="shared" si="82"/>
        <v>0</v>
      </c>
      <c r="CL98" s="3">
        <f t="shared" si="82"/>
        <v>0</v>
      </c>
      <c r="CM98" s="3">
        <f t="shared" si="82"/>
        <v>0</v>
      </c>
      <c r="CN98" s="3">
        <f t="shared" si="82"/>
        <v>0</v>
      </c>
      <c r="CO98" s="3">
        <f t="shared" si="82"/>
        <v>0</v>
      </c>
      <c r="CP98" s="3">
        <f t="shared" si="82"/>
        <v>0</v>
      </c>
      <c r="CQ98" s="3">
        <f t="shared" si="82"/>
        <v>0</v>
      </c>
      <c r="CR98" s="3">
        <f t="shared" si="82"/>
        <v>0</v>
      </c>
      <c r="CS98" s="3">
        <f t="shared" si="82"/>
        <v>0</v>
      </c>
      <c r="CT98" s="3">
        <f t="shared" si="82"/>
        <v>0</v>
      </c>
      <c r="CU98" s="3">
        <f t="shared" si="82"/>
        <v>0</v>
      </c>
      <c r="CV98" s="3">
        <f t="shared" si="82"/>
        <v>0</v>
      </c>
      <c r="CW98" s="3">
        <f t="shared" si="82"/>
        <v>0</v>
      </c>
      <c r="CX98" s="3">
        <f t="shared" si="82"/>
        <v>0</v>
      </c>
      <c r="CY98" s="3">
        <f t="shared" si="82"/>
        <v>0</v>
      </c>
      <c r="CZ98" s="3">
        <f t="shared" si="82"/>
        <v>0</v>
      </c>
      <c r="DA98" s="3">
        <f t="shared" si="82"/>
        <v>0</v>
      </c>
      <c r="DB98" s="3">
        <f t="shared" si="82"/>
        <v>0</v>
      </c>
      <c r="DC98" s="3">
        <f t="shared" si="82"/>
        <v>0</v>
      </c>
      <c r="DD98" s="3">
        <f t="shared" si="82"/>
        <v>0</v>
      </c>
      <c r="DE98" s="3">
        <f t="shared" si="82"/>
        <v>0</v>
      </c>
      <c r="DF98" s="3">
        <f t="shared" si="82"/>
        <v>0</v>
      </c>
      <c r="DG98" s="4">
        <f t="shared" ref="DG98:EL98" si="83">DG117</f>
        <v>2736.92</v>
      </c>
      <c r="DH98" s="4">
        <f t="shared" si="83"/>
        <v>63.49</v>
      </c>
      <c r="DI98" s="4">
        <f t="shared" si="83"/>
        <v>383.72</v>
      </c>
      <c r="DJ98" s="4">
        <f t="shared" si="83"/>
        <v>187.76</v>
      </c>
      <c r="DK98" s="4">
        <f t="shared" si="83"/>
        <v>2289.71</v>
      </c>
      <c r="DL98" s="4">
        <f t="shared" si="83"/>
        <v>0</v>
      </c>
      <c r="DM98" s="4">
        <f t="shared" si="83"/>
        <v>8.9279600000000006</v>
      </c>
      <c r="DN98" s="4">
        <f t="shared" si="83"/>
        <v>0</v>
      </c>
      <c r="DO98" s="4">
        <f t="shared" si="83"/>
        <v>0</v>
      </c>
      <c r="DP98" s="4">
        <f t="shared" si="83"/>
        <v>1566.02</v>
      </c>
      <c r="DQ98" s="4">
        <f t="shared" si="83"/>
        <v>938.78</v>
      </c>
      <c r="DR98" s="4">
        <f t="shared" si="83"/>
        <v>0</v>
      </c>
      <c r="DS98" s="4">
        <f t="shared" si="83"/>
        <v>0</v>
      </c>
      <c r="DT98" s="4">
        <f t="shared" si="83"/>
        <v>2736.92</v>
      </c>
      <c r="DU98" s="4">
        <f t="shared" si="83"/>
        <v>63.49</v>
      </c>
      <c r="DV98" s="4">
        <f t="shared" si="83"/>
        <v>383.72</v>
      </c>
      <c r="DW98" s="4">
        <f t="shared" si="83"/>
        <v>187.76</v>
      </c>
      <c r="DX98" s="4">
        <f t="shared" si="83"/>
        <v>2289.71</v>
      </c>
      <c r="DY98" s="4">
        <f t="shared" si="83"/>
        <v>0</v>
      </c>
      <c r="DZ98" s="4">
        <f t="shared" si="83"/>
        <v>8.9279600000000006</v>
      </c>
      <c r="EA98" s="4">
        <f t="shared" si="83"/>
        <v>0</v>
      </c>
      <c r="EB98" s="4">
        <f t="shared" si="83"/>
        <v>0</v>
      </c>
      <c r="EC98" s="4">
        <f t="shared" si="83"/>
        <v>1566.02</v>
      </c>
      <c r="ED98" s="4">
        <f t="shared" si="83"/>
        <v>938.78</v>
      </c>
      <c r="EE98" s="4">
        <f t="shared" si="83"/>
        <v>0</v>
      </c>
      <c r="EF98" s="4">
        <f t="shared" si="83"/>
        <v>0</v>
      </c>
      <c r="EG98" s="4">
        <f t="shared" si="83"/>
        <v>0</v>
      </c>
      <c r="EH98" s="4">
        <f t="shared" si="83"/>
        <v>0</v>
      </c>
      <c r="EI98" s="4">
        <f t="shared" si="83"/>
        <v>0</v>
      </c>
      <c r="EJ98" s="4">
        <f t="shared" si="83"/>
        <v>5557.16</v>
      </c>
      <c r="EK98" s="4">
        <f t="shared" si="83"/>
        <v>5557.16</v>
      </c>
      <c r="EL98" s="4">
        <f t="shared" si="83"/>
        <v>0</v>
      </c>
      <c r="EM98" s="4">
        <f t="shared" ref="EM98:FR98" si="84">EM117</f>
        <v>0</v>
      </c>
      <c r="EN98" s="4">
        <f t="shared" si="84"/>
        <v>63.49</v>
      </c>
      <c r="EO98" s="4">
        <f t="shared" si="84"/>
        <v>63.49</v>
      </c>
      <c r="EP98" s="4">
        <f t="shared" si="84"/>
        <v>0</v>
      </c>
      <c r="EQ98" s="4">
        <f t="shared" si="84"/>
        <v>63.49</v>
      </c>
      <c r="ER98" s="4">
        <f t="shared" si="84"/>
        <v>0</v>
      </c>
      <c r="ES98" s="4">
        <f t="shared" si="84"/>
        <v>0</v>
      </c>
      <c r="ET98" s="4">
        <f t="shared" si="84"/>
        <v>0</v>
      </c>
      <c r="EU98" s="4">
        <f t="shared" si="84"/>
        <v>0</v>
      </c>
      <c r="EV98" s="4">
        <f t="shared" si="84"/>
        <v>0</v>
      </c>
      <c r="EW98" s="4">
        <f t="shared" si="84"/>
        <v>0</v>
      </c>
      <c r="EX98" s="4">
        <f t="shared" si="84"/>
        <v>0</v>
      </c>
      <c r="EY98" s="4">
        <f t="shared" si="84"/>
        <v>0</v>
      </c>
      <c r="EZ98" s="4">
        <f t="shared" si="84"/>
        <v>0</v>
      </c>
      <c r="FA98" s="4">
        <f t="shared" si="84"/>
        <v>0</v>
      </c>
      <c r="FB98" s="4">
        <f t="shared" si="84"/>
        <v>0</v>
      </c>
      <c r="FC98" s="4">
        <f t="shared" si="84"/>
        <v>0</v>
      </c>
      <c r="FD98" s="4">
        <f t="shared" si="84"/>
        <v>0</v>
      </c>
      <c r="FE98" s="4">
        <f t="shared" si="84"/>
        <v>0</v>
      </c>
      <c r="FF98" s="4">
        <f t="shared" si="84"/>
        <v>0</v>
      </c>
      <c r="FG98" s="4">
        <f t="shared" si="84"/>
        <v>0</v>
      </c>
      <c r="FH98" s="4">
        <f t="shared" si="84"/>
        <v>0</v>
      </c>
      <c r="FI98" s="4">
        <f t="shared" si="84"/>
        <v>0</v>
      </c>
      <c r="FJ98" s="4">
        <f t="shared" si="84"/>
        <v>0</v>
      </c>
      <c r="FK98" s="4">
        <f t="shared" si="84"/>
        <v>0</v>
      </c>
      <c r="FL98" s="4">
        <f t="shared" si="84"/>
        <v>0</v>
      </c>
      <c r="FM98" s="4">
        <f t="shared" si="84"/>
        <v>0</v>
      </c>
      <c r="FN98" s="4">
        <f t="shared" si="84"/>
        <v>0</v>
      </c>
      <c r="FO98" s="4">
        <f t="shared" si="84"/>
        <v>0</v>
      </c>
      <c r="FP98" s="4">
        <f t="shared" si="84"/>
        <v>0</v>
      </c>
      <c r="FQ98" s="4">
        <f t="shared" si="84"/>
        <v>0</v>
      </c>
      <c r="FR98" s="4">
        <f t="shared" si="84"/>
        <v>0</v>
      </c>
      <c r="FS98" s="4">
        <f t="shared" ref="FS98:GX98" si="85">FS117</f>
        <v>5557.16</v>
      </c>
      <c r="FT98" s="4">
        <f t="shared" si="85"/>
        <v>5557.16</v>
      </c>
      <c r="FU98" s="4">
        <f t="shared" si="85"/>
        <v>0</v>
      </c>
      <c r="FV98" s="4">
        <f t="shared" si="85"/>
        <v>0</v>
      </c>
      <c r="FW98" s="4">
        <f t="shared" si="85"/>
        <v>63.49</v>
      </c>
      <c r="FX98" s="4">
        <f t="shared" si="85"/>
        <v>63.49</v>
      </c>
      <c r="FY98" s="4">
        <f t="shared" si="85"/>
        <v>0</v>
      </c>
      <c r="FZ98" s="4">
        <f t="shared" si="85"/>
        <v>63.49</v>
      </c>
      <c r="GA98" s="4">
        <f t="shared" si="85"/>
        <v>0</v>
      </c>
      <c r="GB98" s="4">
        <f t="shared" si="85"/>
        <v>0</v>
      </c>
      <c r="GC98" s="4">
        <f t="shared" si="85"/>
        <v>0</v>
      </c>
      <c r="GD98" s="4">
        <f t="shared" si="85"/>
        <v>0</v>
      </c>
      <c r="GE98" s="4">
        <f t="shared" si="85"/>
        <v>0</v>
      </c>
      <c r="GF98" s="4">
        <f t="shared" si="85"/>
        <v>0</v>
      </c>
      <c r="GG98" s="4">
        <f t="shared" si="85"/>
        <v>0</v>
      </c>
      <c r="GH98" s="4">
        <f t="shared" si="85"/>
        <v>0</v>
      </c>
      <c r="GI98" s="4">
        <f t="shared" si="85"/>
        <v>0</v>
      </c>
      <c r="GJ98" s="4">
        <f t="shared" si="85"/>
        <v>0</v>
      </c>
      <c r="GK98" s="4">
        <f t="shared" si="85"/>
        <v>0</v>
      </c>
      <c r="GL98" s="4">
        <f t="shared" si="85"/>
        <v>0</v>
      </c>
      <c r="GM98" s="4">
        <f t="shared" si="85"/>
        <v>0</v>
      </c>
      <c r="GN98" s="4">
        <f t="shared" si="85"/>
        <v>0</v>
      </c>
      <c r="GO98" s="4">
        <f t="shared" si="85"/>
        <v>0</v>
      </c>
      <c r="GP98" s="4">
        <f t="shared" si="85"/>
        <v>0</v>
      </c>
      <c r="GQ98" s="4">
        <f t="shared" si="85"/>
        <v>0</v>
      </c>
      <c r="GR98" s="4">
        <f t="shared" si="85"/>
        <v>0</v>
      </c>
      <c r="GS98" s="4">
        <f t="shared" si="85"/>
        <v>0</v>
      </c>
      <c r="GT98" s="4">
        <f t="shared" si="85"/>
        <v>0</v>
      </c>
      <c r="GU98" s="4">
        <f t="shared" si="85"/>
        <v>0</v>
      </c>
      <c r="GV98" s="4">
        <f t="shared" si="85"/>
        <v>0</v>
      </c>
      <c r="GW98" s="4">
        <f t="shared" si="85"/>
        <v>0</v>
      </c>
      <c r="GX98" s="4">
        <f t="shared" si="85"/>
        <v>0</v>
      </c>
    </row>
    <row r="100" spans="1:255" x14ac:dyDescent="0.2">
      <c r="A100" s="2">
        <v>17</v>
      </c>
      <c r="B100" s="2">
        <v>1</v>
      </c>
      <c r="C100" s="2">
        <f>ROW(SmtRes!A83)</f>
        <v>83</v>
      </c>
      <c r="D100" s="2">
        <f>ROW(EtalonRes!A83)</f>
        <v>83</v>
      </c>
      <c r="E100" s="2" t="s">
        <v>172</v>
      </c>
      <c r="F100" s="2" t="s">
        <v>173</v>
      </c>
      <c r="G100" s="2" t="s">
        <v>174</v>
      </c>
      <c r="H100" s="2" t="s">
        <v>175</v>
      </c>
      <c r="I100" s="2">
        <v>0.1</v>
      </c>
      <c r="J100" s="2">
        <v>0</v>
      </c>
      <c r="K100" s="2"/>
      <c r="L100" s="2"/>
      <c r="M100" s="2"/>
      <c r="N100" s="2"/>
      <c r="O100" s="2">
        <f t="shared" ref="O100:O115" si="86">ROUND(CP100,2)</f>
        <v>81.77</v>
      </c>
      <c r="P100" s="2">
        <f t="shared" ref="P100:P115" si="87">ROUND(CQ100*I100,2)</f>
        <v>2.67</v>
      </c>
      <c r="Q100" s="2">
        <f t="shared" ref="Q100:Q115" si="88">ROUND(CR100*I100,2)</f>
        <v>14.08</v>
      </c>
      <c r="R100" s="2">
        <f t="shared" ref="R100:R115" si="89">ROUND(CS100*I100,2)</f>
        <v>3.3</v>
      </c>
      <c r="S100" s="2">
        <f t="shared" ref="S100:S115" si="90">ROUND(CT100*I100,2)</f>
        <v>65.02</v>
      </c>
      <c r="T100" s="2">
        <f t="shared" ref="T100:T115" si="91">ROUND(CU100*I100,2)</f>
        <v>0</v>
      </c>
      <c r="U100" s="2">
        <f t="shared" ref="U100:U115" si="92">CV100*I100</f>
        <v>4.9260000000000002</v>
      </c>
      <c r="V100" s="2">
        <f t="shared" ref="V100:V115" si="93">CW100*I100</f>
        <v>0</v>
      </c>
      <c r="W100" s="2">
        <f t="shared" ref="W100:W115" si="94">ROUND(CX100*I100,2)</f>
        <v>0</v>
      </c>
      <c r="X100" s="2">
        <f t="shared" ref="X100:X115" si="95">ROUND(CY100,2)</f>
        <v>0</v>
      </c>
      <c r="Y100" s="2">
        <f t="shared" ref="Y100:Y115" si="96">ROUND(CZ100,2)</f>
        <v>0</v>
      </c>
      <c r="Z100" s="2"/>
      <c r="AA100" s="2">
        <v>45037306</v>
      </c>
      <c r="AB100" s="2">
        <f t="shared" ref="AB100:AB115" si="97">ROUND((AC100+AD100+AF100),6)</f>
        <v>817.69200000000001</v>
      </c>
      <c r="AC100" s="2">
        <f t="shared" ref="AC100:AF101" si="98">ROUND(((ES100*0.6)),6)</f>
        <v>26.706</v>
      </c>
      <c r="AD100" s="2">
        <f t="shared" si="98"/>
        <v>140.75399999999999</v>
      </c>
      <c r="AE100" s="2">
        <f t="shared" si="98"/>
        <v>32.957999999999998</v>
      </c>
      <c r="AF100" s="2">
        <f t="shared" si="98"/>
        <v>650.23199999999997</v>
      </c>
      <c r="AG100" s="2">
        <f t="shared" ref="AG100:AG115" si="99">ROUND((AP100),6)</f>
        <v>0</v>
      </c>
      <c r="AH100" s="2">
        <f>((EW100*0.6))</f>
        <v>49.26</v>
      </c>
      <c r="AI100" s="2">
        <f>((EX100*0.6))</f>
        <v>0</v>
      </c>
      <c r="AJ100" s="2">
        <f t="shared" ref="AJ100:AJ115" si="100">ROUND((AS100),6)</f>
        <v>0</v>
      </c>
      <c r="AK100" s="2">
        <v>1362.82</v>
      </c>
      <c r="AL100" s="2">
        <v>44.51</v>
      </c>
      <c r="AM100" s="2">
        <v>234.59</v>
      </c>
      <c r="AN100" s="2">
        <v>54.93</v>
      </c>
      <c r="AO100" s="2">
        <v>1083.72</v>
      </c>
      <c r="AP100" s="2">
        <v>0</v>
      </c>
      <c r="AQ100" s="2">
        <v>82.1</v>
      </c>
      <c r="AR100" s="2">
        <v>0</v>
      </c>
      <c r="AS100" s="2">
        <v>0</v>
      </c>
      <c r="AT100" s="2">
        <v>0</v>
      </c>
      <c r="AU100" s="2">
        <v>0</v>
      </c>
      <c r="AV100" s="2">
        <v>1</v>
      </c>
      <c r="AW100" s="2">
        <v>1</v>
      </c>
      <c r="AX100" s="2"/>
      <c r="AY100" s="2"/>
      <c r="AZ100" s="2">
        <v>1</v>
      </c>
      <c r="BA100" s="2">
        <v>1</v>
      </c>
      <c r="BB100" s="2">
        <v>1</v>
      </c>
      <c r="BC100" s="2">
        <v>1</v>
      </c>
      <c r="BD100" s="2" t="s">
        <v>3</v>
      </c>
      <c r="BE100" s="2" t="s">
        <v>3</v>
      </c>
      <c r="BF100" s="2" t="s">
        <v>3</v>
      </c>
      <c r="BG100" s="2" t="s">
        <v>3</v>
      </c>
      <c r="BH100" s="2">
        <v>0</v>
      </c>
      <c r="BI100" s="2">
        <v>1</v>
      </c>
      <c r="BJ100" s="2" t="s">
        <v>176</v>
      </c>
      <c r="BK100" s="2"/>
      <c r="BL100" s="2"/>
      <c r="BM100" s="2">
        <v>80</v>
      </c>
      <c r="BN100" s="2">
        <v>7156650</v>
      </c>
      <c r="BO100" s="2" t="s">
        <v>3</v>
      </c>
      <c r="BP100" s="2">
        <v>0</v>
      </c>
      <c r="BQ100" s="2">
        <v>30</v>
      </c>
      <c r="BR100" s="2">
        <v>0</v>
      </c>
      <c r="BS100" s="2">
        <v>1</v>
      </c>
      <c r="BT100" s="2">
        <v>1</v>
      </c>
      <c r="BU100" s="2">
        <v>1</v>
      </c>
      <c r="BV100" s="2">
        <v>1</v>
      </c>
      <c r="BW100" s="2">
        <v>1</v>
      </c>
      <c r="BX100" s="2">
        <v>1</v>
      </c>
      <c r="BY100" s="2" t="s">
        <v>3</v>
      </c>
      <c r="BZ100" s="2">
        <v>0</v>
      </c>
      <c r="CA100" s="2">
        <v>0</v>
      </c>
      <c r="CB100" s="2"/>
      <c r="CC100" s="2"/>
      <c r="CD100" s="2"/>
      <c r="CE100" s="2"/>
      <c r="CF100" s="2">
        <v>0</v>
      </c>
      <c r="CG100" s="2">
        <v>0</v>
      </c>
      <c r="CH100" s="2"/>
      <c r="CI100" s="2"/>
      <c r="CJ100" s="2"/>
      <c r="CK100" s="2"/>
      <c r="CL100" s="2"/>
      <c r="CM100" s="2">
        <v>0</v>
      </c>
      <c r="CN100" s="2" t="s">
        <v>177</v>
      </c>
      <c r="CO100" s="2">
        <v>0</v>
      </c>
      <c r="CP100" s="2">
        <f t="shared" ref="CP100:CP115" si="101">(P100+Q100+S100)</f>
        <v>81.77</v>
      </c>
      <c r="CQ100" s="2">
        <f t="shared" ref="CQ100:CQ115" si="102">(AC100*BC100*AW100)</f>
        <v>26.706</v>
      </c>
      <c r="CR100" s="2">
        <f t="shared" ref="CR100:CR115" si="103">(AD100*BB100*AV100)</f>
        <v>140.75399999999999</v>
      </c>
      <c r="CS100" s="2">
        <f t="shared" ref="CS100:CS115" si="104">(AE100*BS100*AV100)</f>
        <v>32.957999999999998</v>
      </c>
      <c r="CT100" s="2">
        <f t="shared" ref="CT100:CT115" si="105">(AF100*BA100*AV100)</f>
        <v>650.23199999999997</v>
      </c>
      <c r="CU100" s="2">
        <f t="shared" ref="CU100:CU115" si="106">AG100</f>
        <v>0</v>
      </c>
      <c r="CV100" s="2">
        <f t="shared" ref="CV100:CV115" si="107">(AH100*AV100)</f>
        <v>49.26</v>
      </c>
      <c r="CW100" s="2">
        <f t="shared" ref="CW100:CW115" si="108">AI100</f>
        <v>0</v>
      </c>
      <c r="CX100" s="2">
        <f t="shared" ref="CX100:CX115" si="109">AJ100</f>
        <v>0</v>
      </c>
      <c r="CY100" s="2">
        <f t="shared" ref="CY100:CY115" si="110">S100*(BZ100/100)</f>
        <v>0</v>
      </c>
      <c r="CZ100" s="2">
        <f t="shared" ref="CZ100:CZ115" si="111">S100*(CA100/100)</f>
        <v>0</v>
      </c>
      <c r="DA100" s="2"/>
      <c r="DB100" s="2"/>
      <c r="DC100" s="2" t="s">
        <v>3</v>
      </c>
      <c r="DD100" s="2" t="s">
        <v>178</v>
      </c>
      <c r="DE100" s="2" t="s">
        <v>178</v>
      </c>
      <c r="DF100" s="2" t="s">
        <v>178</v>
      </c>
      <c r="DG100" s="2" t="s">
        <v>178</v>
      </c>
      <c r="DH100" s="2" t="s">
        <v>3</v>
      </c>
      <c r="DI100" s="2" t="s">
        <v>178</v>
      </c>
      <c r="DJ100" s="2" t="s">
        <v>178</v>
      </c>
      <c r="DK100" s="2" t="s">
        <v>3</v>
      </c>
      <c r="DL100" s="2" t="s">
        <v>3</v>
      </c>
      <c r="DM100" s="2" t="s">
        <v>3</v>
      </c>
      <c r="DN100" s="2">
        <v>85</v>
      </c>
      <c r="DO100" s="2">
        <v>70</v>
      </c>
      <c r="DP100" s="2">
        <v>1.087</v>
      </c>
      <c r="DQ100" s="2">
        <v>1</v>
      </c>
      <c r="DR100" s="2"/>
      <c r="DS100" s="2"/>
      <c r="DT100" s="2"/>
      <c r="DU100" s="2">
        <v>1013</v>
      </c>
      <c r="DV100" s="2" t="s">
        <v>175</v>
      </c>
      <c r="DW100" s="2" t="s">
        <v>175</v>
      </c>
      <c r="DX100" s="2">
        <v>1</v>
      </c>
      <c r="DY100" s="2"/>
      <c r="DZ100" s="2"/>
      <c r="EA100" s="2"/>
      <c r="EB100" s="2"/>
      <c r="EC100" s="2"/>
      <c r="ED100" s="2"/>
      <c r="EE100" s="2">
        <v>44846587</v>
      </c>
      <c r="EF100" s="2">
        <v>30</v>
      </c>
      <c r="EG100" s="2" t="s">
        <v>38</v>
      </c>
      <c r="EH100" s="2">
        <v>0</v>
      </c>
      <c r="EI100" s="2" t="s">
        <v>3</v>
      </c>
      <c r="EJ100" s="2">
        <v>1</v>
      </c>
      <c r="EK100" s="2">
        <v>80</v>
      </c>
      <c r="EL100" s="2" t="s">
        <v>179</v>
      </c>
      <c r="EM100" s="2" t="s">
        <v>180</v>
      </c>
      <c r="EN100" s="2"/>
      <c r="EO100" s="2" t="s">
        <v>181</v>
      </c>
      <c r="EP100" s="2"/>
      <c r="EQ100" s="2">
        <v>131072</v>
      </c>
      <c r="ER100" s="2">
        <v>1362.82</v>
      </c>
      <c r="ES100" s="2">
        <v>44.51</v>
      </c>
      <c r="ET100" s="2">
        <v>234.59</v>
      </c>
      <c r="EU100" s="2">
        <v>54.93</v>
      </c>
      <c r="EV100" s="2">
        <v>1083.72</v>
      </c>
      <c r="EW100" s="2">
        <v>82.1</v>
      </c>
      <c r="EX100" s="2">
        <v>0</v>
      </c>
      <c r="EY100" s="2">
        <v>0</v>
      </c>
      <c r="EZ100" s="2"/>
      <c r="FA100" s="2"/>
      <c r="FB100" s="2"/>
      <c r="FC100" s="2"/>
      <c r="FD100" s="2"/>
      <c r="FE100" s="2"/>
      <c r="FF100" s="2"/>
      <c r="FG100" s="2"/>
      <c r="FH100" s="2"/>
      <c r="FI100" s="2"/>
      <c r="FJ100" s="2"/>
      <c r="FK100" s="2"/>
      <c r="FL100" s="2"/>
      <c r="FM100" s="2"/>
      <c r="FN100" s="2"/>
      <c r="FO100" s="2"/>
      <c r="FP100" s="2"/>
      <c r="FQ100" s="2">
        <v>0</v>
      </c>
      <c r="FR100" s="2">
        <f t="shared" ref="FR100:FR115" si="112">ROUND(IF(AND(BH100=3,BI100=3),P100,0),2)</f>
        <v>0</v>
      </c>
      <c r="FS100" s="2">
        <v>0</v>
      </c>
      <c r="FT100" s="2"/>
      <c r="FU100" s="2"/>
      <c r="FV100" s="2"/>
      <c r="FW100" s="2"/>
      <c r="FX100" s="2">
        <v>85</v>
      </c>
      <c r="FY100" s="2">
        <v>70</v>
      </c>
      <c r="FZ100" s="2"/>
      <c r="GA100" s="2" t="s">
        <v>3</v>
      </c>
      <c r="GB100" s="2"/>
      <c r="GC100" s="2"/>
      <c r="GD100" s="2">
        <v>0</v>
      </c>
      <c r="GE100" s="2"/>
      <c r="GF100" s="2">
        <v>-604036815</v>
      </c>
      <c r="GG100" s="2">
        <v>2</v>
      </c>
      <c r="GH100" s="2">
        <v>1</v>
      </c>
      <c r="GI100" s="2">
        <v>3</v>
      </c>
      <c r="GJ100" s="2">
        <v>0</v>
      </c>
      <c r="GK100" s="2">
        <f>ROUND(R100*(R12)/100,2)</f>
        <v>5.94</v>
      </c>
      <c r="GL100" s="2">
        <f t="shared" ref="GL100:GL115" si="113">ROUND(IF(AND(BH100=3,BI100=3,FS100&lt;&gt;0),P100,0),2)</f>
        <v>0</v>
      </c>
      <c r="GM100" s="2">
        <f t="shared" ref="GM100:GM115" si="114">ROUND(O100+X100+Y100+GK100,2)+GX100</f>
        <v>87.71</v>
      </c>
      <c r="GN100" s="2">
        <f t="shared" ref="GN100:GN115" si="115">IF(OR(BI100=0,BI100=1),ROUND(O100+X100+Y100+GK100,2),0)</f>
        <v>87.71</v>
      </c>
      <c r="GO100" s="2">
        <f t="shared" ref="GO100:GO115" si="116">IF(BI100=2,ROUND(O100+X100+Y100+GK100,2),0)</f>
        <v>0</v>
      </c>
      <c r="GP100" s="2">
        <f t="shared" ref="GP100:GP115" si="117">IF(BI100=4,ROUND(O100+X100+Y100+GK100,2)+GX100,0)</f>
        <v>0</v>
      </c>
      <c r="GQ100" s="2"/>
      <c r="GR100" s="2">
        <v>0</v>
      </c>
      <c r="GS100" s="2">
        <v>3</v>
      </c>
      <c r="GT100" s="2">
        <v>0</v>
      </c>
      <c r="GU100" s="2" t="s">
        <v>3</v>
      </c>
      <c r="GV100" s="2">
        <f t="shared" ref="GV100:GV115" si="118">ROUND(GT100,6)</f>
        <v>0</v>
      </c>
      <c r="GW100" s="2">
        <v>1</v>
      </c>
      <c r="GX100" s="2">
        <f t="shared" ref="GX100:GX115" si="119">ROUND(GV100*GW100*I100,2)</f>
        <v>0</v>
      </c>
      <c r="GY100" s="2"/>
      <c r="GZ100" s="2"/>
      <c r="HA100" s="2">
        <v>0</v>
      </c>
      <c r="HB100" s="2">
        <v>0</v>
      </c>
      <c r="HC100" s="2"/>
      <c r="HD100" s="2"/>
      <c r="HE100" s="2"/>
      <c r="HF100" s="2"/>
      <c r="HG100" s="2"/>
      <c r="HH100" s="2"/>
      <c r="HI100" s="2"/>
      <c r="HJ100" s="2"/>
      <c r="HK100" s="2"/>
      <c r="HL100" s="2"/>
      <c r="HM100" s="2"/>
      <c r="HN100" s="2"/>
      <c r="HO100" s="2"/>
      <c r="HP100" s="2"/>
      <c r="HQ100" s="2"/>
      <c r="HR100" s="2"/>
      <c r="HS100" s="2"/>
      <c r="HT100" s="2"/>
      <c r="HU100" s="2"/>
      <c r="HV100" s="2"/>
      <c r="HW100" s="2"/>
      <c r="HX100" s="2"/>
      <c r="HY100" s="2"/>
      <c r="HZ100" s="2"/>
      <c r="IA100" s="2"/>
      <c r="IB100" s="2"/>
      <c r="IC100" s="2"/>
      <c r="ID100" s="2"/>
      <c r="IE100" s="2"/>
      <c r="IF100" s="2"/>
      <c r="IG100" s="2"/>
      <c r="IH100" s="2"/>
      <c r="II100" s="2"/>
      <c r="IJ100" s="2"/>
      <c r="IK100" s="2">
        <v>0</v>
      </c>
      <c r="IL100" s="2"/>
      <c r="IM100" s="2"/>
      <c r="IN100" s="2"/>
      <c r="IO100" s="2"/>
      <c r="IP100" s="2"/>
      <c r="IQ100" s="2"/>
      <c r="IR100" s="2"/>
      <c r="IS100" s="2"/>
      <c r="IT100" s="2"/>
      <c r="IU100" s="2"/>
    </row>
    <row r="101" spans="1:255" x14ac:dyDescent="0.2">
      <c r="A101">
        <v>17</v>
      </c>
      <c r="B101">
        <v>1</v>
      </c>
      <c r="C101">
        <f>ROW(SmtRes!A90)</f>
        <v>90</v>
      </c>
      <c r="D101">
        <f>ROW(EtalonRes!A90)</f>
        <v>90</v>
      </c>
      <c r="E101" t="s">
        <v>172</v>
      </c>
      <c r="F101" t="s">
        <v>173</v>
      </c>
      <c r="G101" t="s">
        <v>174</v>
      </c>
      <c r="H101" t="s">
        <v>175</v>
      </c>
      <c r="I101">
        <v>0.1</v>
      </c>
      <c r="J101">
        <v>0</v>
      </c>
      <c r="O101">
        <f t="shared" si="86"/>
        <v>1468.61</v>
      </c>
      <c r="P101">
        <f t="shared" si="87"/>
        <v>16.02</v>
      </c>
      <c r="Q101">
        <f t="shared" si="88"/>
        <v>126.12</v>
      </c>
      <c r="R101">
        <f t="shared" si="89"/>
        <v>67.23</v>
      </c>
      <c r="S101">
        <f t="shared" si="90"/>
        <v>1326.47</v>
      </c>
      <c r="T101">
        <f t="shared" si="91"/>
        <v>0</v>
      </c>
      <c r="U101">
        <f t="shared" si="92"/>
        <v>4.9260000000000002</v>
      </c>
      <c r="V101">
        <f t="shared" si="93"/>
        <v>0</v>
      </c>
      <c r="W101">
        <f t="shared" si="94"/>
        <v>0</v>
      </c>
      <c r="X101">
        <f t="shared" si="95"/>
        <v>902</v>
      </c>
      <c r="Y101">
        <f t="shared" si="96"/>
        <v>543.85</v>
      </c>
      <c r="AA101">
        <v>45037307</v>
      </c>
      <c r="AB101">
        <f t="shared" si="97"/>
        <v>817.69200000000001</v>
      </c>
      <c r="AC101">
        <f t="shared" si="98"/>
        <v>26.706</v>
      </c>
      <c r="AD101">
        <f t="shared" si="98"/>
        <v>140.75399999999999</v>
      </c>
      <c r="AE101">
        <f t="shared" si="98"/>
        <v>32.957999999999998</v>
      </c>
      <c r="AF101">
        <f t="shared" si="98"/>
        <v>650.23199999999997</v>
      </c>
      <c r="AG101">
        <f t="shared" si="99"/>
        <v>0</v>
      </c>
      <c r="AH101">
        <f>((EW101*0.6))</f>
        <v>49.26</v>
      </c>
      <c r="AI101">
        <f>((EX101*0.6))</f>
        <v>0</v>
      </c>
      <c r="AJ101">
        <f t="shared" si="100"/>
        <v>0</v>
      </c>
      <c r="AK101">
        <v>1362.82</v>
      </c>
      <c r="AL101">
        <v>44.51</v>
      </c>
      <c r="AM101">
        <v>234.59</v>
      </c>
      <c r="AN101">
        <v>54.93</v>
      </c>
      <c r="AO101">
        <v>1083.72</v>
      </c>
      <c r="AP101">
        <v>0</v>
      </c>
      <c r="AQ101">
        <v>82.1</v>
      </c>
      <c r="AR101">
        <v>0</v>
      </c>
      <c r="AS101">
        <v>0</v>
      </c>
      <c r="AT101">
        <v>68</v>
      </c>
      <c r="AU101">
        <v>41</v>
      </c>
      <c r="AV101">
        <v>1</v>
      </c>
      <c r="AW101">
        <v>1</v>
      </c>
      <c r="AZ101">
        <v>1</v>
      </c>
      <c r="BA101">
        <v>20.399999999999999</v>
      </c>
      <c r="BB101">
        <v>8.9600000000000009</v>
      </c>
      <c r="BC101">
        <v>6</v>
      </c>
      <c r="BD101" t="s">
        <v>3</v>
      </c>
      <c r="BE101" t="s">
        <v>3</v>
      </c>
      <c r="BF101" t="s">
        <v>3</v>
      </c>
      <c r="BG101" t="s">
        <v>3</v>
      </c>
      <c r="BH101">
        <v>0</v>
      </c>
      <c r="BI101">
        <v>1</v>
      </c>
      <c r="BJ101" t="s">
        <v>176</v>
      </c>
      <c r="BM101">
        <v>80</v>
      </c>
      <c r="BN101">
        <v>7156650</v>
      </c>
      <c r="BO101" t="s">
        <v>173</v>
      </c>
      <c r="BP101">
        <v>1</v>
      </c>
      <c r="BQ101">
        <v>30</v>
      </c>
      <c r="BR101">
        <v>0</v>
      </c>
      <c r="BS101">
        <v>20.399999999999999</v>
      </c>
      <c r="BT101">
        <v>1</v>
      </c>
      <c r="BU101">
        <v>1</v>
      </c>
      <c r="BV101">
        <v>1</v>
      </c>
      <c r="BW101">
        <v>1</v>
      </c>
      <c r="BX101">
        <v>1</v>
      </c>
      <c r="BY101" t="s">
        <v>3</v>
      </c>
      <c r="BZ101">
        <v>68</v>
      </c>
      <c r="CA101">
        <v>41</v>
      </c>
      <c r="CF101">
        <v>0</v>
      </c>
      <c r="CG101">
        <v>0</v>
      </c>
      <c r="CM101">
        <v>0</v>
      </c>
      <c r="CN101" t="s">
        <v>177</v>
      </c>
      <c r="CO101">
        <v>0</v>
      </c>
      <c r="CP101">
        <f t="shared" si="101"/>
        <v>1468.6100000000001</v>
      </c>
      <c r="CQ101">
        <f t="shared" si="102"/>
        <v>160.23599999999999</v>
      </c>
      <c r="CR101">
        <f t="shared" si="103"/>
        <v>1261.1558400000001</v>
      </c>
      <c r="CS101">
        <f t="shared" si="104"/>
        <v>672.34319999999991</v>
      </c>
      <c r="CT101">
        <f t="shared" si="105"/>
        <v>13264.732799999998</v>
      </c>
      <c r="CU101">
        <f t="shared" si="106"/>
        <v>0</v>
      </c>
      <c r="CV101">
        <f t="shared" si="107"/>
        <v>49.26</v>
      </c>
      <c r="CW101">
        <f t="shared" si="108"/>
        <v>0</v>
      </c>
      <c r="CX101">
        <f t="shared" si="109"/>
        <v>0</v>
      </c>
      <c r="CY101">
        <f t="shared" si="110"/>
        <v>901.9996000000001</v>
      </c>
      <c r="CZ101">
        <f t="shared" si="111"/>
        <v>543.85270000000003</v>
      </c>
      <c r="DC101" t="s">
        <v>3</v>
      </c>
      <c r="DD101" t="s">
        <v>178</v>
      </c>
      <c r="DE101" t="s">
        <v>178</v>
      </c>
      <c r="DF101" t="s">
        <v>178</v>
      </c>
      <c r="DG101" t="s">
        <v>178</v>
      </c>
      <c r="DH101" t="s">
        <v>3</v>
      </c>
      <c r="DI101" t="s">
        <v>178</v>
      </c>
      <c r="DJ101" t="s">
        <v>178</v>
      </c>
      <c r="DK101" t="s">
        <v>3</v>
      </c>
      <c r="DL101" t="s">
        <v>3</v>
      </c>
      <c r="DM101" t="s">
        <v>3</v>
      </c>
      <c r="DN101">
        <v>85</v>
      </c>
      <c r="DO101">
        <v>70</v>
      </c>
      <c r="DP101">
        <v>1.087</v>
      </c>
      <c r="DQ101">
        <v>1</v>
      </c>
      <c r="DU101">
        <v>1013</v>
      </c>
      <c r="DV101" t="s">
        <v>175</v>
      </c>
      <c r="DW101" t="s">
        <v>175</v>
      </c>
      <c r="DX101">
        <v>1</v>
      </c>
      <c r="EE101">
        <v>44846587</v>
      </c>
      <c r="EF101">
        <v>30</v>
      </c>
      <c r="EG101" t="s">
        <v>38</v>
      </c>
      <c r="EH101">
        <v>0</v>
      </c>
      <c r="EI101" t="s">
        <v>3</v>
      </c>
      <c r="EJ101">
        <v>1</v>
      </c>
      <c r="EK101">
        <v>80</v>
      </c>
      <c r="EL101" t="s">
        <v>179</v>
      </c>
      <c r="EM101" t="s">
        <v>180</v>
      </c>
      <c r="EO101" t="s">
        <v>181</v>
      </c>
      <c r="EQ101">
        <v>131072</v>
      </c>
      <c r="ER101">
        <v>1362.82</v>
      </c>
      <c r="ES101">
        <v>44.51</v>
      </c>
      <c r="ET101">
        <v>234.59</v>
      </c>
      <c r="EU101">
        <v>54.93</v>
      </c>
      <c r="EV101">
        <v>1083.72</v>
      </c>
      <c r="EW101">
        <v>82.1</v>
      </c>
      <c r="EX101">
        <v>0</v>
      </c>
      <c r="EY101">
        <v>0</v>
      </c>
      <c r="FQ101">
        <v>0</v>
      </c>
      <c r="FR101">
        <f t="shared" si="112"/>
        <v>0</v>
      </c>
      <c r="FS101">
        <v>0</v>
      </c>
      <c r="FX101">
        <v>85</v>
      </c>
      <c r="FY101">
        <v>70</v>
      </c>
      <c r="GA101" t="s">
        <v>3</v>
      </c>
      <c r="GD101">
        <v>0</v>
      </c>
      <c r="GF101">
        <v>-604036815</v>
      </c>
      <c r="GG101">
        <v>2</v>
      </c>
      <c r="GH101">
        <v>1</v>
      </c>
      <c r="GI101">
        <v>3</v>
      </c>
      <c r="GJ101">
        <v>0</v>
      </c>
      <c r="GK101">
        <f>ROUND(R101*(S12)/100,2)</f>
        <v>112.95</v>
      </c>
      <c r="GL101">
        <f t="shared" si="113"/>
        <v>0</v>
      </c>
      <c r="GM101">
        <f t="shared" si="114"/>
        <v>3027.41</v>
      </c>
      <c r="GN101">
        <f t="shared" si="115"/>
        <v>3027.41</v>
      </c>
      <c r="GO101">
        <f t="shared" si="116"/>
        <v>0</v>
      </c>
      <c r="GP101">
        <f t="shared" si="117"/>
        <v>0</v>
      </c>
      <c r="GR101">
        <v>0</v>
      </c>
      <c r="GS101">
        <v>3</v>
      </c>
      <c r="GT101">
        <v>0</v>
      </c>
      <c r="GU101" t="s">
        <v>3</v>
      </c>
      <c r="GV101">
        <f t="shared" si="118"/>
        <v>0</v>
      </c>
      <c r="GW101">
        <v>1</v>
      </c>
      <c r="GX101">
        <f t="shared" si="119"/>
        <v>0</v>
      </c>
      <c r="HA101">
        <v>0</v>
      </c>
      <c r="HB101">
        <v>0</v>
      </c>
      <c r="IK101">
        <v>0</v>
      </c>
    </row>
    <row r="102" spans="1:255" x14ac:dyDescent="0.2">
      <c r="A102" s="2">
        <v>18</v>
      </c>
      <c r="B102" s="2">
        <v>1</v>
      </c>
      <c r="C102" s="2">
        <v>82</v>
      </c>
      <c r="D102" s="2"/>
      <c r="E102" s="2" t="s">
        <v>182</v>
      </c>
      <c r="F102" s="2" t="s">
        <v>27</v>
      </c>
      <c r="G102" s="2" t="s">
        <v>50</v>
      </c>
      <c r="H102" s="2" t="s">
        <v>29</v>
      </c>
      <c r="I102" s="2">
        <f>I100*J102</f>
        <v>0.1</v>
      </c>
      <c r="J102" s="2">
        <v>1</v>
      </c>
      <c r="K102" s="2"/>
      <c r="L102" s="2"/>
      <c r="M102" s="2"/>
      <c r="N102" s="2"/>
      <c r="O102" s="2">
        <f t="shared" si="86"/>
        <v>0</v>
      </c>
      <c r="P102" s="2">
        <f t="shared" si="87"/>
        <v>0</v>
      </c>
      <c r="Q102" s="2">
        <f t="shared" si="88"/>
        <v>0</v>
      </c>
      <c r="R102" s="2">
        <f t="shared" si="89"/>
        <v>0</v>
      </c>
      <c r="S102" s="2">
        <f t="shared" si="90"/>
        <v>0</v>
      </c>
      <c r="T102" s="2">
        <f t="shared" si="91"/>
        <v>0</v>
      </c>
      <c r="U102" s="2">
        <f t="shared" si="92"/>
        <v>0</v>
      </c>
      <c r="V102" s="2">
        <f t="shared" si="93"/>
        <v>0</v>
      </c>
      <c r="W102" s="2">
        <f t="shared" si="94"/>
        <v>0</v>
      </c>
      <c r="X102" s="2">
        <f t="shared" si="95"/>
        <v>0</v>
      </c>
      <c r="Y102" s="2">
        <f t="shared" si="96"/>
        <v>0</v>
      </c>
      <c r="Z102" s="2"/>
      <c r="AA102" s="2">
        <v>45037306</v>
      </c>
      <c r="AB102" s="2">
        <f t="shared" si="97"/>
        <v>0</v>
      </c>
      <c r="AC102" s="2">
        <f t="shared" ref="AC102:AC111" si="120">ROUND((ES102),6)</f>
        <v>0</v>
      </c>
      <c r="AD102" s="2">
        <f t="shared" ref="AD102:AD111" si="121">ROUND((ET102),6)</f>
        <v>0</v>
      </c>
      <c r="AE102" s="2">
        <f t="shared" ref="AE102:AE111" si="122">ROUND((EU102),6)</f>
        <v>0</v>
      </c>
      <c r="AF102" s="2">
        <f t="shared" ref="AF102:AF111" si="123">ROUND((EV102),6)</f>
        <v>0</v>
      </c>
      <c r="AG102" s="2">
        <f t="shared" si="99"/>
        <v>0</v>
      </c>
      <c r="AH102" s="2">
        <f t="shared" ref="AH102:AH111" si="124">(EW102)</f>
        <v>0</v>
      </c>
      <c r="AI102" s="2">
        <f t="shared" ref="AI102:AI111" si="125">(EX102)</f>
        <v>0</v>
      </c>
      <c r="AJ102" s="2">
        <f t="shared" si="100"/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0</v>
      </c>
      <c r="AS102" s="2">
        <v>0</v>
      </c>
      <c r="AT102" s="2">
        <v>0</v>
      </c>
      <c r="AU102" s="2">
        <v>0</v>
      </c>
      <c r="AV102" s="2">
        <v>1</v>
      </c>
      <c r="AW102" s="2">
        <v>1</v>
      </c>
      <c r="AX102" s="2"/>
      <c r="AY102" s="2"/>
      <c r="AZ102" s="2">
        <v>1</v>
      </c>
      <c r="BA102" s="2">
        <v>1</v>
      </c>
      <c r="BB102" s="2">
        <v>1</v>
      </c>
      <c r="BC102" s="2">
        <v>1</v>
      </c>
      <c r="BD102" s="2" t="s">
        <v>3</v>
      </c>
      <c r="BE102" s="2" t="s">
        <v>3</v>
      </c>
      <c r="BF102" s="2" t="s">
        <v>3</v>
      </c>
      <c r="BG102" s="2" t="s">
        <v>3</v>
      </c>
      <c r="BH102" s="2">
        <v>3</v>
      </c>
      <c r="BI102" s="2">
        <v>1</v>
      </c>
      <c r="BJ102" s="2" t="s">
        <v>3</v>
      </c>
      <c r="BK102" s="2"/>
      <c r="BL102" s="2"/>
      <c r="BM102" s="2">
        <v>80</v>
      </c>
      <c r="BN102" s="2">
        <v>7156650</v>
      </c>
      <c r="BO102" s="2" t="s">
        <v>3</v>
      </c>
      <c r="BP102" s="2">
        <v>0</v>
      </c>
      <c r="BQ102" s="2">
        <v>30</v>
      </c>
      <c r="BR102" s="2">
        <v>0</v>
      </c>
      <c r="BS102" s="2">
        <v>1</v>
      </c>
      <c r="BT102" s="2">
        <v>1</v>
      </c>
      <c r="BU102" s="2">
        <v>1</v>
      </c>
      <c r="BV102" s="2">
        <v>1</v>
      </c>
      <c r="BW102" s="2">
        <v>1</v>
      </c>
      <c r="BX102" s="2">
        <v>1</v>
      </c>
      <c r="BY102" s="2" t="s">
        <v>3</v>
      </c>
      <c r="BZ102" s="2">
        <v>0</v>
      </c>
      <c r="CA102" s="2">
        <v>0</v>
      </c>
      <c r="CB102" s="2"/>
      <c r="CC102" s="2"/>
      <c r="CD102" s="2"/>
      <c r="CE102" s="2"/>
      <c r="CF102" s="2">
        <v>0</v>
      </c>
      <c r="CG102" s="2">
        <v>0</v>
      </c>
      <c r="CH102" s="2"/>
      <c r="CI102" s="2"/>
      <c r="CJ102" s="2"/>
      <c r="CK102" s="2"/>
      <c r="CL102" s="2"/>
      <c r="CM102" s="2">
        <v>0</v>
      </c>
      <c r="CN102" s="2" t="s">
        <v>3</v>
      </c>
      <c r="CO102" s="2">
        <v>0</v>
      </c>
      <c r="CP102" s="2">
        <f t="shared" si="101"/>
        <v>0</v>
      </c>
      <c r="CQ102" s="2">
        <f t="shared" si="102"/>
        <v>0</v>
      </c>
      <c r="CR102" s="2">
        <f t="shared" si="103"/>
        <v>0</v>
      </c>
      <c r="CS102" s="2">
        <f t="shared" si="104"/>
        <v>0</v>
      </c>
      <c r="CT102" s="2">
        <f t="shared" si="105"/>
        <v>0</v>
      </c>
      <c r="CU102" s="2">
        <f t="shared" si="106"/>
        <v>0</v>
      </c>
      <c r="CV102" s="2">
        <f t="shared" si="107"/>
        <v>0</v>
      </c>
      <c r="CW102" s="2">
        <f t="shared" si="108"/>
        <v>0</v>
      </c>
      <c r="CX102" s="2">
        <f t="shared" si="109"/>
        <v>0</v>
      </c>
      <c r="CY102" s="2">
        <f t="shared" si="110"/>
        <v>0</v>
      </c>
      <c r="CZ102" s="2">
        <f t="shared" si="111"/>
        <v>0</v>
      </c>
      <c r="DA102" s="2"/>
      <c r="DB102" s="2"/>
      <c r="DC102" s="2" t="s">
        <v>3</v>
      </c>
      <c r="DD102" s="2" t="s">
        <v>3</v>
      </c>
      <c r="DE102" s="2" t="s">
        <v>3</v>
      </c>
      <c r="DF102" s="2" t="s">
        <v>3</v>
      </c>
      <c r="DG102" s="2" t="s">
        <v>3</v>
      </c>
      <c r="DH102" s="2" t="s">
        <v>3</v>
      </c>
      <c r="DI102" s="2" t="s">
        <v>3</v>
      </c>
      <c r="DJ102" s="2" t="s">
        <v>3</v>
      </c>
      <c r="DK102" s="2" t="s">
        <v>3</v>
      </c>
      <c r="DL102" s="2" t="s">
        <v>3</v>
      </c>
      <c r="DM102" s="2" t="s">
        <v>3</v>
      </c>
      <c r="DN102" s="2">
        <v>85</v>
      </c>
      <c r="DO102" s="2">
        <v>70</v>
      </c>
      <c r="DP102" s="2">
        <v>1.087</v>
      </c>
      <c r="DQ102" s="2">
        <v>1</v>
      </c>
      <c r="DR102" s="2"/>
      <c r="DS102" s="2"/>
      <c r="DT102" s="2"/>
      <c r="DU102" s="2">
        <v>1009</v>
      </c>
      <c r="DV102" s="2" t="s">
        <v>29</v>
      </c>
      <c r="DW102" s="2" t="s">
        <v>29</v>
      </c>
      <c r="DX102" s="2">
        <v>1000</v>
      </c>
      <c r="DY102" s="2"/>
      <c r="DZ102" s="2"/>
      <c r="EA102" s="2"/>
      <c r="EB102" s="2"/>
      <c r="EC102" s="2"/>
      <c r="ED102" s="2"/>
      <c r="EE102" s="2">
        <v>44846587</v>
      </c>
      <c r="EF102" s="2">
        <v>30</v>
      </c>
      <c r="EG102" s="2" t="s">
        <v>38</v>
      </c>
      <c r="EH102" s="2">
        <v>0</v>
      </c>
      <c r="EI102" s="2" t="s">
        <v>3</v>
      </c>
      <c r="EJ102" s="2">
        <v>1</v>
      </c>
      <c r="EK102" s="2">
        <v>80</v>
      </c>
      <c r="EL102" s="2" t="s">
        <v>179</v>
      </c>
      <c r="EM102" s="2" t="s">
        <v>180</v>
      </c>
      <c r="EN102" s="2"/>
      <c r="EO102" s="2" t="s">
        <v>3</v>
      </c>
      <c r="EP102" s="2"/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/>
      <c r="EZ102" s="2"/>
      <c r="FA102" s="2"/>
      <c r="FB102" s="2"/>
      <c r="FC102" s="2"/>
      <c r="FD102" s="2"/>
      <c r="FE102" s="2"/>
      <c r="FF102" s="2"/>
      <c r="FG102" s="2"/>
      <c r="FH102" s="2"/>
      <c r="FI102" s="2"/>
      <c r="FJ102" s="2"/>
      <c r="FK102" s="2"/>
      <c r="FL102" s="2"/>
      <c r="FM102" s="2"/>
      <c r="FN102" s="2"/>
      <c r="FO102" s="2"/>
      <c r="FP102" s="2"/>
      <c r="FQ102" s="2">
        <v>0</v>
      </c>
      <c r="FR102" s="2">
        <f t="shared" si="112"/>
        <v>0</v>
      </c>
      <c r="FS102" s="2">
        <v>0</v>
      </c>
      <c r="FT102" s="2"/>
      <c r="FU102" s="2"/>
      <c r="FV102" s="2"/>
      <c r="FW102" s="2"/>
      <c r="FX102" s="2">
        <v>85</v>
      </c>
      <c r="FY102" s="2">
        <v>70</v>
      </c>
      <c r="FZ102" s="2"/>
      <c r="GA102" s="2" t="s">
        <v>3</v>
      </c>
      <c r="GB102" s="2"/>
      <c r="GC102" s="2"/>
      <c r="GD102" s="2">
        <v>0</v>
      </c>
      <c r="GE102" s="2"/>
      <c r="GF102" s="2">
        <v>1489638031</v>
      </c>
      <c r="GG102" s="2">
        <v>2</v>
      </c>
      <c r="GH102" s="2">
        <v>1</v>
      </c>
      <c r="GI102" s="2">
        <v>3</v>
      </c>
      <c r="GJ102" s="2">
        <v>0</v>
      </c>
      <c r="GK102" s="2">
        <f>ROUND(R102*(R12)/100,2)</f>
        <v>0</v>
      </c>
      <c r="GL102" s="2">
        <f t="shared" si="113"/>
        <v>0</v>
      </c>
      <c r="GM102" s="2">
        <f t="shared" si="114"/>
        <v>0</v>
      </c>
      <c r="GN102" s="2">
        <f t="shared" si="115"/>
        <v>0</v>
      </c>
      <c r="GO102" s="2">
        <f t="shared" si="116"/>
        <v>0</v>
      </c>
      <c r="GP102" s="2">
        <f t="shared" si="117"/>
        <v>0</v>
      </c>
      <c r="GQ102" s="2"/>
      <c r="GR102" s="2">
        <v>0</v>
      </c>
      <c r="GS102" s="2">
        <v>3</v>
      </c>
      <c r="GT102" s="2">
        <v>0</v>
      </c>
      <c r="GU102" s="2" t="s">
        <v>3</v>
      </c>
      <c r="GV102" s="2">
        <f t="shared" si="118"/>
        <v>0</v>
      </c>
      <c r="GW102" s="2">
        <v>1</v>
      </c>
      <c r="GX102" s="2">
        <f t="shared" si="119"/>
        <v>0</v>
      </c>
      <c r="GY102" s="2"/>
      <c r="GZ102" s="2"/>
      <c r="HA102" s="2">
        <v>0</v>
      </c>
      <c r="HB102" s="2">
        <v>0</v>
      </c>
      <c r="HC102" s="2"/>
      <c r="HD102" s="2"/>
      <c r="HE102" s="2"/>
      <c r="HF102" s="2"/>
      <c r="HG102" s="2"/>
      <c r="HH102" s="2"/>
      <c r="HI102" s="2"/>
      <c r="HJ102" s="2"/>
      <c r="HK102" s="2"/>
      <c r="HL102" s="2"/>
      <c r="HM102" s="2"/>
      <c r="HN102" s="2"/>
      <c r="HO102" s="2"/>
      <c r="HP102" s="2"/>
      <c r="HQ102" s="2"/>
      <c r="HR102" s="2"/>
      <c r="HS102" s="2"/>
      <c r="HT102" s="2"/>
      <c r="HU102" s="2"/>
      <c r="HV102" s="2"/>
      <c r="HW102" s="2"/>
      <c r="HX102" s="2"/>
      <c r="HY102" s="2"/>
      <c r="HZ102" s="2"/>
      <c r="IA102" s="2"/>
      <c r="IB102" s="2"/>
      <c r="IC102" s="2"/>
      <c r="ID102" s="2"/>
      <c r="IE102" s="2"/>
      <c r="IF102" s="2"/>
      <c r="IG102" s="2"/>
      <c r="IH102" s="2"/>
      <c r="II102" s="2"/>
      <c r="IJ102" s="2"/>
      <c r="IK102" s="2">
        <v>0</v>
      </c>
      <c r="IL102" s="2"/>
      <c r="IM102" s="2"/>
      <c r="IN102" s="2"/>
      <c r="IO102" s="2"/>
      <c r="IP102" s="2"/>
      <c r="IQ102" s="2"/>
      <c r="IR102" s="2"/>
      <c r="IS102" s="2"/>
      <c r="IT102" s="2"/>
      <c r="IU102" s="2"/>
    </row>
    <row r="103" spans="1:255" x14ac:dyDescent="0.2">
      <c r="A103">
        <v>18</v>
      </c>
      <c r="B103">
        <v>1</v>
      </c>
      <c r="C103">
        <v>89</v>
      </c>
      <c r="E103" t="s">
        <v>182</v>
      </c>
      <c r="F103" t="s">
        <v>27</v>
      </c>
      <c r="G103" t="s">
        <v>50</v>
      </c>
      <c r="H103" t="s">
        <v>29</v>
      </c>
      <c r="I103">
        <f>I101*J103</f>
        <v>0.1</v>
      </c>
      <c r="J103">
        <v>1</v>
      </c>
      <c r="O103">
        <f t="shared" si="86"/>
        <v>0</v>
      </c>
      <c r="P103">
        <f t="shared" si="87"/>
        <v>0</v>
      </c>
      <c r="Q103">
        <f t="shared" si="88"/>
        <v>0</v>
      </c>
      <c r="R103">
        <f t="shared" si="89"/>
        <v>0</v>
      </c>
      <c r="S103">
        <f t="shared" si="90"/>
        <v>0</v>
      </c>
      <c r="T103">
        <f t="shared" si="91"/>
        <v>0</v>
      </c>
      <c r="U103">
        <f t="shared" si="92"/>
        <v>0</v>
      </c>
      <c r="V103">
        <f t="shared" si="93"/>
        <v>0</v>
      </c>
      <c r="W103">
        <f t="shared" si="94"/>
        <v>0</v>
      </c>
      <c r="X103">
        <f t="shared" si="95"/>
        <v>0</v>
      </c>
      <c r="Y103">
        <f t="shared" si="96"/>
        <v>0</v>
      </c>
      <c r="AA103">
        <v>45037307</v>
      </c>
      <c r="AB103">
        <f t="shared" si="97"/>
        <v>0</v>
      </c>
      <c r="AC103">
        <f t="shared" si="120"/>
        <v>0</v>
      </c>
      <c r="AD103">
        <f t="shared" si="121"/>
        <v>0</v>
      </c>
      <c r="AE103">
        <f t="shared" si="122"/>
        <v>0</v>
      </c>
      <c r="AF103">
        <f t="shared" si="123"/>
        <v>0</v>
      </c>
      <c r="AG103">
        <f t="shared" si="99"/>
        <v>0</v>
      </c>
      <c r="AH103">
        <f t="shared" si="124"/>
        <v>0</v>
      </c>
      <c r="AI103">
        <f t="shared" si="125"/>
        <v>0</v>
      </c>
      <c r="AJ103">
        <f t="shared" si="100"/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1</v>
      </c>
      <c r="AW103">
        <v>1</v>
      </c>
      <c r="AZ103">
        <v>1</v>
      </c>
      <c r="BA103">
        <v>1</v>
      </c>
      <c r="BB103">
        <v>1</v>
      </c>
      <c r="BC103">
        <v>1</v>
      </c>
      <c r="BD103" t="s">
        <v>3</v>
      </c>
      <c r="BE103" t="s">
        <v>3</v>
      </c>
      <c r="BF103" t="s">
        <v>3</v>
      </c>
      <c r="BG103" t="s">
        <v>3</v>
      </c>
      <c r="BH103">
        <v>3</v>
      </c>
      <c r="BI103">
        <v>1</v>
      </c>
      <c r="BJ103" t="s">
        <v>3</v>
      </c>
      <c r="BM103">
        <v>80</v>
      </c>
      <c r="BN103">
        <v>7156650</v>
      </c>
      <c r="BO103" t="s">
        <v>3</v>
      </c>
      <c r="BP103">
        <v>0</v>
      </c>
      <c r="BQ103">
        <v>30</v>
      </c>
      <c r="BR103">
        <v>0</v>
      </c>
      <c r="BS103">
        <v>1</v>
      </c>
      <c r="BT103">
        <v>1</v>
      </c>
      <c r="BU103">
        <v>1</v>
      </c>
      <c r="BV103">
        <v>1</v>
      </c>
      <c r="BW103">
        <v>1</v>
      </c>
      <c r="BX103">
        <v>1</v>
      </c>
      <c r="BY103" t="s">
        <v>3</v>
      </c>
      <c r="BZ103">
        <v>0</v>
      </c>
      <c r="CA103">
        <v>0</v>
      </c>
      <c r="CF103">
        <v>0</v>
      </c>
      <c r="CG103">
        <v>0</v>
      </c>
      <c r="CM103">
        <v>0</v>
      </c>
      <c r="CN103" t="s">
        <v>3</v>
      </c>
      <c r="CO103">
        <v>0</v>
      </c>
      <c r="CP103">
        <f t="shared" si="101"/>
        <v>0</v>
      </c>
      <c r="CQ103">
        <f t="shared" si="102"/>
        <v>0</v>
      </c>
      <c r="CR103">
        <f t="shared" si="103"/>
        <v>0</v>
      </c>
      <c r="CS103">
        <f t="shared" si="104"/>
        <v>0</v>
      </c>
      <c r="CT103">
        <f t="shared" si="105"/>
        <v>0</v>
      </c>
      <c r="CU103">
        <f t="shared" si="106"/>
        <v>0</v>
      </c>
      <c r="CV103">
        <f t="shared" si="107"/>
        <v>0</v>
      </c>
      <c r="CW103">
        <f t="shared" si="108"/>
        <v>0</v>
      </c>
      <c r="CX103">
        <f t="shared" si="109"/>
        <v>0</v>
      </c>
      <c r="CY103">
        <f t="shared" si="110"/>
        <v>0</v>
      </c>
      <c r="CZ103">
        <f t="shared" si="111"/>
        <v>0</v>
      </c>
      <c r="DC103" t="s">
        <v>3</v>
      </c>
      <c r="DD103" t="s">
        <v>3</v>
      </c>
      <c r="DE103" t="s">
        <v>3</v>
      </c>
      <c r="DF103" t="s">
        <v>3</v>
      </c>
      <c r="DG103" t="s">
        <v>3</v>
      </c>
      <c r="DH103" t="s">
        <v>3</v>
      </c>
      <c r="DI103" t="s">
        <v>3</v>
      </c>
      <c r="DJ103" t="s">
        <v>3</v>
      </c>
      <c r="DK103" t="s">
        <v>3</v>
      </c>
      <c r="DL103" t="s">
        <v>3</v>
      </c>
      <c r="DM103" t="s">
        <v>3</v>
      </c>
      <c r="DN103">
        <v>85</v>
      </c>
      <c r="DO103">
        <v>70</v>
      </c>
      <c r="DP103">
        <v>1.087</v>
      </c>
      <c r="DQ103">
        <v>1</v>
      </c>
      <c r="DU103">
        <v>1009</v>
      </c>
      <c r="DV103" t="s">
        <v>29</v>
      </c>
      <c r="DW103" t="s">
        <v>29</v>
      </c>
      <c r="DX103">
        <v>1000</v>
      </c>
      <c r="EE103">
        <v>44846587</v>
      </c>
      <c r="EF103">
        <v>30</v>
      </c>
      <c r="EG103" t="s">
        <v>38</v>
      </c>
      <c r="EH103">
        <v>0</v>
      </c>
      <c r="EI103" t="s">
        <v>3</v>
      </c>
      <c r="EJ103">
        <v>1</v>
      </c>
      <c r="EK103">
        <v>80</v>
      </c>
      <c r="EL103" t="s">
        <v>179</v>
      </c>
      <c r="EM103" t="s">
        <v>180</v>
      </c>
      <c r="EO103" t="s">
        <v>3</v>
      </c>
      <c r="EQ103">
        <v>0</v>
      </c>
      <c r="ER103">
        <v>0</v>
      </c>
      <c r="ES103">
        <v>0</v>
      </c>
      <c r="ET103">
        <v>0</v>
      </c>
      <c r="EU103">
        <v>0</v>
      </c>
      <c r="EV103">
        <v>0</v>
      </c>
      <c r="EW103">
        <v>0</v>
      </c>
      <c r="EX103">
        <v>0</v>
      </c>
      <c r="FQ103">
        <v>0</v>
      </c>
      <c r="FR103">
        <f t="shared" si="112"/>
        <v>0</v>
      </c>
      <c r="FS103">
        <v>0</v>
      </c>
      <c r="FX103">
        <v>85</v>
      </c>
      <c r="FY103">
        <v>70</v>
      </c>
      <c r="GA103" t="s">
        <v>3</v>
      </c>
      <c r="GD103">
        <v>0</v>
      </c>
      <c r="GF103">
        <v>1489638031</v>
      </c>
      <c r="GG103">
        <v>2</v>
      </c>
      <c r="GH103">
        <v>1</v>
      </c>
      <c r="GI103">
        <v>3</v>
      </c>
      <c r="GJ103">
        <v>0</v>
      </c>
      <c r="GK103">
        <f>ROUND(R103*(S12)/100,2)</f>
        <v>0</v>
      </c>
      <c r="GL103">
        <f t="shared" si="113"/>
        <v>0</v>
      </c>
      <c r="GM103">
        <f t="shared" si="114"/>
        <v>0</v>
      </c>
      <c r="GN103">
        <f t="shared" si="115"/>
        <v>0</v>
      </c>
      <c r="GO103">
        <f t="shared" si="116"/>
        <v>0</v>
      </c>
      <c r="GP103">
        <f t="shared" si="117"/>
        <v>0</v>
      </c>
      <c r="GR103">
        <v>0</v>
      </c>
      <c r="GS103">
        <v>3</v>
      </c>
      <c r="GT103">
        <v>0</v>
      </c>
      <c r="GU103" t="s">
        <v>3</v>
      </c>
      <c r="GV103">
        <f t="shared" si="118"/>
        <v>0</v>
      </c>
      <c r="GW103">
        <v>1</v>
      </c>
      <c r="GX103">
        <f t="shared" si="119"/>
        <v>0</v>
      </c>
      <c r="HA103">
        <v>0</v>
      </c>
      <c r="HB103">
        <v>0</v>
      </c>
      <c r="IK103">
        <v>0</v>
      </c>
    </row>
    <row r="104" spans="1:255" x14ac:dyDescent="0.2">
      <c r="A104" s="2">
        <v>17</v>
      </c>
      <c r="B104" s="2">
        <v>1</v>
      </c>
      <c r="C104" s="2">
        <f>ROW(SmtRes!A92)</f>
        <v>92</v>
      </c>
      <c r="D104" s="2">
        <f>ROW(EtalonRes!A91)</f>
        <v>91</v>
      </c>
      <c r="E104" s="2" t="s">
        <v>183</v>
      </c>
      <c r="F104" s="2" t="s">
        <v>184</v>
      </c>
      <c r="G104" s="2" t="s">
        <v>185</v>
      </c>
      <c r="H104" s="2" t="s">
        <v>73</v>
      </c>
      <c r="I104" s="2">
        <f>ROUND(2.24/100,9)</f>
        <v>2.24E-2</v>
      </c>
      <c r="J104" s="2">
        <v>0</v>
      </c>
      <c r="K104" s="2"/>
      <c r="L104" s="2"/>
      <c r="M104" s="2"/>
      <c r="N104" s="2"/>
      <c r="O104" s="2">
        <f t="shared" si="86"/>
        <v>21.64</v>
      </c>
      <c r="P104" s="2">
        <f t="shared" si="87"/>
        <v>0</v>
      </c>
      <c r="Q104" s="2">
        <f t="shared" si="88"/>
        <v>0</v>
      </c>
      <c r="R104" s="2">
        <f t="shared" si="89"/>
        <v>0</v>
      </c>
      <c r="S104" s="2">
        <f t="shared" si="90"/>
        <v>21.64</v>
      </c>
      <c r="T104" s="2">
        <f t="shared" si="91"/>
        <v>0</v>
      </c>
      <c r="U104" s="2">
        <f t="shared" si="92"/>
        <v>2.04176</v>
      </c>
      <c r="V104" s="2">
        <f t="shared" si="93"/>
        <v>0</v>
      </c>
      <c r="W104" s="2">
        <f t="shared" si="94"/>
        <v>0</v>
      </c>
      <c r="X104" s="2">
        <f t="shared" si="95"/>
        <v>0</v>
      </c>
      <c r="Y104" s="2">
        <f t="shared" si="96"/>
        <v>0</v>
      </c>
      <c r="Z104" s="2"/>
      <c r="AA104" s="2">
        <v>45037306</v>
      </c>
      <c r="AB104" s="2">
        <f t="shared" si="97"/>
        <v>966.19</v>
      </c>
      <c r="AC104" s="2">
        <f t="shared" si="120"/>
        <v>0</v>
      </c>
      <c r="AD104" s="2">
        <f t="shared" si="121"/>
        <v>0</v>
      </c>
      <c r="AE104" s="2">
        <f t="shared" si="122"/>
        <v>0</v>
      </c>
      <c r="AF104" s="2">
        <f t="shared" si="123"/>
        <v>966.19</v>
      </c>
      <c r="AG104" s="2">
        <f t="shared" si="99"/>
        <v>0</v>
      </c>
      <c r="AH104" s="2">
        <f t="shared" si="124"/>
        <v>91.15</v>
      </c>
      <c r="AI104" s="2">
        <f t="shared" si="125"/>
        <v>0</v>
      </c>
      <c r="AJ104" s="2">
        <f t="shared" si="100"/>
        <v>0</v>
      </c>
      <c r="AK104" s="2">
        <v>966.19</v>
      </c>
      <c r="AL104" s="2">
        <v>0</v>
      </c>
      <c r="AM104" s="2">
        <v>0</v>
      </c>
      <c r="AN104" s="2">
        <v>0</v>
      </c>
      <c r="AO104" s="2">
        <v>966.19</v>
      </c>
      <c r="AP104" s="2">
        <v>0</v>
      </c>
      <c r="AQ104" s="2">
        <v>91.15</v>
      </c>
      <c r="AR104" s="2">
        <v>0</v>
      </c>
      <c r="AS104" s="2">
        <v>0</v>
      </c>
      <c r="AT104" s="2">
        <v>0</v>
      </c>
      <c r="AU104" s="2">
        <v>0</v>
      </c>
      <c r="AV104" s="2">
        <v>1</v>
      </c>
      <c r="AW104" s="2">
        <v>1</v>
      </c>
      <c r="AX104" s="2"/>
      <c r="AY104" s="2"/>
      <c r="AZ104" s="2">
        <v>1</v>
      </c>
      <c r="BA104" s="2">
        <v>1</v>
      </c>
      <c r="BB104" s="2">
        <v>1</v>
      </c>
      <c r="BC104" s="2">
        <v>1</v>
      </c>
      <c r="BD104" s="2" t="s">
        <v>3</v>
      </c>
      <c r="BE104" s="2" t="s">
        <v>3</v>
      </c>
      <c r="BF104" s="2" t="s">
        <v>3</v>
      </c>
      <c r="BG104" s="2" t="s">
        <v>3</v>
      </c>
      <c r="BH104" s="2">
        <v>0</v>
      </c>
      <c r="BI104" s="2">
        <v>1</v>
      </c>
      <c r="BJ104" s="2" t="s">
        <v>186</v>
      </c>
      <c r="BK104" s="2"/>
      <c r="BL104" s="2"/>
      <c r="BM104" s="2">
        <v>438</v>
      </c>
      <c r="BN104" s="2">
        <v>7156650</v>
      </c>
      <c r="BO104" s="2" t="s">
        <v>3</v>
      </c>
      <c r="BP104" s="2">
        <v>0</v>
      </c>
      <c r="BQ104" s="2">
        <v>60</v>
      </c>
      <c r="BR104" s="2">
        <v>0</v>
      </c>
      <c r="BS104" s="2">
        <v>1</v>
      </c>
      <c r="BT104" s="2">
        <v>1</v>
      </c>
      <c r="BU104" s="2">
        <v>1</v>
      </c>
      <c r="BV104" s="2">
        <v>1</v>
      </c>
      <c r="BW104" s="2">
        <v>1</v>
      </c>
      <c r="BX104" s="2">
        <v>1</v>
      </c>
      <c r="BY104" s="2" t="s">
        <v>3</v>
      </c>
      <c r="BZ104" s="2">
        <v>0</v>
      </c>
      <c r="CA104" s="2">
        <v>0</v>
      </c>
      <c r="CB104" s="2"/>
      <c r="CC104" s="2"/>
      <c r="CD104" s="2"/>
      <c r="CE104" s="2"/>
      <c r="CF104" s="2">
        <v>0</v>
      </c>
      <c r="CG104" s="2">
        <v>0</v>
      </c>
      <c r="CH104" s="2"/>
      <c r="CI104" s="2"/>
      <c r="CJ104" s="2"/>
      <c r="CK104" s="2"/>
      <c r="CL104" s="2"/>
      <c r="CM104" s="2">
        <v>0</v>
      </c>
      <c r="CN104" s="2" t="s">
        <v>3</v>
      </c>
      <c r="CO104" s="2">
        <v>0</v>
      </c>
      <c r="CP104" s="2">
        <f t="shared" si="101"/>
        <v>21.64</v>
      </c>
      <c r="CQ104" s="2">
        <f t="shared" si="102"/>
        <v>0</v>
      </c>
      <c r="CR104" s="2">
        <f t="shared" si="103"/>
        <v>0</v>
      </c>
      <c r="CS104" s="2">
        <f t="shared" si="104"/>
        <v>0</v>
      </c>
      <c r="CT104" s="2">
        <f t="shared" si="105"/>
        <v>966.19</v>
      </c>
      <c r="CU104" s="2">
        <f t="shared" si="106"/>
        <v>0</v>
      </c>
      <c r="CV104" s="2">
        <f t="shared" si="107"/>
        <v>91.15</v>
      </c>
      <c r="CW104" s="2">
        <f t="shared" si="108"/>
        <v>0</v>
      </c>
      <c r="CX104" s="2">
        <f t="shared" si="109"/>
        <v>0</v>
      </c>
      <c r="CY104" s="2">
        <f t="shared" si="110"/>
        <v>0</v>
      </c>
      <c r="CZ104" s="2">
        <f t="shared" si="111"/>
        <v>0</v>
      </c>
      <c r="DA104" s="2"/>
      <c r="DB104" s="2"/>
      <c r="DC104" s="2" t="s">
        <v>3</v>
      </c>
      <c r="DD104" s="2" t="s">
        <v>3</v>
      </c>
      <c r="DE104" s="2" t="s">
        <v>3</v>
      </c>
      <c r="DF104" s="2" t="s">
        <v>3</v>
      </c>
      <c r="DG104" s="2" t="s">
        <v>3</v>
      </c>
      <c r="DH104" s="2" t="s">
        <v>3</v>
      </c>
      <c r="DI104" s="2" t="s">
        <v>3</v>
      </c>
      <c r="DJ104" s="2" t="s">
        <v>3</v>
      </c>
      <c r="DK104" s="2" t="s">
        <v>3</v>
      </c>
      <c r="DL104" s="2" t="s">
        <v>3</v>
      </c>
      <c r="DM104" s="2" t="s">
        <v>3</v>
      </c>
      <c r="DN104" s="2">
        <v>80</v>
      </c>
      <c r="DO104" s="2">
        <v>55</v>
      </c>
      <c r="DP104" s="2">
        <v>1.0469999999999999</v>
      </c>
      <c r="DQ104" s="2">
        <v>1</v>
      </c>
      <c r="DR104" s="2"/>
      <c r="DS104" s="2"/>
      <c r="DT104" s="2"/>
      <c r="DU104" s="2">
        <v>1005</v>
      </c>
      <c r="DV104" s="2" t="s">
        <v>73</v>
      </c>
      <c r="DW104" s="2" t="s">
        <v>73</v>
      </c>
      <c r="DX104" s="2">
        <v>100</v>
      </c>
      <c r="DY104" s="2"/>
      <c r="DZ104" s="2"/>
      <c r="EA104" s="2"/>
      <c r="EB104" s="2"/>
      <c r="EC104" s="2"/>
      <c r="ED104" s="2"/>
      <c r="EE104" s="2">
        <v>44846945</v>
      </c>
      <c r="EF104" s="2">
        <v>60</v>
      </c>
      <c r="EG104" s="2" t="s">
        <v>23</v>
      </c>
      <c r="EH104" s="2">
        <v>0</v>
      </c>
      <c r="EI104" s="2" t="s">
        <v>3</v>
      </c>
      <c r="EJ104" s="2">
        <v>1</v>
      </c>
      <c r="EK104" s="2">
        <v>438</v>
      </c>
      <c r="EL104" s="2" t="s">
        <v>187</v>
      </c>
      <c r="EM104" s="2" t="s">
        <v>188</v>
      </c>
      <c r="EN104" s="2"/>
      <c r="EO104" s="2" t="s">
        <v>3</v>
      </c>
      <c r="EP104" s="2"/>
      <c r="EQ104" s="2">
        <v>131072</v>
      </c>
      <c r="ER104" s="2">
        <v>966.19</v>
      </c>
      <c r="ES104" s="2">
        <v>0</v>
      </c>
      <c r="ET104" s="2">
        <v>0</v>
      </c>
      <c r="EU104" s="2">
        <v>0</v>
      </c>
      <c r="EV104" s="2">
        <v>966.19</v>
      </c>
      <c r="EW104" s="2">
        <v>91.15</v>
      </c>
      <c r="EX104" s="2">
        <v>0</v>
      </c>
      <c r="EY104" s="2">
        <v>0</v>
      </c>
      <c r="EZ104" s="2"/>
      <c r="FA104" s="2"/>
      <c r="FB104" s="2"/>
      <c r="FC104" s="2"/>
      <c r="FD104" s="2"/>
      <c r="FE104" s="2"/>
      <c r="FF104" s="2"/>
      <c r="FG104" s="2"/>
      <c r="FH104" s="2"/>
      <c r="FI104" s="2"/>
      <c r="FJ104" s="2"/>
      <c r="FK104" s="2"/>
      <c r="FL104" s="2"/>
      <c r="FM104" s="2"/>
      <c r="FN104" s="2"/>
      <c r="FO104" s="2"/>
      <c r="FP104" s="2"/>
      <c r="FQ104" s="2">
        <v>0</v>
      </c>
      <c r="FR104" s="2">
        <f t="shared" si="112"/>
        <v>0</v>
      </c>
      <c r="FS104" s="2">
        <v>0</v>
      </c>
      <c r="FT104" s="2"/>
      <c r="FU104" s="2"/>
      <c r="FV104" s="2"/>
      <c r="FW104" s="2"/>
      <c r="FX104" s="2">
        <v>80</v>
      </c>
      <c r="FY104" s="2">
        <v>55</v>
      </c>
      <c r="FZ104" s="2"/>
      <c r="GA104" s="2" t="s">
        <v>3</v>
      </c>
      <c r="GB104" s="2"/>
      <c r="GC104" s="2"/>
      <c r="GD104" s="2">
        <v>0</v>
      </c>
      <c r="GE104" s="2"/>
      <c r="GF104" s="2">
        <v>1906151288</v>
      </c>
      <c r="GG104" s="2">
        <v>2</v>
      </c>
      <c r="GH104" s="2">
        <v>1</v>
      </c>
      <c r="GI104" s="2">
        <v>3</v>
      </c>
      <c r="GJ104" s="2">
        <v>0</v>
      </c>
      <c r="GK104" s="2">
        <f>ROUND(R104*(R12)/100,2)</f>
        <v>0</v>
      </c>
      <c r="GL104" s="2">
        <f t="shared" si="113"/>
        <v>0</v>
      </c>
      <c r="GM104" s="2">
        <f t="shared" si="114"/>
        <v>21.64</v>
      </c>
      <c r="GN104" s="2">
        <f t="shared" si="115"/>
        <v>21.64</v>
      </c>
      <c r="GO104" s="2">
        <f t="shared" si="116"/>
        <v>0</v>
      </c>
      <c r="GP104" s="2">
        <f t="shared" si="117"/>
        <v>0</v>
      </c>
      <c r="GQ104" s="2"/>
      <c r="GR104" s="2">
        <v>0</v>
      </c>
      <c r="GS104" s="2">
        <v>3</v>
      </c>
      <c r="GT104" s="2">
        <v>0</v>
      </c>
      <c r="GU104" s="2" t="s">
        <v>3</v>
      </c>
      <c r="GV104" s="2">
        <f t="shared" si="118"/>
        <v>0</v>
      </c>
      <c r="GW104" s="2">
        <v>1</v>
      </c>
      <c r="GX104" s="2">
        <f t="shared" si="119"/>
        <v>0</v>
      </c>
      <c r="GY104" s="2"/>
      <c r="GZ104" s="2"/>
      <c r="HA104" s="2">
        <v>0</v>
      </c>
      <c r="HB104" s="2">
        <v>0</v>
      </c>
      <c r="HC104" s="2"/>
      <c r="HD104" s="2"/>
      <c r="HE104" s="2"/>
      <c r="HF104" s="2"/>
      <c r="HG104" s="2"/>
      <c r="HH104" s="2"/>
      <c r="HI104" s="2"/>
      <c r="HJ104" s="2"/>
      <c r="HK104" s="2"/>
      <c r="HL104" s="2"/>
      <c r="HM104" s="2"/>
      <c r="HN104" s="2"/>
      <c r="HO104" s="2"/>
      <c r="HP104" s="2"/>
      <c r="HQ104" s="2"/>
      <c r="HR104" s="2"/>
      <c r="HS104" s="2"/>
      <c r="HT104" s="2"/>
      <c r="HU104" s="2"/>
      <c r="HV104" s="2"/>
      <c r="HW104" s="2"/>
      <c r="HX104" s="2"/>
      <c r="HY104" s="2"/>
      <c r="HZ104" s="2"/>
      <c r="IA104" s="2"/>
      <c r="IB104" s="2"/>
      <c r="IC104" s="2"/>
      <c r="ID104" s="2"/>
      <c r="IE104" s="2"/>
      <c r="IF104" s="2"/>
      <c r="IG104" s="2"/>
      <c r="IH104" s="2"/>
      <c r="II104" s="2"/>
      <c r="IJ104" s="2"/>
      <c r="IK104" s="2">
        <v>0</v>
      </c>
      <c r="IL104" s="2"/>
      <c r="IM104" s="2"/>
      <c r="IN104" s="2"/>
      <c r="IO104" s="2"/>
      <c r="IP104" s="2"/>
      <c r="IQ104" s="2"/>
      <c r="IR104" s="2"/>
      <c r="IS104" s="2"/>
      <c r="IT104" s="2"/>
      <c r="IU104" s="2"/>
    </row>
    <row r="105" spans="1:255" x14ac:dyDescent="0.2">
      <c r="A105">
        <v>17</v>
      </c>
      <c r="B105">
        <v>1</v>
      </c>
      <c r="C105">
        <f>ROW(SmtRes!A94)</f>
        <v>94</v>
      </c>
      <c r="D105">
        <f>ROW(EtalonRes!A92)</f>
        <v>92</v>
      </c>
      <c r="E105" t="s">
        <v>183</v>
      </c>
      <c r="F105" t="s">
        <v>184</v>
      </c>
      <c r="G105" t="s">
        <v>185</v>
      </c>
      <c r="H105" t="s">
        <v>73</v>
      </c>
      <c r="I105">
        <f>ROUND(2.24/100,9)</f>
        <v>2.24E-2</v>
      </c>
      <c r="J105">
        <v>0</v>
      </c>
      <c r="O105">
        <f t="shared" si="86"/>
        <v>441.51</v>
      </c>
      <c r="P105">
        <f t="shared" si="87"/>
        <v>0</v>
      </c>
      <c r="Q105">
        <f t="shared" si="88"/>
        <v>0</v>
      </c>
      <c r="R105">
        <f t="shared" si="89"/>
        <v>0</v>
      </c>
      <c r="S105">
        <f t="shared" si="90"/>
        <v>441.51</v>
      </c>
      <c r="T105">
        <f t="shared" si="91"/>
        <v>0</v>
      </c>
      <c r="U105">
        <f t="shared" si="92"/>
        <v>2.04176</v>
      </c>
      <c r="V105">
        <f t="shared" si="93"/>
        <v>0</v>
      </c>
      <c r="W105">
        <f t="shared" si="94"/>
        <v>0</v>
      </c>
      <c r="X105">
        <f t="shared" si="95"/>
        <v>300.23</v>
      </c>
      <c r="Y105">
        <f t="shared" si="96"/>
        <v>181.02</v>
      </c>
      <c r="AA105">
        <v>45037307</v>
      </c>
      <c r="AB105">
        <f t="shared" si="97"/>
        <v>966.19</v>
      </c>
      <c r="AC105">
        <f t="shared" si="120"/>
        <v>0</v>
      </c>
      <c r="AD105">
        <f t="shared" si="121"/>
        <v>0</v>
      </c>
      <c r="AE105">
        <f t="shared" si="122"/>
        <v>0</v>
      </c>
      <c r="AF105">
        <f t="shared" si="123"/>
        <v>966.19</v>
      </c>
      <c r="AG105">
        <f t="shared" si="99"/>
        <v>0</v>
      </c>
      <c r="AH105">
        <f t="shared" si="124"/>
        <v>91.15</v>
      </c>
      <c r="AI105">
        <f t="shared" si="125"/>
        <v>0</v>
      </c>
      <c r="AJ105">
        <f t="shared" si="100"/>
        <v>0</v>
      </c>
      <c r="AK105">
        <v>966.19</v>
      </c>
      <c r="AL105">
        <v>0</v>
      </c>
      <c r="AM105">
        <v>0</v>
      </c>
      <c r="AN105">
        <v>0</v>
      </c>
      <c r="AO105">
        <v>966.19</v>
      </c>
      <c r="AP105">
        <v>0</v>
      </c>
      <c r="AQ105">
        <v>91.15</v>
      </c>
      <c r="AR105">
        <v>0</v>
      </c>
      <c r="AS105">
        <v>0</v>
      </c>
      <c r="AT105">
        <v>68</v>
      </c>
      <c r="AU105">
        <v>41</v>
      </c>
      <c r="AV105">
        <v>1</v>
      </c>
      <c r="AW105">
        <v>1</v>
      </c>
      <c r="AZ105">
        <v>1</v>
      </c>
      <c r="BA105">
        <v>20.399999999999999</v>
      </c>
      <c r="BB105">
        <v>1</v>
      </c>
      <c r="BC105">
        <v>1</v>
      </c>
      <c r="BD105" t="s">
        <v>3</v>
      </c>
      <c r="BE105" t="s">
        <v>3</v>
      </c>
      <c r="BF105" t="s">
        <v>3</v>
      </c>
      <c r="BG105" t="s">
        <v>3</v>
      </c>
      <c r="BH105">
        <v>0</v>
      </c>
      <c r="BI105">
        <v>1</v>
      </c>
      <c r="BJ105" t="s">
        <v>186</v>
      </c>
      <c r="BM105">
        <v>438</v>
      </c>
      <c r="BN105">
        <v>7156650</v>
      </c>
      <c r="BO105" t="s">
        <v>184</v>
      </c>
      <c r="BP105">
        <v>1</v>
      </c>
      <c r="BQ105">
        <v>60</v>
      </c>
      <c r="BR105">
        <v>0</v>
      </c>
      <c r="BS105">
        <v>20.399999999999999</v>
      </c>
      <c r="BT105">
        <v>1</v>
      </c>
      <c r="BU105">
        <v>1</v>
      </c>
      <c r="BV105">
        <v>1</v>
      </c>
      <c r="BW105">
        <v>1</v>
      </c>
      <c r="BX105">
        <v>1</v>
      </c>
      <c r="BY105" t="s">
        <v>3</v>
      </c>
      <c r="BZ105">
        <v>68</v>
      </c>
      <c r="CA105">
        <v>41</v>
      </c>
      <c r="CF105">
        <v>0</v>
      </c>
      <c r="CG105">
        <v>0</v>
      </c>
      <c r="CM105">
        <v>0</v>
      </c>
      <c r="CN105" t="s">
        <v>3</v>
      </c>
      <c r="CO105">
        <v>0</v>
      </c>
      <c r="CP105">
        <f t="shared" si="101"/>
        <v>441.51</v>
      </c>
      <c r="CQ105">
        <f t="shared" si="102"/>
        <v>0</v>
      </c>
      <c r="CR105">
        <f t="shared" si="103"/>
        <v>0</v>
      </c>
      <c r="CS105">
        <f t="shared" si="104"/>
        <v>0</v>
      </c>
      <c r="CT105">
        <f t="shared" si="105"/>
        <v>19710.275999999998</v>
      </c>
      <c r="CU105">
        <f t="shared" si="106"/>
        <v>0</v>
      </c>
      <c r="CV105">
        <f t="shared" si="107"/>
        <v>91.15</v>
      </c>
      <c r="CW105">
        <f t="shared" si="108"/>
        <v>0</v>
      </c>
      <c r="CX105">
        <f t="shared" si="109"/>
        <v>0</v>
      </c>
      <c r="CY105">
        <f t="shared" si="110"/>
        <v>300.22680000000003</v>
      </c>
      <c r="CZ105">
        <f t="shared" si="111"/>
        <v>181.01909999999998</v>
      </c>
      <c r="DC105" t="s">
        <v>3</v>
      </c>
      <c r="DD105" t="s">
        <v>3</v>
      </c>
      <c r="DE105" t="s">
        <v>3</v>
      </c>
      <c r="DF105" t="s">
        <v>3</v>
      </c>
      <c r="DG105" t="s">
        <v>3</v>
      </c>
      <c r="DH105" t="s">
        <v>3</v>
      </c>
      <c r="DI105" t="s">
        <v>3</v>
      </c>
      <c r="DJ105" t="s">
        <v>3</v>
      </c>
      <c r="DK105" t="s">
        <v>3</v>
      </c>
      <c r="DL105" t="s">
        <v>3</v>
      </c>
      <c r="DM105" t="s">
        <v>3</v>
      </c>
      <c r="DN105">
        <v>80</v>
      </c>
      <c r="DO105">
        <v>55</v>
      </c>
      <c r="DP105">
        <v>1.0469999999999999</v>
      </c>
      <c r="DQ105">
        <v>1</v>
      </c>
      <c r="DU105">
        <v>1005</v>
      </c>
      <c r="DV105" t="s">
        <v>73</v>
      </c>
      <c r="DW105" t="s">
        <v>73</v>
      </c>
      <c r="DX105">
        <v>100</v>
      </c>
      <c r="EE105">
        <v>44846945</v>
      </c>
      <c r="EF105">
        <v>60</v>
      </c>
      <c r="EG105" t="s">
        <v>23</v>
      </c>
      <c r="EH105">
        <v>0</v>
      </c>
      <c r="EI105" t="s">
        <v>3</v>
      </c>
      <c r="EJ105">
        <v>1</v>
      </c>
      <c r="EK105">
        <v>438</v>
      </c>
      <c r="EL105" t="s">
        <v>187</v>
      </c>
      <c r="EM105" t="s">
        <v>188</v>
      </c>
      <c r="EO105" t="s">
        <v>3</v>
      </c>
      <c r="EQ105">
        <v>131072</v>
      </c>
      <c r="ER105">
        <v>966.19</v>
      </c>
      <c r="ES105">
        <v>0</v>
      </c>
      <c r="ET105">
        <v>0</v>
      </c>
      <c r="EU105">
        <v>0</v>
      </c>
      <c r="EV105">
        <v>966.19</v>
      </c>
      <c r="EW105">
        <v>91.15</v>
      </c>
      <c r="EX105">
        <v>0</v>
      </c>
      <c r="EY105">
        <v>0</v>
      </c>
      <c r="FQ105">
        <v>0</v>
      </c>
      <c r="FR105">
        <f t="shared" si="112"/>
        <v>0</v>
      </c>
      <c r="FS105">
        <v>0</v>
      </c>
      <c r="FX105">
        <v>80</v>
      </c>
      <c r="FY105">
        <v>55</v>
      </c>
      <c r="GA105" t="s">
        <v>3</v>
      </c>
      <c r="GD105">
        <v>0</v>
      </c>
      <c r="GF105">
        <v>1906151288</v>
      </c>
      <c r="GG105">
        <v>2</v>
      </c>
      <c r="GH105">
        <v>1</v>
      </c>
      <c r="GI105">
        <v>3</v>
      </c>
      <c r="GJ105">
        <v>0</v>
      </c>
      <c r="GK105">
        <f>ROUND(R105*(S12)/100,2)</f>
        <v>0</v>
      </c>
      <c r="GL105">
        <f t="shared" si="113"/>
        <v>0</v>
      </c>
      <c r="GM105">
        <f t="shared" si="114"/>
        <v>922.76</v>
      </c>
      <c r="GN105">
        <f t="shared" si="115"/>
        <v>922.76</v>
      </c>
      <c r="GO105">
        <f t="shared" si="116"/>
        <v>0</v>
      </c>
      <c r="GP105">
        <f t="shared" si="117"/>
        <v>0</v>
      </c>
      <c r="GR105">
        <v>0</v>
      </c>
      <c r="GS105">
        <v>3</v>
      </c>
      <c r="GT105">
        <v>0</v>
      </c>
      <c r="GU105" t="s">
        <v>3</v>
      </c>
      <c r="GV105">
        <f t="shared" si="118"/>
        <v>0</v>
      </c>
      <c r="GW105">
        <v>1</v>
      </c>
      <c r="GX105">
        <f t="shared" si="119"/>
        <v>0</v>
      </c>
      <c r="HA105">
        <v>0</v>
      </c>
      <c r="HB105">
        <v>0</v>
      </c>
      <c r="IK105">
        <v>0</v>
      </c>
    </row>
    <row r="106" spans="1:255" x14ac:dyDescent="0.2">
      <c r="A106" s="2">
        <v>18</v>
      </c>
      <c r="B106" s="2">
        <v>1</v>
      </c>
      <c r="C106" s="2">
        <v>92</v>
      </c>
      <c r="D106" s="2"/>
      <c r="E106" s="2" t="s">
        <v>189</v>
      </c>
      <c r="F106" s="2" t="s">
        <v>27</v>
      </c>
      <c r="G106" s="2" t="s">
        <v>50</v>
      </c>
      <c r="H106" s="2" t="s">
        <v>29</v>
      </c>
      <c r="I106" s="2">
        <f>I104*J106</f>
        <v>0.03</v>
      </c>
      <c r="J106" s="2">
        <v>1.3392857142857142</v>
      </c>
      <c r="K106" s="2"/>
      <c r="L106" s="2"/>
      <c r="M106" s="2"/>
      <c r="N106" s="2"/>
      <c r="O106" s="2">
        <f t="shared" si="86"/>
        <v>0</v>
      </c>
      <c r="P106" s="2">
        <f t="shared" si="87"/>
        <v>0</v>
      </c>
      <c r="Q106" s="2">
        <f t="shared" si="88"/>
        <v>0</v>
      </c>
      <c r="R106" s="2">
        <f t="shared" si="89"/>
        <v>0</v>
      </c>
      <c r="S106" s="2">
        <f t="shared" si="90"/>
        <v>0</v>
      </c>
      <c r="T106" s="2">
        <f t="shared" si="91"/>
        <v>0</v>
      </c>
      <c r="U106" s="2">
        <f t="shared" si="92"/>
        <v>0</v>
      </c>
      <c r="V106" s="2">
        <f t="shared" si="93"/>
        <v>0</v>
      </c>
      <c r="W106" s="2">
        <f t="shared" si="94"/>
        <v>0</v>
      </c>
      <c r="X106" s="2">
        <f t="shared" si="95"/>
        <v>0</v>
      </c>
      <c r="Y106" s="2">
        <f t="shared" si="96"/>
        <v>0</v>
      </c>
      <c r="Z106" s="2"/>
      <c r="AA106" s="2">
        <v>45037306</v>
      </c>
      <c r="AB106" s="2">
        <f t="shared" si="97"/>
        <v>0</v>
      </c>
      <c r="AC106" s="2">
        <f t="shared" si="120"/>
        <v>0</v>
      </c>
      <c r="AD106" s="2">
        <f t="shared" si="121"/>
        <v>0</v>
      </c>
      <c r="AE106" s="2">
        <f t="shared" si="122"/>
        <v>0</v>
      </c>
      <c r="AF106" s="2">
        <f t="shared" si="123"/>
        <v>0</v>
      </c>
      <c r="AG106" s="2">
        <f t="shared" si="99"/>
        <v>0</v>
      </c>
      <c r="AH106" s="2">
        <f t="shared" si="124"/>
        <v>0</v>
      </c>
      <c r="AI106" s="2">
        <f t="shared" si="125"/>
        <v>0</v>
      </c>
      <c r="AJ106" s="2">
        <f t="shared" si="100"/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1</v>
      </c>
      <c r="AW106" s="2">
        <v>1</v>
      </c>
      <c r="AX106" s="2"/>
      <c r="AY106" s="2"/>
      <c r="AZ106" s="2">
        <v>1</v>
      </c>
      <c r="BA106" s="2">
        <v>1</v>
      </c>
      <c r="BB106" s="2">
        <v>1</v>
      </c>
      <c r="BC106" s="2">
        <v>1</v>
      </c>
      <c r="BD106" s="2" t="s">
        <v>3</v>
      </c>
      <c r="BE106" s="2" t="s">
        <v>3</v>
      </c>
      <c r="BF106" s="2" t="s">
        <v>3</v>
      </c>
      <c r="BG106" s="2" t="s">
        <v>3</v>
      </c>
      <c r="BH106" s="2">
        <v>3</v>
      </c>
      <c r="BI106" s="2">
        <v>1</v>
      </c>
      <c r="BJ106" s="2" t="s">
        <v>3</v>
      </c>
      <c r="BK106" s="2"/>
      <c r="BL106" s="2"/>
      <c r="BM106" s="2">
        <v>438</v>
      </c>
      <c r="BN106" s="2">
        <v>7156650</v>
      </c>
      <c r="BO106" s="2" t="s">
        <v>3</v>
      </c>
      <c r="BP106" s="2">
        <v>0</v>
      </c>
      <c r="BQ106" s="2">
        <v>60</v>
      </c>
      <c r="BR106" s="2">
        <v>0</v>
      </c>
      <c r="BS106" s="2">
        <v>1</v>
      </c>
      <c r="BT106" s="2">
        <v>1</v>
      </c>
      <c r="BU106" s="2">
        <v>1</v>
      </c>
      <c r="BV106" s="2">
        <v>1</v>
      </c>
      <c r="BW106" s="2">
        <v>1</v>
      </c>
      <c r="BX106" s="2">
        <v>1</v>
      </c>
      <c r="BY106" s="2" t="s">
        <v>3</v>
      </c>
      <c r="BZ106" s="2">
        <v>0</v>
      </c>
      <c r="CA106" s="2">
        <v>0</v>
      </c>
      <c r="CB106" s="2"/>
      <c r="CC106" s="2"/>
      <c r="CD106" s="2"/>
      <c r="CE106" s="2"/>
      <c r="CF106" s="2">
        <v>0</v>
      </c>
      <c r="CG106" s="2">
        <v>0</v>
      </c>
      <c r="CH106" s="2"/>
      <c r="CI106" s="2"/>
      <c r="CJ106" s="2"/>
      <c r="CK106" s="2"/>
      <c r="CL106" s="2"/>
      <c r="CM106" s="2">
        <v>0</v>
      </c>
      <c r="CN106" s="2" t="s">
        <v>3</v>
      </c>
      <c r="CO106" s="2">
        <v>0</v>
      </c>
      <c r="CP106" s="2">
        <f t="shared" si="101"/>
        <v>0</v>
      </c>
      <c r="CQ106" s="2">
        <f t="shared" si="102"/>
        <v>0</v>
      </c>
      <c r="CR106" s="2">
        <f t="shared" si="103"/>
        <v>0</v>
      </c>
      <c r="CS106" s="2">
        <f t="shared" si="104"/>
        <v>0</v>
      </c>
      <c r="CT106" s="2">
        <f t="shared" si="105"/>
        <v>0</v>
      </c>
      <c r="CU106" s="2">
        <f t="shared" si="106"/>
        <v>0</v>
      </c>
      <c r="CV106" s="2">
        <f t="shared" si="107"/>
        <v>0</v>
      </c>
      <c r="CW106" s="2">
        <f t="shared" si="108"/>
        <v>0</v>
      </c>
      <c r="CX106" s="2">
        <f t="shared" si="109"/>
        <v>0</v>
      </c>
      <c r="CY106" s="2">
        <f t="shared" si="110"/>
        <v>0</v>
      </c>
      <c r="CZ106" s="2">
        <f t="shared" si="111"/>
        <v>0</v>
      </c>
      <c r="DA106" s="2"/>
      <c r="DB106" s="2"/>
      <c r="DC106" s="2" t="s">
        <v>3</v>
      </c>
      <c r="DD106" s="2" t="s">
        <v>3</v>
      </c>
      <c r="DE106" s="2" t="s">
        <v>3</v>
      </c>
      <c r="DF106" s="2" t="s">
        <v>3</v>
      </c>
      <c r="DG106" s="2" t="s">
        <v>3</v>
      </c>
      <c r="DH106" s="2" t="s">
        <v>3</v>
      </c>
      <c r="DI106" s="2" t="s">
        <v>3</v>
      </c>
      <c r="DJ106" s="2" t="s">
        <v>3</v>
      </c>
      <c r="DK106" s="2" t="s">
        <v>3</v>
      </c>
      <c r="DL106" s="2" t="s">
        <v>3</v>
      </c>
      <c r="DM106" s="2" t="s">
        <v>3</v>
      </c>
      <c r="DN106" s="2">
        <v>80</v>
      </c>
      <c r="DO106" s="2">
        <v>55</v>
      </c>
      <c r="DP106" s="2">
        <v>1.0469999999999999</v>
      </c>
      <c r="DQ106" s="2">
        <v>1</v>
      </c>
      <c r="DR106" s="2"/>
      <c r="DS106" s="2"/>
      <c r="DT106" s="2"/>
      <c r="DU106" s="2">
        <v>1009</v>
      </c>
      <c r="DV106" s="2" t="s">
        <v>29</v>
      </c>
      <c r="DW106" s="2" t="s">
        <v>29</v>
      </c>
      <c r="DX106" s="2">
        <v>1000</v>
      </c>
      <c r="DY106" s="2"/>
      <c r="DZ106" s="2"/>
      <c r="EA106" s="2"/>
      <c r="EB106" s="2"/>
      <c r="EC106" s="2"/>
      <c r="ED106" s="2"/>
      <c r="EE106" s="2">
        <v>44846945</v>
      </c>
      <c r="EF106" s="2">
        <v>60</v>
      </c>
      <c r="EG106" s="2" t="s">
        <v>23</v>
      </c>
      <c r="EH106" s="2">
        <v>0</v>
      </c>
      <c r="EI106" s="2" t="s">
        <v>3</v>
      </c>
      <c r="EJ106" s="2">
        <v>1</v>
      </c>
      <c r="EK106" s="2">
        <v>438</v>
      </c>
      <c r="EL106" s="2" t="s">
        <v>187</v>
      </c>
      <c r="EM106" s="2" t="s">
        <v>188</v>
      </c>
      <c r="EN106" s="2"/>
      <c r="EO106" s="2" t="s">
        <v>3</v>
      </c>
      <c r="EP106" s="2"/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/>
      <c r="EZ106" s="2"/>
      <c r="FA106" s="2"/>
      <c r="FB106" s="2"/>
      <c r="FC106" s="2"/>
      <c r="FD106" s="2"/>
      <c r="FE106" s="2"/>
      <c r="FF106" s="2"/>
      <c r="FG106" s="2"/>
      <c r="FH106" s="2"/>
      <c r="FI106" s="2"/>
      <c r="FJ106" s="2"/>
      <c r="FK106" s="2"/>
      <c r="FL106" s="2"/>
      <c r="FM106" s="2"/>
      <c r="FN106" s="2"/>
      <c r="FO106" s="2"/>
      <c r="FP106" s="2"/>
      <c r="FQ106" s="2">
        <v>0</v>
      </c>
      <c r="FR106" s="2">
        <f t="shared" si="112"/>
        <v>0</v>
      </c>
      <c r="FS106" s="2">
        <v>0</v>
      </c>
      <c r="FT106" s="2"/>
      <c r="FU106" s="2"/>
      <c r="FV106" s="2"/>
      <c r="FW106" s="2"/>
      <c r="FX106" s="2">
        <v>80</v>
      </c>
      <c r="FY106" s="2">
        <v>55</v>
      </c>
      <c r="FZ106" s="2"/>
      <c r="GA106" s="2" t="s">
        <v>3</v>
      </c>
      <c r="GB106" s="2"/>
      <c r="GC106" s="2"/>
      <c r="GD106" s="2">
        <v>0</v>
      </c>
      <c r="GE106" s="2"/>
      <c r="GF106" s="2">
        <v>1489638031</v>
      </c>
      <c r="GG106" s="2">
        <v>2</v>
      </c>
      <c r="GH106" s="2">
        <v>1</v>
      </c>
      <c r="GI106" s="2">
        <v>3</v>
      </c>
      <c r="GJ106" s="2">
        <v>0</v>
      </c>
      <c r="GK106" s="2">
        <f>ROUND(R106*(R12)/100,2)</f>
        <v>0</v>
      </c>
      <c r="GL106" s="2">
        <f t="shared" si="113"/>
        <v>0</v>
      </c>
      <c r="GM106" s="2">
        <f t="shared" si="114"/>
        <v>0</v>
      </c>
      <c r="GN106" s="2">
        <f t="shared" si="115"/>
        <v>0</v>
      </c>
      <c r="GO106" s="2">
        <f t="shared" si="116"/>
        <v>0</v>
      </c>
      <c r="GP106" s="2">
        <f t="shared" si="117"/>
        <v>0</v>
      </c>
      <c r="GQ106" s="2"/>
      <c r="GR106" s="2">
        <v>0</v>
      </c>
      <c r="GS106" s="2">
        <v>3</v>
      </c>
      <c r="GT106" s="2">
        <v>0</v>
      </c>
      <c r="GU106" s="2" t="s">
        <v>3</v>
      </c>
      <c r="GV106" s="2">
        <f t="shared" si="118"/>
        <v>0</v>
      </c>
      <c r="GW106" s="2">
        <v>1</v>
      </c>
      <c r="GX106" s="2">
        <f t="shared" si="119"/>
        <v>0</v>
      </c>
      <c r="GY106" s="2"/>
      <c r="GZ106" s="2"/>
      <c r="HA106" s="2">
        <v>0</v>
      </c>
      <c r="HB106" s="2">
        <v>0</v>
      </c>
      <c r="HC106" s="2"/>
      <c r="HD106" s="2"/>
      <c r="HE106" s="2"/>
      <c r="HF106" s="2"/>
      <c r="HG106" s="2"/>
      <c r="HH106" s="2"/>
      <c r="HI106" s="2"/>
      <c r="HJ106" s="2"/>
      <c r="HK106" s="2"/>
      <c r="HL106" s="2"/>
      <c r="HM106" s="2"/>
      <c r="HN106" s="2"/>
      <c r="HO106" s="2"/>
      <c r="HP106" s="2"/>
      <c r="HQ106" s="2"/>
      <c r="HR106" s="2"/>
      <c r="HS106" s="2"/>
      <c r="HT106" s="2"/>
      <c r="HU106" s="2"/>
      <c r="HV106" s="2"/>
      <c r="HW106" s="2"/>
      <c r="HX106" s="2"/>
      <c r="HY106" s="2"/>
      <c r="HZ106" s="2"/>
      <c r="IA106" s="2"/>
      <c r="IB106" s="2"/>
      <c r="IC106" s="2"/>
      <c r="ID106" s="2"/>
      <c r="IE106" s="2"/>
      <c r="IF106" s="2"/>
      <c r="IG106" s="2"/>
      <c r="IH106" s="2"/>
      <c r="II106" s="2"/>
      <c r="IJ106" s="2"/>
      <c r="IK106" s="2">
        <v>0</v>
      </c>
      <c r="IL106" s="2"/>
      <c r="IM106" s="2"/>
      <c r="IN106" s="2"/>
      <c r="IO106" s="2"/>
      <c r="IP106" s="2"/>
      <c r="IQ106" s="2"/>
      <c r="IR106" s="2"/>
      <c r="IS106" s="2"/>
      <c r="IT106" s="2"/>
      <c r="IU106" s="2"/>
    </row>
    <row r="107" spans="1:255" x14ac:dyDescent="0.2">
      <c r="A107">
        <v>18</v>
      </c>
      <c r="B107">
        <v>1</v>
      </c>
      <c r="C107">
        <v>94</v>
      </c>
      <c r="E107" t="s">
        <v>189</v>
      </c>
      <c r="F107" t="s">
        <v>27</v>
      </c>
      <c r="G107" t="s">
        <v>50</v>
      </c>
      <c r="H107" t="s">
        <v>29</v>
      </c>
      <c r="I107">
        <f>I105*J107</f>
        <v>0.03</v>
      </c>
      <c r="J107">
        <v>1.3392857142857142</v>
      </c>
      <c r="O107">
        <f t="shared" si="86"/>
        <v>0</v>
      </c>
      <c r="P107">
        <f t="shared" si="87"/>
        <v>0</v>
      </c>
      <c r="Q107">
        <f t="shared" si="88"/>
        <v>0</v>
      </c>
      <c r="R107">
        <f t="shared" si="89"/>
        <v>0</v>
      </c>
      <c r="S107">
        <f t="shared" si="90"/>
        <v>0</v>
      </c>
      <c r="T107">
        <f t="shared" si="91"/>
        <v>0</v>
      </c>
      <c r="U107">
        <f t="shared" si="92"/>
        <v>0</v>
      </c>
      <c r="V107">
        <f t="shared" si="93"/>
        <v>0</v>
      </c>
      <c r="W107">
        <f t="shared" si="94"/>
        <v>0</v>
      </c>
      <c r="X107">
        <f t="shared" si="95"/>
        <v>0</v>
      </c>
      <c r="Y107">
        <f t="shared" si="96"/>
        <v>0</v>
      </c>
      <c r="AA107">
        <v>45037307</v>
      </c>
      <c r="AB107">
        <f t="shared" si="97"/>
        <v>0</v>
      </c>
      <c r="AC107">
        <f t="shared" si="120"/>
        <v>0</v>
      </c>
      <c r="AD107">
        <f t="shared" si="121"/>
        <v>0</v>
      </c>
      <c r="AE107">
        <f t="shared" si="122"/>
        <v>0</v>
      </c>
      <c r="AF107">
        <f t="shared" si="123"/>
        <v>0</v>
      </c>
      <c r="AG107">
        <f t="shared" si="99"/>
        <v>0</v>
      </c>
      <c r="AH107">
        <f t="shared" si="124"/>
        <v>0</v>
      </c>
      <c r="AI107">
        <f t="shared" si="125"/>
        <v>0</v>
      </c>
      <c r="AJ107">
        <f t="shared" si="100"/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1</v>
      </c>
      <c r="AW107">
        <v>1</v>
      </c>
      <c r="AZ107">
        <v>1</v>
      </c>
      <c r="BA107">
        <v>1</v>
      </c>
      <c r="BB107">
        <v>1</v>
      </c>
      <c r="BC107">
        <v>1</v>
      </c>
      <c r="BD107" t="s">
        <v>3</v>
      </c>
      <c r="BE107" t="s">
        <v>3</v>
      </c>
      <c r="BF107" t="s">
        <v>3</v>
      </c>
      <c r="BG107" t="s">
        <v>3</v>
      </c>
      <c r="BH107">
        <v>3</v>
      </c>
      <c r="BI107">
        <v>1</v>
      </c>
      <c r="BJ107" t="s">
        <v>3</v>
      </c>
      <c r="BM107">
        <v>438</v>
      </c>
      <c r="BN107">
        <v>7156650</v>
      </c>
      <c r="BO107" t="s">
        <v>3</v>
      </c>
      <c r="BP107">
        <v>0</v>
      </c>
      <c r="BQ107">
        <v>60</v>
      </c>
      <c r="BR107">
        <v>0</v>
      </c>
      <c r="BS107">
        <v>1</v>
      </c>
      <c r="BT107">
        <v>1</v>
      </c>
      <c r="BU107">
        <v>1</v>
      </c>
      <c r="BV107">
        <v>1</v>
      </c>
      <c r="BW107">
        <v>1</v>
      </c>
      <c r="BX107">
        <v>1</v>
      </c>
      <c r="BY107" t="s">
        <v>3</v>
      </c>
      <c r="BZ107">
        <v>0</v>
      </c>
      <c r="CA107">
        <v>0</v>
      </c>
      <c r="CF107">
        <v>0</v>
      </c>
      <c r="CG107">
        <v>0</v>
      </c>
      <c r="CM107">
        <v>0</v>
      </c>
      <c r="CN107" t="s">
        <v>3</v>
      </c>
      <c r="CO107">
        <v>0</v>
      </c>
      <c r="CP107">
        <f t="shared" si="101"/>
        <v>0</v>
      </c>
      <c r="CQ107">
        <f t="shared" si="102"/>
        <v>0</v>
      </c>
      <c r="CR107">
        <f t="shared" si="103"/>
        <v>0</v>
      </c>
      <c r="CS107">
        <f t="shared" si="104"/>
        <v>0</v>
      </c>
      <c r="CT107">
        <f t="shared" si="105"/>
        <v>0</v>
      </c>
      <c r="CU107">
        <f t="shared" si="106"/>
        <v>0</v>
      </c>
      <c r="CV107">
        <f t="shared" si="107"/>
        <v>0</v>
      </c>
      <c r="CW107">
        <f t="shared" si="108"/>
        <v>0</v>
      </c>
      <c r="CX107">
        <f t="shared" si="109"/>
        <v>0</v>
      </c>
      <c r="CY107">
        <f t="shared" si="110"/>
        <v>0</v>
      </c>
      <c r="CZ107">
        <f t="shared" si="111"/>
        <v>0</v>
      </c>
      <c r="DC107" t="s">
        <v>3</v>
      </c>
      <c r="DD107" t="s">
        <v>3</v>
      </c>
      <c r="DE107" t="s">
        <v>3</v>
      </c>
      <c r="DF107" t="s">
        <v>3</v>
      </c>
      <c r="DG107" t="s">
        <v>3</v>
      </c>
      <c r="DH107" t="s">
        <v>3</v>
      </c>
      <c r="DI107" t="s">
        <v>3</v>
      </c>
      <c r="DJ107" t="s">
        <v>3</v>
      </c>
      <c r="DK107" t="s">
        <v>3</v>
      </c>
      <c r="DL107" t="s">
        <v>3</v>
      </c>
      <c r="DM107" t="s">
        <v>3</v>
      </c>
      <c r="DN107">
        <v>80</v>
      </c>
      <c r="DO107">
        <v>55</v>
      </c>
      <c r="DP107">
        <v>1.0469999999999999</v>
      </c>
      <c r="DQ107">
        <v>1</v>
      </c>
      <c r="DU107">
        <v>1009</v>
      </c>
      <c r="DV107" t="s">
        <v>29</v>
      </c>
      <c r="DW107" t="s">
        <v>29</v>
      </c>
      <c r="DX107">
        <v>1000</v>
      </c>
      <c r="EE107">
        <v>44846945</v>
      </c>
      <c r="EF107">
        <v>60</v>
      </c>
      <c r="EG107" t="s">
        <v>23</v>
      </c>
      <c r="EH107">
        <v>0</v>
      </c>
      <c r="EI107" t="s">
        <v>3</v>
      </c>
      <c r="EJ107">
        <v>1</v>
      </c>
      <c r="EK107">
        <v>438</v>
      </c>
      <c r="EL107" t="s">
        <v>187</v>
      </c>
      <c r="EM107" t="s">
        <v>188</v>
      </c>
      <c r="EO107" t="s">
        <v>3</v>
      </c>
      <c r="EQ107">
        <v>0</v>
      </c>
      <c r="ER107">
        <v>0</v>
      </c>
      <c r="ES107">
        <v>0</v>
      </c>
      <c r="ET107">
        <v>0</v>
      </c>
      <c r="EU107">
        <v>0</v>
      </c>
      <c r="EV107">
        <v>0</v>
      </c>
      <c r="EW107">
        <v>0</v>
      </c>
      <c r="EX107">
        <v>0</v>
      </c>
      <c r="FQ107">
        <v>0</v>
      </c>
      <c r="FR107">
        <f t="shared" si="112"/>
        <v>0</v>
      </c>
      <c r="FS107">
        <v>0</v>
      </c>
      <c r="FX107">
        <v>80</v>
      </c>
      <c r="FY107">
        <v>55</v>
      </c>
      <c r="GA107" t="s">
        <v>3</v>
      </c>
      <c r="GD107">
        <v>0</v>
      </c>
      <c r="GF107">
        <v>1489638031</v>
      </c>
      <c r="GG107">
        <v>2</v>
      </c>
      <c r="GH107">
        <v>1</v>
      </c>
      <c r="GI107">
        <v>3</v>
      </c>
      <c r="GJ107">
        <v>0</v>
      </c>
      <c r="GK107">
        <f>ROUND(R107*(S12)/100,2)</f>
        <v>0</v>
      </c>
      <c r="GL107">
        <f t="shared" si="113"/>
        <v>0</v>
      </c>
      <c r="GM107">
        <f t="shared" si="114"/>
        <v>0</v>
      </c>
      <c r="GN107">
        <f t="shared" si="115"/>
        <v>0</v>
      </c>
      <c r="GO107">
        <f t="shared" si="116"/>
        <v>0</v>
      </c>
      <c r="GP107">
        <f t="shared" si="117"/>
        <v>0</v>
      </c>
      <c r="GR107">
        <v>0</v>
      </c>
      <c r="GS107">
        <v>3</v>
      </c>
      <c r="GT107">
        <v>0</v>
      </c>
      <c r="GU107" t="s">
        <v>3</v>
      </c>
      <c r="GV107">
        <f t="shared" si="118"/>
        <v>0</v>
      </c>
      <c r="GW107">
        <v>1</v>
      </c>
      <c r="GX107">
        <f t="shared" si="119"/>
        <v>0</v>
      </c>
      <c r="HA107">
        <v>0</v>
      </c>
      <c r="HB107">
        <v>0</v>
      </c>
      <c r="IK107">
        <v>0</v>
      </c>
    </row>
    <row r="108" spans="1:255" x14ac:dyDescent="0.2">
      <c r="A108" s="2">
        <v>17</v>
      </c>
      <c r="B108" s="2">
        <v>1</v>
      </c>
      <c r="C108" s="2">
        <f>ROW(SmtRes!A97)</f>
        <v>97</v>
      </c>
      <c r="D108" s="2">
        <f>ROW(EtalonRes!A95)</f>
        <v>95</v>
      </c>
      <c r="E108" s="2" t="s">
        <v>190</v>
      </c>
      <c r="F108" s="2" t="s">
        <v>191</v>
      </c>
      <c r="G108" s="2" t="s">
        <v>192</v>
      </c>
      <c r="H108" s="2" t="s">
        <v>112</v>
      </c>
      <c r="I108" s="2">
        <v>0.09</v>
      </c>
      <c r="J108" s="2">
        <v>0</v>
      </c>
      <c r="K108" s="2"/>
      <c r="L108" s="2"/>
      <c r="M108" s="2"/>
      <c r="N108" s="2"/>
      <c r="O108" s="2">
        <f t="shared" si="86"/>
        <v>45.85</v>
      </c>
      <c r="P108" s="2">
        <f t="shared" si="87"/>
        <v>0</v>
      </c>
      <c r="Q108" s="2">
        <f t="shared" si="88"/>
        <v>29.11</v>
      </c>
      <c r="R108" s="2">
        <f t="shared" si="89"/>
        <v>5.48</v>
      </c>
      <c r="S108" s="2">
        <f t="shared" si="90"/>
        <v>16.739999999999998</v>
      </c>
      <c r="T108" s="2">
        <f t="shared" si="91"/>
        <v>0</v>
      </c>
      <c r="U108" s="2">
        <f t="shared" si="92"/>
        <v>1.1988000000000001</v>
      </c>
      <c r="V108" s="2">
        <f t="shared" si="93"/>
        <v>0</v>
      </c>
      <c r="W108" s="2">
        <f t="shared" si="94"/>
        <v>0</v>
      </c>
      <c r="X108" s="2">
        <f t="shared" si="95"/>
        <v>0</v>
      </c>
      <c r="Y108" s="2">
        <f t="shared" si="96"/>
        <v>0</v>
      </c>
      <c r="Z108" s="2"/>
      <c r="AA108" s="2">
        <v>45037306</v>
      </c>
      <c r="AB108" s="2">
        <f t="shared" si="97"/>
        <v>509.4</v>
      </c>
      <c r="AC108" s="2">
        <f t="shared" si="120"/>
        <v>0</v>
      </c>
      <c r="AD108" s="2">
        <f t="shared" si="121"/>
        <v>323.45</v>
      </c>
      <c r="AE108" s="2">
        <f t="shared" si="122"/>
        <v>60.91</v>
      </c>
      <c r="AF108" s="2">
        <f t="shared" si="123"/>
        <v>185.95</v>
      </c>
      <c r="AG108" s="2">
        <f t="shared" si="99"/>
        <v>0</v>
      </c>
      <c r="AH108" s="2">
        <f t="shared" si="124"/>
        <v>13.32</v>
      </c>
      <c r="AI108" s="2">
        <f t="shared" si="125"/>
        <v>0</v>
      </c>
      <c r="AJ108" s="2">
        <f t="shared" si="100"/>
        <v>0</v>
      </c>
      <c r="AK108" s="2">
        <v>509.4</v>
      </c>
      <c r="AL108" s="2">
        <v>0</v>
      </c>
      <c r="AM108" s="2">
        <v>323.45</v>
      </c>
      <c r="AN108" s="2">
        <v>60.91</v>
      </c>
      <c r="AO108" s="2">
        <v>185.95</v>
      </c>
      <c r="AP108" s="2">
        <v>0</v>
      </c>
      <c r="AQ108" s="2">
        <v>13.32</v>
      </c>
      <c r="AR108" s="2">
        <v>0</v>
      </c>
      <c r="AS108" s="2">
        <v>0</v>
      </c>
      <c r="AT108" s="2">
        <v>0</v>
      </c>
      <c r="AU108" s="2">
        <v>0</v>
      </c>
      <c r="AV108" s="2">
        <v>1</v>
      </c>
      <c r="AW108" s="2">
        <v>1</v>
      </c>
      <c r="AX108" s="2"/>
      <c r="AY108" s="2"/>
      <c r="AZ108" s="2">
        <v>1</v>
      </c>
      <c r="BA108" s="2">
        <v>1</v>
      </c>
      <c r="BB108" s="2">
        <v>1</v>
      </c>
      <c r="BC108" s="2">
        <v>1</v>
      </c>
      <c r="BD108" s="2" t="s">
        <v>3</v>
      </c>
      <c r="BE108" s="2" t="s">
        <v>3</v>
      </c>
      <c r="BF108" s="2" t="s">
        <v>3</v>
      </c>
      <c r="BG108" s="2" t="s">
        <v>3</v>
      </c>
      <c r="BH108" s="2">
        <v>0</v>
      </c>
      <c r="BI108" s="2">
        <v>1</v>
      </c>
      <c r="BJ108" s="2" t="s">
        <v>193</v>
      </c>
      <c r="BK108" s="2"/>
      <c r="BL108" s="2"/>
      <c r="BM108" s="2">
        <v>394</v>
      </c>
      <c r="BN108" s="2">
        <v>7156650</v>
      </c>
      <c r="BO108" s="2" t="s">
        <v>3</v>
      </c>
      <c r="BP108" s="2">
        <v>0</v>
      </c>
      <c r="BQ108" s="2">
        <v>60</v>
      </c>
      <c r="BR108" s="2">
        <v>0</v>
      </c>
      <c r="BS108" s="2">
        <v>1</v>
      </c>
      <c r="BT108" s="2">
        <v>1</v>
      </c>
      <c r="BU108" s="2">
        <v>1</v>
      </c>
      <c r="BV108" s="2">
        <v>1</v>
      </c>
      <c r="BW108" s="2">
        <v>1</v>
      </c>
      <c r="BX108" s="2">
        <v>1</v>
      </c>
      <c r="BY108" s="2" t="s">
        <v>3</v>
      </c>
      <c r="BZ108" s="2">
        <v>0</v>
      </c>
      <c r="CA108" s="2">
        <v>0</v>
      </c>
      <c r="CB108" s="2"/>
      <c r="CC108" s="2"/>
      <c r="CD108" s="2"/>
      <c r="CE108" s="2"/>
      <c r="CF108" s="2">
        <v>0</v>
      </c>
      <c r="CG108" s="2">
        <v>0</v>
      </c>
      <c r="CH108" s="2"/>
      <c r="CI108" s="2"/>
      <c r="CJ108" s="2"/>
      <c r="CK108" s="2"/>
      <c r="CL108" s="2"/>
      <c r="CM108" s="2">
        <v>0</v>
      </c>
      <c r="CN108" s="2" t="s">
        <v>3</v>
      </c>
      <c r="CO108" s="2">
        <v>0</v>
      </c>
      <c r="CP108" s="2">
        <f t="shared" si="101"/>
        <v>45.849999999999994</v>
      </c>
      <c r="CQ108" s="2">
        <f t="shared" si="102"/>
        <v>0</v>
      </c>
      <c r="CR108" s="2">
        <f t="shared" si="103"/>
        <v>323.45</v>
      </c>
      <c r="CS108" s="2">
        <f t="shared" si="104"/>
        <v>60.91</v>
      </c>
      <c r="CT108" s="2">
        <f t="shared" si="105"/>
        <v>185.95</v>
      </c>
      <c r="CU108" s="2">
        <f t="shared" si="106"/>
        <v>0</v>
      </c>
      <c r="CV108" s="2">
        <f t="shared" si="107"/>
        <v>13.32</v>
      </c>
      <c r="CW108" s="2">
        <f t="shared" si="108"/>
        <v>0</v>
      </c>
      <c r="CX108" s="2">
        <f t="shared" si="109"/>
        <v>0</v>
      </c>
      <c r="CY108" s="2">
        <f t="shared" si="110"/>
        <v>0</v>
      </c>
      <c r="CZ108" s="2">
        <f t="shared" si="111"/>
        <v>0</v>
      </c>
      <c r="DA108" s="2"/>
      <c r="DB108" s="2"/>
      <c r="DC108" s="2" t="s">
        <v>3</v>
      </c>
      <c r="DD108" s="2" t="s">
        <v>3</v>
      </c>
      <c r="DE108" s="2" t="s">
        <v>3</v>
      </c>
      <c r="DF108" s="2" t="s">
        <v>3</v>
      </c>
      <c r="DG108" s="2" t="s">
        <v>3</v>
      </c>
      <c r="DH108" s="2" t="s">
        <v>3</v>
      </c>
      <c r="DI108" s="2" t="s">
        <v>3</v>
      </c>
      <c r="DJ108" s="2" t="s">
        <v>3</v>
      </c>
      <c r="DK108" s="2" t="s">
        <v>3</v>
      </c>
      <c r="DL108" s="2" t="s">
        <v>3</v>
      </c>
      <c r="DM108" s="2" t="s">
        <v>3</v>
      </c>
      <c r="DN108" s="2">
        <v>80</v>
      </c>
      <c r="DO108" s="2">
        <v>55</v>
      </c>
      <c r="DP108" s="2">
        <v>1.0469999999999999</v>
      </c>
      <c r="DQ108" s="2">
        <v>1</v>
      </c>
      <c r="DR108" s="2"/>
      <c r="DS108" s="2"/>
      <c r="DT108" s="2"/>
      <c r="DU108" s="2">
        <v>1013</v>
      </c>
      <c r="DV108" s="2" t="s">
        <v>112</v>
      </c>
      <c r="DW108" s="2" t="s">
        <v>112</v>
      </c>
      <c r="DX108" s="2">
        <v>1</v>
      </c>
      <c r="DY108" s="2"/>
      <c r="DZ108" s="2"/>
      <c r="EA108" s="2"/>
      <c r="EB108" s="2"/>
      <c r="EC108" s="2"/>
      <c r="ED108" s="2"/>
      <c r="EE108" s="2">
        <v>44846901</v>
      </c>
      <c r="EF108" s="2">
        <v>60</v>
      </c>
      <c r="EG108" s="2" t="s">
        <v>23</v>
      </c>
      <c r="EH108" s="2">
        <v>0</v>
      </c>
      <c r="EI108" s="2" t="s">
        <v>3</v>
      </c>
      <c r="EJ108" s="2">
        <v>1</v>
      </c>
      <c r="EK108" s="2">
        <v>394</v>
      </c>
      <c r="EL108" s="2" t="s">
        <v>194</v>
      </c>
      <c r="EM108" s="2" t="s">
        <v>195</v>
      </c>
      <c r="EN108" s="2"/>
      <c r="EO108" s="2" t="s">
        <v>3</v>
      </c>
      <c r="EP108" s="2"/>
      <c r="EQ108" s="2">
        <v>131072</v>
      </c>
      <c r="ER108" s="2">
        <v>509.4</v>
      </c>
      <c r="ES108" s="2">
        <v>0</v>
      </c>
      <c r="ET108" s="2">
        <v>323.45</v>
      </c>
      <c r="EU108" s="2">
        <v>60.91</v>
      </c>
      <c r="EV108" s="2">
        <v>185.95</v>
      </c>
      <c r="EW108" s="2">
        <v>13.32</v>
      </c>
      <c r="EX108" s="2">
        <v>0</v>
      </c>
      <c r="EY108" s="2">
        <v>0</v>
      </c>
      <c r="EZ108" s="2"/>
      <c r="FA108" s="2"/>
      <c r="FB108" s="2"/>
      <c r="FC108" s="2"/>
      <c r="FD108" s="2"/>
      <c r="FE108" s="2"/>
      <c r="FF108" s="2"/>
      <c r="FG108" s="2"/>
      <c r="FH108" s="2"/>
      <c r="FI108" s="2"/>
      <c r="FJ108" s="2"/>
      <c r="FK108" s="2"/>
      <c r="FL108" s="2"/>
      <c r="FM108" s="2"/>
      <c r="FN108" s="2"/>
      <c r="FO108" s="2"/>
      <c r="FP108" s="2"/>
      <c r="FQ108" s="2">
        <v>0</v>
      </c>
      <c r="FR108" s="2">
        <f t="shared" si="112"/>
        <v>0</v>
      </c>
      <c r="FS108" s="2">
        <v>0</v>
      </c>
      <c r="FT108" s="2"/>
      <c r="FU108" s="2"/>
      <c r="FV108" s="2"/>
      <c r="FW108" s="2"/>
      <c r="FX108" s="2">
        <v>80</v>
      </c>
      <c r="FY108" s="2">
        <v>55</v>
      </c>
      <c r="FZ108" s="2"/>
      <c r="GA108" s="2" t="s">
        <v>3</v>
      </c>
      <c r="GB108" s="2"/>
      <c r="GC108" s="2"/>
      <c r="GD108" s="2">
        <v>0</v>
      </c>
      <c r="GE108" s="2"/>
      <c r="GF108" s="2">
        <v>-1504531779</v>
      </c>
      <c r="GG108" s="2">
        <v>2</v>
      </c>
      <c r="GH108" s="2">
        <v>1</v>
      </c>
      <c r="GI108" s="2">
        <v>3</v>
      </c>
      <c r="GJ108" s="2">
        <v>0</v>
      </c>
      <c r="GK108" s="2">
        <f>ROUND(R108*(R12)/100,2)</f>
        <v>9.86</v>
      </c>
      <c r="GL108" s="2">
        <f t="shared" si="113"/>
        <v>0</v>
      </c>
      <c r="GM108" s="2">
        <f t="shared" si="114"/>
        <v>55.71</v>
      </c>
      <c r="GN108" s="2">
        <f t="shared" si="115"/>
        <v>55.71</v>
      </c>
      <c r="GO108" s="2">
        <f t="shared" si="116"/>
        <v>0</v>
      </c>
      <c r="GP108" s="2">
        <f t="shared" si="117"/>
        <v>0</v>
      </c>
      <c r="GQ108" s="2"/>
      <c r="GR108" s="2">
        <v>0</v>
      </c>
      <c r="GS108" s="2">
        <v>3</v>
      </c>
      <c r="GT108" s="2">
        <v>0</v>
      </c>
      <c r="GU108" s="2" t="s">
        <v>3</v>
      </c>
      <c r="GV108" s="2">
        <f t="shared" si="118"/>
        <v>0</v>
      </c>
      <c r="GW108" s="2">
        <v>1</v>
      </c>
      <c r="GX108" s="2">
        <f t="shared" si="119"/>
        <v>0</v>
      </c>
      <c r="GY108" s="2"/>
      <c r="GZ108" s="2"/>
      <c r="HA108" s="2">
        <v>0</v>
      </c>
      <c r="HB108" s="2">
        <v>0</v>
      </c>
      <c r="HC108" s="2"/>
      <c r="HD108" s="2"/>
      <c r="HE108" s="2"/>
      <c r="HF108" s="2"/>
      <c r="HG108" s="2"/>
      <c r="HH108" s="2"/>
      <c r="HI108" s="2"/>
      <c r="HJ108" s="2"/>
      <c r="HK108" s="2"/>
      <c r="HL108" s="2"/>
      <c r="HM108" s="2"/>
      <c r="HN108" s="2"/>
      <c r="HO108" s="2"/>
      <c r="HP108" s="2"/>
      <c r="HQ108" s="2"/>
      <c r="HR108" s="2"/>
      <c r="HS108" s="2"/>
      <c r="HT108" s="2"/>
      <c r="HU108" s="2"/>
      <c r="HV108" s="2"/>
      <c r="HW108" s="2"/>
      <c r="HX108" s="2"/>
      <c r="HY108" s="2"/>
      <c r="HZ108" s="2"/>
      <c r="IA108" s="2"/>
      <c r="IB108" s="2"/>
      <c r="IC108" s="2"/>
      <c r="ID108" s="2"/>
      <c r="IE108" s="2"/>
      <c r="IF108" s="2"/>
      <c r="IG108" s="2"/>
      <c r="IH108" s="2"/>
      <c r="II108" s="2"/>
      <c r="IJ108" s="2"/>
      <c r="IK108" s="2">
        <v>0</v>
      </c>
      <c r="IL108" s="2"/>
      <c r="IM108" s="2"/>
      <c r="IN108" s="2"/>
      <c r="IO108" s="2"/>
      <c r="IP108" s="2"/>
      <c r="IQ108" s="2"/>
      <c r="IR108" s="2"/>
      <c r="IS108" s="2"/>
      <c r="IT108" s="2"/>
      <c r="IU108" s="2"/>
    </row>
    <row r="109" spans="1:255" x14ac:dyDescent="0.2">
      <c r="A109">
        <v>17</v>
      </c>
      <c r="B109">
        <v>1</v>
      </c>
      <c r="C109">
        <f>ROW(SmtRes!A100)</f>
        <v>100</v>
      </c>
      <c r="D109">
        <f>ROW(EtalonRes!A98)</f>
        <v>98</v>
      </c>
      <c r="E109" t="s">
        <v>190</v>
      </c>
      <c r="F109" t="s">
        <v>191</v>
      </c>
      <c r="G109" t="s">
        <v>192</v>
      </c>
      <c r="H109" t="s">
        <v>112</v>
      </c>
      <c r="I109">
        <v>0.09</v>
      </c>
      <c r="J109">
        <v>0</v>
      </c>
      <c r="O109">
        <f t="shared" si="86"/>
        <v>580.98</v>
      </c>
      <c r="P109">
        <f t="shared" si="87"/>
        <v>0</v>
      </c>
      <c r="Q109">
        <f t="shared" si="88"/>
        <v>239.58</v>
      </c>
      <c r="R109">
        <f t="shared" si="89"/>
        <v>111.83</v>
      </c>
      <c r="S109">
        <f t="shared" si="90"/>
        <v>341.4</v>
      </c>
      <c r="T109">
        <f t="shared" si="91"/>
        <v>0</v>
      </c>
      <c r="U109">
        <f t="shared" si="92"/>
        <v>1.1988000000000001</v>
      </c>
      <c r="V109">
        <f t="shared" si="93"/>
        <v>0</v>
      </c>
      <c r="W109">
        <f t="shared" si="94"/>
        <v>0</v>
      </c>
      <c r="X109">
        <f t="shared" si="95"/>
        <v>232.15</v>
      </c>
      <c r="Y109">
        <f t="shared" si="96"/>
        <v>139.97</v>
      </c>
      <c r="AA109">
        <v>45037307</v>
      </c>
      <c r="AB109">
        <f t="shared" si="97"/>
        <v>509.4</v>
      </c>
      <c r="AC109">
        <f t="shared" si="120"/>
        <v>0</v>
      </c>
      <c r="AD109">
        <f t="shared" si="121"/>
        <v>323.45</v>
      </c>
      <c r="AE109">
        <f t="shared" si="122"/>
        <v>60.91</v>
      </c>
      <c r="AF109">
        <f t="shared" si="123"/>
        <v>185.95</v>
      </c>
      <c r="AG109">
        <f t="shared" si="99"/>
        <v>0</v>
      </c>
      <c r="AH109">
        <f t="shared" si="124"/>
        <v>13.32</v>
      </c>
      <c r="AI109">
        <f t="shared" si="125"/>
        <v>0</v>
      </c>
      <c r="AJ109">
        <f t="shared" si="100"/>
        <v>0</v>
      </c>
      <c r="AK109">
        <v>509.4</v>
      </c>
      <c r="AL109">
        <v>0</v>
      </c>
      <c r="AM109">
        <v>323.45</v>
      </c>
      <c r="AN109">
        <v>60.91</v>
      </c>
      <c r="AO109">
        <v>185.95</v>
      </c>
      <c r="AP109">
        <v>0</v>
      </c>
      <c r="AQ109">
        <v>13.32</v>
      </c>
      <c r="AR109">
        <v>0</v>
      </c>
      <c r="AS109">
        <v>0</v>
      </c>
      <c r="AT109">
        <v>68</v>
      </c>
      <c r="AU109">
        <v>41</v>
      </c>
      <c r="AV109">
        <v>1</v>
      </c>
      <c r="AW109">
        <v>1</v>
      </c>
      <c r="AZ109">
        <v>1</v>
      </c>
      <c r="BA109">
        <v>20.399999999999999</v>
      </c>
      <c r="BB109">
        <v>8.23</v>
      </c>
      <c r="BC109">
        <v>1</v>
      </c>
      <c r="BD109" t="s">
        <v>3</v>
      </c>
      <c r="BE109" t="s">
        <v>3</v>
      </c>
      <c r="BF109" t="s">
        <v>3</v>
      </c>
      <c r="BG109" t="s">
        <v>3</v>
      </c>
      <c r="BH109">
        <v>0</v>
      </c>
      <c r="BI109">
        <v>1</v>
      </c>
      <c r="BJ109" t="s">
        <v>193</v>
      </c>
      <c r="BM109">
        <v>394</v>
      </c>
      <c r="BN109">
        <v>7156650</v>
      </c>
      <c r="BO109" t="s">
        <v>191</v>
      </c>
      <c r="BP109">
        <v>1</v>
      </c>
      <c r="BQ109">
        <v>60</v>
      </c>
      <c r="BR109">
        <v>0</v>
      </c>
      <c r="BS109">
        <v>20.399999999999999</v>
      </c>
      <c r="BT109">
        <v>1</v>
      </c>
      <c r="BU109">
        <v>1</v>
      </c>
      <c r="BV109">
        <v>1</v>
      </c>
      <c r="BW109">
        <v>1</v>
      </c>
      <c r="BX109">
        <v>1</v>
      </c>
      <c r="BY109" t="s">
        <v>3</v>
      </c>
      <c r="BZ109">
        <v>68</v>
      </c>
      <c r="CA109">
        <v>41</v>
      </c>
      <c r="CF109">
        <v>0</v>
      </c>
      <c r="CG109">
        <v>0</v>
      </c>
      <c r="CM109">
        <v>0</v>
      </c>
      <c r="CN109" t="s">
        <v>3</v>
      </c>
      <c r="CO109">
        <v>0</v>
      </c>
      <c r="CP109">
        <f t="shared" si="101"/>
        <v>580.98</v>
      </c>
      <c r="CQ109">
        <f t="shared" si="102"/>
        <v>0</v>
      </c>
      <c r="CR109">
        <f t="shared" si="103"/>
        <v>2661.9935</v>
      </c>
      <c r="CS109">
        <f t="shared" si="104"/>
        <v>1242.5639999999999</v>
      </c>
      <c r="CT109">
        <f t="shared" si="105"/>
        <v>3793.3799999999997</v>
      </c>
      <c r="CU109">
        <f t="shared" si="106"/>
        <v>0</v>
      </c>
      <c r="CV109">
        <f t="shared" si="107"/>
        <v>13.32</v>
      </c>
      <c r="CW109">
        <f t="shared" si="108"/>
        <v>0</v>
      </c>
      <c r="CX109">
        <f t="shared" si="109"/>
        <v>0</v>
      </c>
      <c r="CY109">
        <f t="shared" si="110"/>
        <v>232.15200000000002</v>
      </c>
      <c r="CZ109">
        <f t="shared" si="111"/>
        <v>139.97399999999999</v>
      </c>
      <c r="DC109" t="s">
        <v>3</v>
      </c>
      <c r="DD109" t="s">
        <v>3</v>
      </c>
      <c r="DE109" t="s">
        <v>3</v>
      </c>
      <c r="DF109" t="s">
        <v>3</v>
      </c>
      <c r="DG109" t="s">
        <v>3</v>
      </c>
      <c r="DH109" t="s">
        <v>3</v>
      </c>
      <c r="DI109" t="s">
        <v>3</v>
      </c>
      <c r="DJ109" t="s">
        <v>3</v>
      </c>
      <c r="DK109" t="s">
        <v>3</v>
      </c>
      <c r="DL109" t="s">
        <v>3</v>
      </c>
      <c r="DM109" t="s">
        <v>3</v>
      </c>
      <c r="DN109">
        <v>80</v>
      </c>
      <c r="DO109">
        <v>55</v>
      </c>
      <c r="DP109">
        <v>1.0469999999999999</v>
      </c>
      <c r="DQ109">
        <v>1</v>
      </c>
      <c r="DU109">
        <v>1013</v>
      </c>
      <c r="DV109" t="s">
        <v>112</v>
      </c>
      <c r="DW109" t="s">
        <v>112</v>
      </c>
      <c r="DX109">
        <v>1</v>
      </c>
      <c r="EE109">
        <v>44846901</v>
      </c>
      <c r="EF109">
        <v>60</v>
      </c>
      <c r="EG109" t="s">
        <v>23</v>
      </c>
      <c r="EH109">
        <v>0</v>
      </c>
      <c r="EI109" t="s">
        <v>3</v>
      </c>
      <c r="EJ109">
        <v>1</v>
      </c>
      <c r="EK109">
        <v>394</v>
      </c>
      <c r="EL109" t="s">
        <v>194</v>
      </c>
      <c r="EM109" t="s">
        <v>195</v>
      </c>
      <c r="EO109" t="s">
        <v>3</v>
      </c>
      <c r="EQ109">
        <v>131072</v>
      </c>
      <c r="ER109">
        <v>509.4</v>
      </c>
      <c r="ES109">
        <v>0</v>
      </c>
      <c r="ET109">
        <v>323.45</v>
      </c>
      <c r="EU109">
        <v>60.91</v>
      </c>
      <c r="EV109">
        <v>185.95</v>
      </c>
      <c r="EW109">
        <v>13.32</v>
      </c>
      <c r="EX109">
        <v>0</v>
      </c>
      <c r="EY109">
        <v>0</v>
      </c>
      <c r="FQ109">
        <v>0</v>
      </c>
      <c r="FR109">
        <f t="shared" si="112"/>
        <v>0</v>
      </c>
      <c r="FS109">
        <v>0</v>
      </c>
      <c r="FX109">
        <v>80</v>
      </c>
      <c r="FY109">
        <v>55</v>
      </c>
      <c r="GA109" t="s">
        <v>3</v>
      </c>
      <c r="GD109">
        <v>0</v>
      </c>
      <c r="GF109">
        <v>-1504531779</v>
      </c>
      <c r="GG109">
        <v>2</v>
      </c>
      <c r="GH109">
        <v>1</v>
      </c>
      <c r="GI109">
        <v>3</v>
      </c>
      <c r="GJ109">
        <v>0</v>
      </c>
      <c r="GK109">
        <f>ROUND(R109*(S12)/100,2)</f>
        <v>187.87</v>
      </c>
      <c r="GL109">
        <f t="shared" si="113"/>
        <v>0</v>
      </c>
      <c r="GM109">
        <f t="shared" si="114"/>
        <v>1140.97</v>
      </c>
      <c r="GN109">
        <f t="shared" si="115"/>
        <v>1140.97</v>
      </c>
      <c r="GO109">
        <f t="shared" si="116"/>
        <v>0</v>
      </c>
      <c r="GP109">
        <f t="shared" si="117"/>
        <v>0</v>
      </c>
      <c r="GR109">
        <v>0</v>
      </c>
      <c r="GS109">
        <v>3</v>
      </c>
      <c r="GT109">
        <v>0</v>
      </c>
      <c r="GU109" t="s">
        <v>3</v>
      </c>
      <c r="GV109">
        <f t="shared" si="118"/>
        <v>0</v>
      </c>
      <c r="GW109">
        <v>1</v>
      </c>
      <c r="GX109">
        <f t="shared" si="119"/>
        <v>0</v>
      </c>
      <c r="HA109">
        <v>0</v>
      </c>
      <c r="HB109">
        <v>0</v>
      </c>
      <c r="IK109">
        <v>0</v>
      </c>
    </row>
    <row r="110" spans="1:255" x14ac:dyDescent="0.2">
      <c r="A110" s="2">
        <v>18</v>
      </c>
      <c r="B110" s="2">
        <v>1</v>
      </c>
      <c r="C110" s="2">
        <v>97</v>
      </c>
      <c r="D110" s="2"/>
      <c r="E110" s="2" t="s">
        <v>196</v>
      </c>
      <c r="F110" s="2" t="s">
        <v>27</v>
      </c>
      <c r="G110" s="2" t="s">
        <v>50</v>
      </c>
      <c r="H110" s="2" t="s">
        <v>29</v>
      </c>
      <c r="I110" s="2">
        <f>I108*J110</f>
        <v>-0.22499999999999998</v>
      </c>
      <c r="J110" s="2">
        <v>-2.5</v>
      </c>
      <c r="K110" s="2"/>
      <c r="L110" s="2"/>
      <c r="M110" s="2"/>
      <c r="N110" s="2"/>
      <c r="O110" s="2">
        <f t="shared" si="86"/>
        <v>0</v>
      </c>
      <c r="P110" s="2">
        <f t="shared" si="87"/>
        <v>0</v>
      </c>
      <c r="Q110" s="2">
        <f t="shared" si="88"/>
        <v>0</v>
      </c>
      <c r="R110" s="2">
        <f t="shared" si="89"/>
        <v>0</v>
      </c>
      <c r="S110" s="2">
        <f t="shared" si="90"/>
        <v>0</v>
      </c>
      <c r="T110" s="2">
        <f t="shared" si="91"/>
        <v>0</v>
      </c>
      <c r="U110" s="2">
        <f t="shared" si="92"/>
        <v>0</v>
      </c>
      <c r="V110" s="2">
        <f t="shared" si="93"/>
        <v>0</v>
      </c>
      <c r="W110" s="2">
        <f t="shared" si="94"/>
        <v>0</v>
      </c>
      <c r="X110" s="2">
        <f t="shared" si="95"/>
        <v>0</v>
      </c>
      <c r="Y110" s="2">
        <f t="shared" si="96"/>
        <v>0</v>
      </c>
      <c r="Z110" s="2"/>
      <c r="AA110" s="2">
        <v>45037306</v>
      </c>
      <c r="AB110" s="2">
        <f t="shared" si="97"/>
        <v>0</v>
      </c>
      <c r="AC110" s="2">
        <f t="shared" si="120"/>
        <v>0</v>
      </c>
      <c r="AD110" s="2">
        <f t="shared" si="121"/>
        <v>0</v>
      </c>
      <c r="AE110" s="2">
        <f t="shared" si="122"/>
        <v>0</v>
      </c>
      <c r="AF110" s="2">
        <f t="shared" si="123"/>
        <v>0</v>
      </c>
      <c r="AG110" s="2">
        <f t="shared" si="99"/>
        <v>0</v>
      </c>
      <c r="AH110" s="2">
        <f t="shared" si="124"/>
        <v>0</v>
      </c>
      <c r="AI110" s="2">
        <f t="shared" si="125"/>
        <v>0</v>
      </c>
      <c r="AJ110" s="2">
        <f t="shared" si="100"/>
        <v>0</v>
      </c>
      <c r="AK110" s="2">
        <v>0</v>
      </c>
      <c r="AL110" s="2">
        <v>0</v>
      </c>
      <c r="AM110" s="2">
        <v>0</v>
      </c>
      <c r="AN110" s="2">
        <v>0</v>
      </c>
      <c r="AO110" s="2">
        <v>0</v>
      </c>
      <c r="AP110" s="2">
        <v>0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1</v>
      </c>
      <c r="AW110" s="2">
        <v>1</v>
      </c>
      <c r="AX110" s="2"/>
      <c r="AY110" s="2"/>
      <c r="AZ110" s="2">
        <v>1</v>
      </c>
      <c r="BA110" s="2">
        <v>1</v>
      </c>
      <c r="BB110" s="2">
        <v>1</v>
      </c>
      <c r="BC110" s="2">
        <v>1</v>
      </c>
      <c r="BD110" s="2" t="s">
        <v>3</v>
      </c>
      <c r="BE110" s="2" t="s">
        <v>3</v>
      </c>
      <c r="BF110" s="2" t="s">
        <v>3</v>
      </c>
      <c r="BG110" s="2" t="s">
        <v>3</v>
      </c>
      <c r="BH110" s="2">
        <v>3</v>
      </c>
      <c r="BI110" s="2">
        <v>1</v>
      </c>
      <c r="BJ110" s="2" t="s">
        <v>3</v>
      </c>
      <c r="BK110" s="2"/>
      <c r="BL110" s="2"/>
      <c r="BM110" s="2">
        <v>394</v>
      </c>
      <c r="BN110" s="2">
        <v>7156650</v>
      </c>
      <c r="BO110" s="2" t="s">
        <v>3</v>
      </c>
      <c r="BP110" s="2">
        <v>0</v>
      </c>
      <c r="BQ110" s="2">
        <v>60</v>
      </c>
      <c r="BR110" s="2">
        <v>1</v>
      </c>
      <c r="BS110" s="2">
        <v>1</v>
      </c>
      <c r="BT110" s="2">
        <v>1</v>
      </c>
      <c r="BU110" s="2">
        <v>1</v>
      </c>
      <c r="BV110" s="2">
        <v>1</v>
      </c>
      <c r="BW110" s="2">
        <v>1</v>
      </c>
      <c r="BX110" s="2">
        <v>1</v>
      </c>
      <c r="BY110" s="2" t="s">
        <v>3</v>
      </c>
      <c r="BZ110" s="2">
        <v>0</v>
      </c>
      <c r="CA110" s="2">
        <v>0</v>
      </c>
      <c r="CB110" s="2"/>
      <c r="CC110" s="2"/>
      <c r="CD110" s="2"/>
      <c r="CE110" s="2"/>
      <c r="CF110" s="2">
        <v>0</v>
      </c>
      <c r="CG110" s="2">
        <v>0</v>
      </c>
      <c r="CH110" s="2"/>
      <c r="CI110" s="2"/>
      <c r="CJ110" s="2"/>
      <c r="CK110" s="2"/>
      <c r="CL110" s="2"/>
      <c r="CM110" s="2">
        <v>0</v>
      </c>
      <c r="CN110" s="2" t="s">
        <v>3</v>
      </c>
      <c r="CO110" s="2">
        <v>0</v>
      </c>
      <c r="CP110" s="2">
        <f t="shared" si="101"/>
        <v>0</v>
      </c>
      <c r="CQ110" s="2">
        <f t="shared" si="102"/>
        <v>0</v>
      </c>
      <c r="CR110" s="2">
        <f t="shared" si="103"/>
        <v>0</v>
      </c>
      <c r="CS110" s="2">
        <f t="shared" si="104"/>
        <v>0</v>
      </c>
      <c r="CT110" s="2">
        <f t="shared" si="105"/>
        <v>0</v>
      </c>
      <c r="CU110" s="2">
        <f t="shared" si="106"/>
        <v>0</v>
      </c>
      <c r="CV110" s="2">
        <f t="shared" si="107"/>
        <v>0</v>
      </c>
      <c r="CW110" s="2">
        <f t="shared" si="108"/>
        <v>0</v>
      </c>
      <c r="CX110" s="2">
        <f t="shared" si="109"/>
        <v>0</v>
      </c>
      <c r="CY110" s="2">
        <f t="shared" si="110"/>
        <v>0</v>
      </c>
      <c r="CZ110" s="2">
        <f t="shared" si="111"/>
        <v>0</v>
      </c>
      <c r="DA110" s="2"/>
      <c r="DB110" s="2"/>
      <c r="DC110" s="2" t="s">
        <v>3</v>
      </c>
      <c r="DD110" s="2" t="s">
        <v>3</v>
      </c>
      <c r="DE110" s="2" t="s">
        <v>3</v>
      </c>
      <c r="DF110" s="2" t="s">
        <v>3</v>
      </c>
      <c r="DG110" s="2" t="s">
        <v>3</v>
      </c>
      <c r="DH110" s="2" t="s">
        <v>3</v>
      </c>
      <c r="DI110" s="2" t="s">
        <v>3</v>
      </c>
      <c r="DJ110" s="2" t="s">
        <v>3</v>
      </c>
      <c r="DK110" s="2" t="s">
        <v>3</v>
      </c>
      <c r="DL110" s="2" t="s">
        <v>3</v>
      </c>
      <c r="DM110" s="2" t="s">
        <v>3</v>
      </c>
      <c r="DN110" s="2">
        <v>80</v>
      </c>
      <c r="DO110" s="2">
        <v>55</v>
      </c>
      <c r="DP110" s="2">
        <v>1.0469999999999999</v>
      </c>
      <c r="DQ110" s="2">
        <v>1</v>
      </c>
      <c r="DR110" s="2"/>
      <c r="DS110" s="2"/>
      <c r="DT110" s="2"/>
      <c r="DU110" s="2">
        <v>1009</v>
      </c>
      <c r="DV110" s="2" t="s">
        <v>29</v>
      </c>
      <c r="DW110" s="2" t="s">
        <v>29</v>
      </c>
      <c r="DX110" s="2">
        <v>1000</v>
      </c>
      <c r="DY110" s="2"/>
      <c r="DZ110" s="2"/>
      <c r="EA110" s="2"/>
      <c r="EB110" s="2"/>
      <c r="EC110" s="2"/>
      <c r="ED110" s="2"/>
      <c r="EE110" s="2">
        <v>44846901</v>
      </c>
      <c r="EF110" s="2">
        <v>60</v>
      </c>
      <c r="EG110" s="2" t="s">
        <v>23</v>
      </c>
      <c r="EH110" s="2">
        <v>0</v>
      </c>
      <c r="EI110" s="2" t="s">
        <v>3</v>
      </c>
      <c r="EJ110" s="2">
        <v>1</v>
      </c>
      <c r="EK110" s="2">
        <v>394</v>
      </c>
      <c r="EL110" s="2" t="s">
        <v>194</v>
      </c>
      <c r="EM110" s="2" t="s">
        <v>195</v>
      </c>
      <c r="EN110" s="2"/>
      <c r="EO110" s="2" t="s">
        <v>3</v>
      </c>
      <c r="EP110" s="2"/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/>
      <c r="EZ110" s="2"/>
      <c r="FA110" s="2"/>
      <c r="FB110" s="2"/>
      <c r="FC110" s="2"/>
      <c r="FD110" s="2"/>
      <c r="FE110" s="2"/>
      <c r="FF110" s="2"/>
      <c r="FG110" s="2"/>
      <c r="FH110" s="2"/>
      <c r="FI110" s="2"/>
      <c r="FJ110" s="2"/>
      <c r="FK110" s="2"/>
      <c r="FL110" s="2"/>
      <c r="FM110" s="2"/>
      <c r="FN110" s="2"/>
      <c r="FO110" s="2"/>
      <c r="FP110" s="2"/>
      <c r="FQ110" s="2">
        <v>0</v>
      </c>
      <c r="FR110" s="2">
        <f t="shared" si="112"/>
        <v>0</v>
      </c>
      <c r="FS110" s="2">
        <v>0</v>
      </c>
      <c r="FT110" s="2"/>
      <c r="FU110" s="2"/>
      <c r="FV110" s="2"/>
      <c r="FW110" s="2"/>
      <c r="FX110" s="2">
        <v>80</v>
      </c>
      <c r="FY110" s="2">
        <v>55</v>
      </c>
      <c r="FZ110" s="2"/>
      <c r="GA110" s="2" t="s">
        <v>3</v>
      </c>
      <c r="GB110" s="2"/>
      <c r="GC110" s="2"/>
      <c r="GD110" s="2">
        <v>0</v>
      </c>
      <c r="GE110" s="2"/>
      <c r="GF110" s="2">
        <v>1489638031</v>
      </c>
      <c r="GG110" s="2">
        <v>2</v>
      </c>
      <c r="GH110" s="2">
        <v>1</v>
      </c>
      <c r="GI110" s="2">
        <v>3</v>
      </c>
      <c r="GJ110" s="2">
        <v>0</v>
      </c>
      <c r="GK110" s="2">
        <f>ROUND(R110*(R12)/100,2)</f>
        <v>0</v>
      </c>
      <c r="GL110" s="2">
        <f t="shared" si="113"/>
        <v>0</v>
      </c>
      <c r="GM110" s="2">
        <f t="shared" si="114"/>
        <v>0</v>
      </c>
      <c r="GN110" s="2">
        <f t="shared" si="115"/>
        <v>0</v>
      </c>
      <c r="GO110" s="2">
        <f t="shared" si="116"/>
        <v>0</v>
      </c>
      <c r="GP110" s="2">
        <f t="shared" si="117"/>
        <v>0</v>
      </c>
      <c r="GQ110" s="2"/>
      <c r="GR110" s="2">
        <v>0</v>
      </c>
      <c r="GS110" s="2">
        <v>3</v>
      </c>
      <c r="GT110" s="2">
        <v>0</v>
      </c>
      <c r="GU110" s="2" t="s">
        <v>3</v>
      </c>
      <c r="GV110" s="2">
        <f t="shared" si="118"/>
        <v>0</v>
      </c>
      <c r="GW110" s="2">
        <v>1</v>
      </c>
      <c r="GX110" s="2">
        <f t="shared" si="119"/>
        <v>0</v>
      </c>
      <c r="GY110" s="2"/>
      <c r="GZ110" s="2"/>
      <c r="HA110" s="2">
        <v>0</v>
      </c>
      <c r="HB110" s="2">
        <v>0</v>
      </c>
      <c r="HC110" s="2"/>
      <c r="HD110" s="2"/>
      <c r="HE110" s="2"/>
      <c r="HF110" s="2"/>
      <c r="HG110" s="2"/>
      <c r="HH110" s="2"/>
      <c r="HI110" s="2"/>
      <c r="HJ110" s="2"/>
      <c r="HK110" s="2"/>
      <c r="HL110" s="2"/>
      <c r="HM110" s="2"/>
      <c r="HN110" s="2"/>
      <c r="HO110" s="2"/>
      <c r="HP110" s="2"/>
      <c r="HQ110" s="2"/>
      <c r="HR110" s="2"/>
      <c r="HS110" s="2"/>
      <c r="HT110" s="2"/>
      <c r="HU110" s="2"/>
      <c r="HV110" s="2"/>
      <c r="HW110" s="2"/>
      <c r="HX110" s="2"/>
      <c r="HY110" s="2"/>
      <c r="HZ110" s="2"/>
      <c r="IA110" s="2"/>
      <c r="IB110" s="2"/>
      <c r="IC110" s="2"/>
      <c r="ID110" s="2"/>
      <c r="IE110" s="2"/>
      <c r="IF110" s="2"/>
      <c r="IG110" s="2"/>
      <c r="IH110" s="2"/>
      <c r="II110" s="2"/>
      <c r="IJ110" s="2"/>
      <c r="IK110" s="2">
        <v>0</v>
      </c>
      <c r="IL110" s="2"/>
      <c r="IM110" s="2"/>
      <c r="IN110" s="2"/>
      <c r="IO110" s="2"/>
      <c r="IP110" s="2"/>
      <c r="IQ110" s="2"/>
      <c r="IR110" s="2"/>
      <c r="IS110" s="2"/>
      <c r="IT110" s="2"/>
      <c r="IU110" s="2"/>
    </row>
    <row r="111" spans="1:255" x14ac:dyDescent="0.2">
      <c r="A111">
        <v>18</v>
      </c>
      <c r="B111">
        <v>1</v>
      </c>
      <c r="C111">
        <v>100</v>
      </c>
      <c r="E111" t="s">
        <v>196</v>
      </c>
      <c r="F111" t="s">
        <v>27</v>
      </c>
      <c r="G111" t="s">
        <v>50</v>
      </c>
      <c r="H111" t="s">
        <v>29</v>
      </c>
      <c r="I111">
        <f>I109*J111</f>
        <v>-0.22499999999999998</v>
      </c>
      <c r="J111">
        <v>-2.5</v>
      </c>
      <c r="O111">
        <f t="shared" si="86"/>
        <v>0</v>
      </c>
      <c r="P111">
        <f t="shared" si="87"/>
        <v>0</v>
      </c>
      <c r="Q111">
        <f t="shared" si="88"/>
        <v>0</v>
      </c>
      <c r="R111">
        <f t="shared" si="89"/>
        <v>0</v>
      </c>
      <c r="S111">
        <f t="shared" si="90"/>
        <v>0</v>
      </c>
      <c r="T111">
        <f t="shared" si="91"/>
        <v>0</v>
      </c>
      <c r="U111">
        <f t="shared" si="92"/>
        <v>0</v>
      </c>
      <c r="V111">
        <f t="shared" si="93"/>
        <v>0</v>
      </c>
      <c r="W111">
        <f t="shared" si="94"/>
        <v>0</v>
      </c>
      <c r="X111">
        <f t="shared" si="95"/>
        <v>0</v>
      </c>
      <c r="Y111">
        <f t="shared" si="96"/>
        <v>0</v>
      </c>
      <c r="AA111">
        <v>45037307</v>
      </c>
      <c r="AB111">
        <f t="shared" si="97"/>
        <v>0</v>
      </c>
      <c r="AC111">
        <f t="shared" si="120"/>
        <v>0</v>
      </c>
      <c r="AD111">
        <f t="shared" si="121"/>
        <v>0</v>
      </c>
      <c r="AE111">
        <f t="shared" si="122"/>
        <v>0</v>
      </c>
      <c r="AF111">
        <f t="shared" si="123"/>
        <v>0</v>
      </c>
      <c r="AG111">
        <f t="shared" si="99"/>
        <v>0</v>
      </c>
      <c r="AH111">
        <f t="shared" si="124"/>
        <v>0</v>
      </c>
      <c r="AI111">
        <f t="shared" si="125"/>
        <v>0</v>
      </c>
      <c r="AJ111">
        <f t="shared" si="100"/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1</v>
      </c>
      <c r="AW111">
        <v>1</v>
      </c>
      <c r="AZ111">
        <v>1</v>
      </c>
      <c r="BA111">
        <v>1</v>
      </c>
      <c r="BB111">
        <v>1</v>
      </c>
      <c r="BC111">
        <v>1</v>
      </c>
      <c r="BD111" t="s">
        <v>3</v>
      </c>
      <c r="BE111" t="s">
        <v>3</v>
      </c>
      <c r="BF111" t="s">
        <v>3</v>
      </c>
      <c r="BG111" t="s">
        <v>3</v>
      </c>
      <c r="BH111">
        <v>3</v>
      </c>
      <c r="BI111">
        <v>1</v>
      </c>
      <c r="BJ111" t="s">
        <v>3</v>
      </c>
      <c r="BM111">
        <v>394</v>
      </c>
      <c r="BN111">
        <v>7156650</v>
      </c>
      <c r="BO111" t="s">
        <v>3</v>
      </c>
      <c r="BP111">
        <v>0</v>
      </c>
      <c r="BQ111">
        <v>60</v>
      </c>
      <c r="BR111">
        <v>1</v>
      </c>
      <c r="BS111">
        <v>1</v>
      </c>
      <c r="BT111">
        <v>1</v>
      </c>
      <c r="BU111">
        <v>1</v>
      </c>
      <c r="BV111">
        <v>1</v>
      </c>
      <c r="BW111">
        <v>1</v>
      </c>
      <c r="BX111">
        <v>1</v>
      </c>
      <c r="BY111" t="s">
        <v>3</v>
      </c>
      <c r="BZ111">
        <v>0</v>
      </c>
      <c r="CA111">
        <v>0</v>
      </c>
      <c r="CF111">
        <v>0</v>
      </c>
      <c r="CG111">
        <v>0</v>
      </c>
      <c r="CM111">
        <v>0</v>
      </c>
      <c r="CN111" t="s">
        <v>3</v>
      </c>
      <c r="CO111">
        <v>0</v>
      </c>
      <c r="CP111">
        <f t="shared" si="101"/>
        <v>0</v>
      </c>
      <c r="CQ111">
        <f t="shared" si="102"/>
        <v>0</v>
      </c>
      <c r="CR111">
        <f t="shared" si="103"/>
        <v>0</v>
      </c>
      <c r="CS111">
        <f t="shared" si="104"/>
        <v>0</v>
      </c>
      <c r="CT111">
        <f t="shared" si="105"/>
        <v>0</v>
      </c>
      <c r="CU111">
        <f t="shared" si="106"/>
        <v>0</v>
      </c>
      <c r="CV111">
        <f t="shared" si="107"/>
        <v>0</v>
      </c>
      <c r="CW111">
        <f t="shared" si="108"/>
        <v>0</v>
      </c>
      <c r="CX111">
        <f t="shared" si="109"/>
        <v>0</v>
      </c>
      <c r="CY111">
        <f t="shared" si="110"/>
        <v>0</v>
      </c>
      <c r="CZ111">
        <f t="shared" si="111"/>
        <v>0</v>
      </c>
      <c r="DC111" t="s">
        <v>3</v>
      </c>
      <c r="DD111" t="s">
        <v>3</v>
      </c>
      <c r="DE111" t="s">
        <v>3</v>
      </c>
      <c r="DF111" t="s">
        <v>3</v>
      </c>
      <c r="DG111" t="s">
        <v>3</v>
      </c>
      <c r="DH111" t="s">
        <v>3</v>
      </c>
      <c r="DI111" t="s">
        <v>3</v>
      </c>
      <c r="DJ111" t="s">
        <v>3</v>
      </c>
      <c r="DK111" t="s">
        <v>3</v>
      </c>
      <c r="DL111" t="s">
        <v>3</v>
      </c>
      <c r="DM111" t="s">
        <v>3</v>
      </c>
      <c r="DN111">
        <v>80</v>
      </c>
      <c r="DO111">
        <v>55</v>
      </c>
      <c r="DP111">
        <v>1.0469999999999999</v>
      </c>
      <c r="DQ111">
        <v>1</v>
      </c>
      <c r="DU111">
        <v>1009</v>
      </c>
      <c r="DV111" t="s">
        <v>29</v>
      </c>
      <c r="DW111" t="s">
        <v>29</v>
      </c>
      <c r="DX111">
        <v>1000</v>
      </c>
      <c r="EE111">
        <v>44846901</v>
      </c>
      <c r="EF111">
        <v>60</v>
      </c>
      <c r="EG111" t="s">
        <v>23</v>
      </c>
      <c r="EH111">
        <v>0</v>
      </c>
      <c r="EI111" t="s">
        <v>3</v>
      </c>
      <c r="EJ111">
        <v>1</v>
      </c>
      <c r="EK111">
        <v>394</v>
      </c>
      <c r="EL111" t="s">
        <v>194</v>
      </c>
      <c r="EM111" t="s">
        <v>195</v>
      </c>
      <c r="EO111" t="s">
        <v>3</v>
      </c>
      <c r="EQ111">
        <v>0</v>
      </c>
      <c r="ER111">
        <v>0</v>
      </c>
      <c r="ES111">
        <v>0</v>
      </c>
      <c r="ET111">
        <v>0</v>
      </c>
      <c r="EU111">
        <v>0</v>
      </c>
      <c r="EV111">
        <v>0</v>
      </c>
      <c r="EW111">
        <v>0</v>
      </c>
      <c r="EX111">
        <v>0</v>
      </c>
      <c r="FQ111">
        <v>0</v>
      </c>
      <c r="FR111">
        <f t="shared" si="112"/>
        <v>0</v>
      </c>
      <c r="FS111">
        <v>0</v>
      </c>
      <c r="FX111">
        <v>80</v>
      </c>
      <c r="FY111">
        <v>55</v>
      </c>
      <c r="GA111" t="s">
        <v>3</v>
      </c>
      <c r="GD111">
        <v>0</v>
      </c>
      <c r="GF111">
        <v>1489638031</v>
      </c>
      <c r="GG111">
        <v>2</v>
      </c>
      <c r="GH111">
        <v>1</v>
      </c>
      <c r="GI111">
        <v>3</v>
      </c>
      <c r="GJ111">
        <v>0</v>
      </c>
      <c r="GK111">
        <f>ROUND(R111*(S12)/100,2)</f>
        <v>0</v>
      </c>
      <c r="GL111">
        <f t="shared" si="113"/>
        <v>0</v>
      </c>
      <c r="GM111">
        <f t="shared" si="114"/>
        <v>0</v>
      </c>
      <c r="GN111">
        <f t="shared" si="115"/>
        <v>0</v>
      </c>
      <c r="GO111">
        <f t="shared" si="116"/>
        <v>0</v>
      </c>
      <c r="GP111">
        <f t="shared" si="117"/>
        <v>0</v>
      </c>
      <c r="GR111">
        <v>0</v>
      </c>
      <c r="GS111">
        <v>3</v>
      </c>
      <c r="GT111">
        <v>0</v>
      </c>
      <c r="GU111" t="s">
        <v>3</v>
      </c>
      <c r="GV111">
        <f t="shared" si="118"/>
        <v>0</v>
      </c>
      <c r="GW111">
        <v>1</v>
      </c>
      <c r="GX111">
        <f t="shared" si="119"/>
        <v>0</v>
      </c>
      <c r="HA111">
        <v>0</v>
      </c>
      <c r="HB111">
        <v>0</v>
      </c>
      <c r="IK111">
        <v>0</v>
      </c>
    </row>
    <row r="112" spans="1:255" x14ac:dyDescent="0.2">
      <c r="A112" s="2">
        <v>17</v>
      </c>
      <c r="B112" s="2">
        <v>1</v>
      </c>
      <c r="C112" s="2">
        <f>ROW(SmtRes!A105)</f>
        <v>105</v>
      </c>
      <c r="D112" s="2">
        <f>ROW(EtalonRes!A104)</f>
        <v>104</v>
      </c>
      <c r="E112" s="2" t="s">
        <v>197</v>
      </c>
      <c r="F112" s="2" t="s">
        <v>198</v>
      </c>
      <c r="G112" s="2" t="s">
        <v>199</v>
      </c>
      <c r="H112" s="2" t="s">
        <v>200</v>
      </c>
      <c r="I112" s="2">
        <v>0.03</v>
      </c>
      <c r="J112" s="2">
        <v>0</v>
      </c>
      <c r="K112" s="2"/>
      <c r="L112" s="2"/>
      <c r="M112" s="2"/>
      <c r="N112" s="2"/>
      <c r="O112" s="2">
        <f t="shared" si="86"/>
        <v>19.55</v>
      </c>
      <c r="P112" s="2">
        <f t="shared" si="87"/>
        <v>8.43</v>
      </c>
      <c r="Q112" s="2">
        <f t="shared" si="88"/>
        <v>2.2799999999999998</v>
      </c>
      <c r="R112" s="2">
        <f t="shared" si="89"/>
        <v>0.43</v>
      </c>
      <c r="S112" s="2">
        <f t="shared" si="90"/>
        <v>8.84</v>
      </c>
      <c r="T112" s="2">
        <f t="shared" si="91"/>
        <v>0</v>
      </c>
      <c r="U112" s="2">
        <f t="shared" si="92"/>
        <v>0.76139999999999997</v>
      </c>
      <c r="V112" s="2">
        <f t="shared" si="93"/>
        <v>0</v>
      </c>
      <c r="W112" s="2">
        <f t="shared" si="94"/>
        <v>0</v>
      </c>
      <c r="X112" s="2">
        <f t="shared" si="95"/>
        <v>0</v>
      </c>
      <c r="Y112" s="2">
        <f t="shared" si="96"/>
        <v>0</v>
      </c>
      <c r="Z112" s="2"/>
      <c r="AA112" s="2">
        <v>45037306</v>
      </c>
      <c r="AB112" s="2">
        <f t="shared" si="97"/>
        <v>651.774</v>
      </c>
      <c r="AC112" s="2">
        <f t="shared" ref="AC112:AF113" si="126">ROUND(((ES112*0.6)),6)</f>
        <v>281.07</v>
      </c>
      <c r="AD112" s="2">
        <f t="shared" si="126"/>
        <v>76.043999999999997</v>
      </c>
      <c r="AE112" s="2">
        <f t="shared" si="126"/>
        <v>14.214</v>
      </c>
      <c r="AF112" s="2">
        <f t="shared" si="126"/>
        <v>294.66000000000003</v>
      </c>
      <c r="AG112" s="2">
        <f t="shared" si="99"/>
        <v>0</v>
      </c>
      <c r="AH112" s="2">
        <f>((EW112*0.6))</f>
        <v>25.38</v>
      </c>
      <c r="AI112" s="2">
        <f>((EX112*0.6))</f>
        <v>0</v>
      </c>
      <c r="AJ112" s="2">
        <f t="shared" si="100"/>
        <v>0</v>
      </c>
      <c r="AK112" s="2">
        <v>1086.29</v>
      </c>
      <c r="AL112" s="2">
        <v>468.45</v>
      </c>
      <c r="AM112" s="2">
        <v>126.74</v>
      </c>
      <c r="AN112" s="2">
        <v>23.69</v>
      </c>
      <c r="AO112" s="2">
        <v>491.1</v>
      </c>
      <c r="AP112" s="2">
        <v>0</v>
      </c>
      <c r="AQ112" s="2">
        <v>42.3</v>
      </c>
      <c r="AR112" s="2">
        <v>0</v>
      </c>
      <c r="AS112" s="2">
        <v>0</v>
      </c>
      <c r="AT112" s="2">
        <v>0</v>
      </c>
      <c r="AU112" s="2">
        <v>0</v>
      </c>
      <c r="AV112" s="2">
        <v>1</v>
      </c>
      <c r="AW112" s="2">
        <v>1</v>
      </c>
      <c r="AX112" s="2"/>
      <c r="AY112" s="2"/>
      <c r="AZ112" s="2">
        <v>1</v>
      </c>
      <c r="BA112" s="2">
        <v>1</v>
      </c>
      <c r="BB112" s="2">
        <v>1</v>
      </c>
      <c r="BC112" s="2">
        <v>1</v>
      </c>
      <c r="BD112" s="2" t="s">
        <v>3</v>
      </c>
      <c r="BE112" s="2" t="s">
        <v>3</v>
      </c>
      <c r="BF112" s="2" t="s">
        <v>3</v>
      </c>
      <c r="BG112" s="2" t="s">
        <v>3</v>
      </c>
      <c r="BH112" s="2">
        <v>0</v>
      </c>
      <c r="BI112" s="2">
        <v>1</v>
      </c>
      <c r="BJ112" s="2" t="s">
        <v>201</v>
      </c>
      <c r="BK112" s="2"/>
      <c r="BL112" s="2"/>
      <c r="BM112" s="2">
        <v>66</v>
      </c>
      <c r="BN112" s="2">
        <v>7156650</v>
      </c>
      <c r="BO112" s="2" t="s">
        <v>3</v>
      </c>
      <c r="BP112" s="2">
        <v>0</v>
      </c>
      <c r="BQ112" s="2">
        <v>30</v>
      </c>
      <c r="BR112" s="2">
        <v>0</v>
      </c>
      <c r="BS112" s="2">
        <v>1</v>
      </c>
      <c r="BT112" s="2">
        <v>1</v>
      </c>
      <c r="BU112" s="2">
        <v>1</v>
      </c>
      <c r="BV112" s="2">
        <v>1</v>
      </c>
      <c r="BW112" s="2">
        <v>1</v>
      </c>
      <c r="BX112" s="2">
        <v>1</v>
      </c>
      <c r="BY112" s="2" t="s">
        <v>3</v>
      </c>
      <c r="BZ112" s="2">
        <v>0</v>
      </c>
      <c r="CA112" s="2">
        <v>0</v>
      </c>
      <c r="CB112" s="2"/>
      <c r="CC112" s="2"/>
      <c r="CD112" s="2"/>
      <c r="CE112" s="2"/>
      <c r="CF112" s="2">
        <v>0</v>
      </c>
      <c r="CG112" s="2">
        <v>0</v>
      </c>
      <c r="CH112" s="2"/>
      <c r="CI112" s="2"/>
      <c r="CJ112" s="2"/>
      <c r="CK112" s="2"/>
      <c r="CL112" s="2"/>
      <c r="CM112" s="2">
        <v>0</v>
      </c>
      <c r="CN112" s="2" t="s">
        <v>177</v>
      </c>
      <c r="CO112" s="2">
        <v>0</v>
      </c>
      <c r="CP112" s="2">
        <f t="shared" si="101"/>
        <v>19.549999999999997</v>
      </c>
      <c r="CQ112" s="2">
        <f t="shared" si="102"/>
        <v>281.07</v>
      </c>
      <c r="CR112" s="2">
        <f t="shared" si="103"/>
        <v>76.043999999999997</v>
      </c>
      <c r="CS112" s="2">
        <f t="shared" si="104"/>
        <v>14.214</v>
      </c>
      <c r="CT112" s="2">
        <f t="shared" si="105"/>
        <v>294.66000000000003</v>
      </c>
      <c r="CU112" s="2">
        <f t="shared" si="106"/>
        <v>0</v>
      </c>
      <c r="CV112" s="2">
        <f t="shared" si="107"/>
        <v>25.38</v>
      </c>
      <c r="CW112" s="2">
        <f t="shared" si="108"/>
        <v>0</v>
      </c>
      <c r="CX112" s="2">
        <f t="shared" si="109"/>
        <v>0</v>
      </c>
      <c r="CY112" s="2">
        <f t="shared" si="110"/>
        <v>0</v>
      </c>
      <c r="CZ112" s="2">
        <f t="shared" si="111"/>
        <v>0</v>
      </c>
      <c r="DA112" s="2"/>
      <c r="DB112" s="2"/>
      <c r="DC112" s="2" t="s">
        <v>3</v>
      </c>
      <c r="DD112" s="2" t="s">
        <v>178</v>
      </c>
      <c r="DE112" s="2" t="s">
        <v>178</v>
      </c>
      <c r="DF112" s="2" t="s">
        <v>178</v>
      </c>
      <c r="DG112" s="2" t="s">
        <v>178</v>
      </c>
      <c r="DH112" s="2" t="s">
        <v>3</v>
      </c>
      <c r="DI112" s="2" t="s">
        <v>178</v>
      </c>
      <c r="DJ112" s="2" t="s">
        <v>178</v>
      </c>
      <c r="DK112" s="2" t="s">
        <v>3</v>
      </c>
      <c r="DL112" s="2" t="s">
        <v>3</v>
      </c>
      <c r="DM112" s="2" t="s">
        <v>3</v>
      </c>
      <c r="DN112" s="2">
        <v>91</v>
      </c>
      <c r="DO112" s="2">
        <v>70</v>
      </c>
      <c r="DP112" s="2">
        <v>1.0669999999999999</v>
      </c>
      <c r="DQ112" s="2">
        <v>1.0249999999999999</v>
      </c>
      <c r="DR112" s="2"/>
      <c r="DS112" s="2"/>
      <c r="DT112" s="2"/>
      <c r="DU112" s="2">
        <v>1013</v>
      </c>
      <c r="DV112" s="2" t="s">
        <v>200</v>
      </c>
      <c r="DW112" s="2" t="s">
        <v>200</v>
      </c>
      <c r="DX112" s="2">
        <v>1</v>
      </c>
      <c r="DY112" s="2"/>
      <c r="DZ112" s="2"/>
      <c r="EA112" s="2"/>
      <c r="EB112" s="2"/>
      <c r="EC112" s="2"/>
      <c r="ED112" s="2"/>
      <c r="EE112" s="2">
        <v>44846573</v>
      </c>
      <c r="EF112" s="2">
        <v>30</v>
      </c>
      <c r="EG112" s="2" t="s">
        <v>38</v>
      </c>
      <c r="EH112" s="2">
        <v>0</v>
      </c>
      <c r="EI112" s="2" t="s">
        <v>3</v>
      </c>
      <c r="EJ112" s="2">
        <v>1</v>
      </c>
      <c r="EK112" s="2">
        <v>66</v>
      </c>
      <c r="EL112" s="2" t="s">
        <v>202</v>
      </c>
      <c r="EM112" s="2" t="s">
        <v>203</v>
      </c>
      <c r="EN112" s="2"/>
      <c r="EO112" s="2" t="s">
        <v>181</v>
      </c>
      <c r="EP112" s="2"/>
      <c r="EQ112" s="2">
        <v>131072</v>
      </c>
      <c r="ER112" s="2">
        <v>1086.29</v>
      </c>
      <c r="ES112" s="2">
        <v>468.45</v>
      </c>
      <c r="ET112" s="2">
        <v>126.74</v>
      </c>
      <c r="EU112" s="2">
        <v>23.69</v>
      </c>
      <c r="EV112" s="2">
        <v>491.1</v>
      </c>
      <c r="EW112" s="2">
        <v>42.3</v>
      </c>
      <c r="EX112" s="2">
        <v>0</v>
      </c>
      <c r="EY112" s="2">
        <v>0</v>
      </c>
      <c r="EZ112" s="2"/>
      <c r="FA112" s="2"/>
      <c r="FB112" s="2"/>
      <c r="FC112" s="2"/>
      <c r="FD112" s="2"/>
      <c r="FE112" s="2"/>
      <c r="FF112" s="2"/>
      <c r="FG112" s="2"/>
      <c r="FH112" s="2"/>
      <c r="FI112" s="2"/>
      <c r="FJ112" s="2"/>
      <c r="FK112" s="2"/>
      <c r="FL112" s="2"/>
      <c r="FM112" s="2"/>
      <c r="FN112" s="2"/>
      <c r="FO112" s="2"/>
      <c r="FP112" s="2"/>
      <c r="FQ112" s="2">
        <v>0</v>
      </c>
      <c r="FR112" s="2">
        <f t="shared" si="112"/>
        <v>0</v>
      </c>
      <c r="FS112" s="2">
        <v>0</v>
      </c>
      <c r="FT112" s="2"/>
      <c r="FU112" s="2"/>
      <c r="FV112" s="2"/>
      <c r="FW112" s="2"/>
      <c r="FX112" s="2">
        <v>91</v>
      </c>
      <c r="FY112" s="2">
        <v>70</v>
      </c>
      <c r="FZ112" s="2"/>
      <c r="GA112" s="2" t="s">
        <v>3</v>
      </c>
      <c r="GB112" s="2"/>
      <c r="GC112" s="2"/>
      <c r="GD112" s="2">
        <v>0</v>
      </c>
      <c r="GE112" s="2"/>
      <c r="GF112" s="2">
        <v>-541820042</v>
      </c>
      <c r="GG112" s="2">
        <v>2</v>
      </c>
      <c r="GH112" s="2">
        <v>1</v>
      </c>
      <c r="GI112" s="2">
        <v>3</v>
      </c>
      <c r="GJ112" s="2">
        <v>0</v>
      </c>
      <c r="GK112" s="2">
        <f>ROUND(R112*(R12)/100,2)</f>
        <v>0.77</v>
      </c>
      <c r="GL112" s="2">
        <f t="shared" si="113"/>
        <v>0</v>
      </c>
      <c r="GM112" s="2">
        <f t="shared" si="114"/>
        <v>20.32</v>
      </c>
      <c r="GN112" s="2">
        <f t="shared" si="115"/>
        <v>20.32</v>
      </c>
      <c r="GO112" s="2">
        <f t="shared" si="116"/>
        <v>0</v>
      </c>
      <c r="GP112" s="2">
        <f t="shared" si="117"/>
        <v>0</v>
      </c>
      <c r="GQ112" s="2"/>
      <c r="GR112" s="2">
        <v>0</v>
      </c>
      <c r="GS112" s="2">
        <v>3</v>
      </c>
      <c r="GT112" s="2">
        <v>0</v>
      </c>
      <c r="GU112" s="2" t="s">
        <v>3</v>
      </c>
      <c r="GV112" s="2">
        <f t="shared" si="118"/>
        <v>0</v>
      </c>
      <c r="GW112" s="2">
        <v>1</v>
      </c>
      <c r="GX112" s="2">
        <f t="shared" si="119"/>
        <v>0</v>
      </c>
      <c r="GY112" s="2"/>
      <c r="GZ112" s="2"/>
      <c r="HA112" s="2">
        <v>0</v>
      </c>
      <c r="HB112" s="2">
        <v>0</v>
      </c>
      <c r="HC112" s="2"/>
      <c r="HD112" s="2"/>
      <c r="HE112" s="2"/>
      <c r="HF112" s="2"/>
      <c r="HG112" s="2"/>
      <c r="HH112" s="2"/>
      <c r="HI112" s="2"/>
      <c r="HJ112" s="2"/>
      <c r="HK112" s="2"/>
      <c r="HL112" s="2"/>
      <c r="HM112" s="2"/>
      <c r="HN112" s="2"/>
      <c r="HO112" s="2"/>
      <c r="HP112" s="2"/>
      <c r="HQ112" s="2"/>
      <c r="HR112" s="2"/>
      <c r="HS112" s="2"/>
      <c r="HT112" s="2"/>
      <c r="HU112" s="2"/>
      <c r="HV112" s="2"/>
      <c r="HW112" s="2"/>
      <c r="HX112" s="2"/>
      <c r="HY112" s="2"/>
      <c r="HZ112" s="2"/>
      <c r="IA112" s="2"/>
      <c r="IB112" s="2"/>
      <c r="IC112" s="2"/>
      <c r="ID112" s="2"/>
      <c r="IE112" s="2"/>
      <c r="IF112" s="2"/>
      <c r="IG112" s="2"/>
      <c r="IH112" s="2"/>
      <c r="II112" s="2"/>
      <c r="IJ112" s="2"/>
      <c r="IK112" s="2">
        <v>0</v>
      </c>
      <c r="IL112" s="2"/>
      <c r="IM112" s="2"/>
      <c r="IN112" s="2"/>
      <c r="IO112" s="2"/>
      <c r="IP112" s="2"/>
      <c r="IQ112" s="2"/>
      <c r="IR112" s="2"/>
      <c r="IS112" s="2"/>
      <c r="IT112" s="2"/>
      <c r="IU112" s="2"/>
    </row>
    <row r="113" spans="1:255" x14ac:dyDescent="0.2">
      <c r="A113">
        <v>17</v>
      </c>
      <c r="B113">
        <v>1</v>
      </c>
      <c r="C113">
        <f>ROW(SmtRes!A110)</f>
        <v>110</v>
      </c>
      <c r="D113">
        <f>ROW(EtalonRes!A110)</f>
        <v>110</v>
      </c>
      <c r="E113" t="s">
        <v>197</v>
      </c>
      <c r="F113" t="s">
        <v>198</v>
      </c>
      <c r="G113" t="s">
        <v>199</v>
      </c>
      <c r="H113" t="s">
        <v>200</v>
      </c>
      <c r="I113">
        <v>0.03</v>
      </c>
      <c r="J113">
        <v>0</v>
      </c>
      <c r="O113">
        <f t="shared" si="86"/>
        <v>245.82</v>
      </c>
      <c r="P113">
        <f t="shared" si="87"/>
        <v>47.47</v>
      </c>
      <c r="Q113">
        <f t="shared" si="88"/>
        <v>18.02</v>
      </c>
      <c r="R113">
        <f t="shared" si="89"/>
        <v>8.6999999999999993</v>
      </c>
      <c r="S113">
        <f t="shared" si="90"/>
        <v>180.33</v>
      </c>
      <c r="T113">
        <f t="shared" si="91"/>
        <v>0</v>
      </c>
      <c r="U113">
        <f t="shared" si="92"/>
        <v>0.76139999999999997</v>
      </c>
      <c r="V113">
        <f t="shared" si="93"/>
        <v>0</v>
      </c>
      <c r="W113">
        <f t="shared" si="94"/>
        <v>0</v>
      </c>
      <c r="X113">
        <f t="shared" si="95"/>
        <v>131.63999999999999</v>
      </c>
      <c r="Y113">
        <f t="shared" si="96"/>
        <v>73.94</v>
      </c>
      <c r="AA113">
        <v>45037307</v>
      </c>
      <c r="AB113">
        <f t="shared" si="97"/>
        <v>651.774</v>
      </c>
      <c r="AC113">
        <f t="shared" si="126"/>
        <v>281.07</v>
      </c>
      <c r="AD113">
        <f t="shared" si="126"/>
        <v>76.043999999999997</v>
      </c>
      <c r="AE113">
        <f t="shared" si="126"/>
        <v>14.214</v>
      </c>
      <c r="AF113">
        <f t="shared" si="126"/>
        <v>294.66000000000003</v>
      </c>
      <c r="AG113">
        <f t="shared" si="99"/>
        <v>0</v>
      </c>
      <c r="AH113">
        <f>((EW113*0.6))</f>
        <v>25.38</v>
      </c>
      <c r="AI113">
        <f>((EX113*0.6))</f>
        <v>0</v>
      </c>
      <c r="AJ113">
        <f t="shared" si="100"/>
        <v>0</v>
      </c>
      <c r="AK113">
        <v>1086.29</v>
      </c>
      <c r="AL113">
        <v>468.45</v>
      </c>
      <c r="AM113">
        <v>126.74</v>
      </c>
      <c r="AN113">
        <v>23.69</v>
      </c>
      <c r="AO113">
        <v>491.1</v>
      </c>
      <c r="AP113">
        <v>0</v>
      </c>
      <c r="AQ113">
        <v>42.3</v>
      </c>
      <c r="AR113">
        <v>0</v>
      </c>
      <c r="AS113">
        <v>0</v>
      </c>
      <c r="AT113">
        <v>73</v>
      </c>
      <c r="AU113">
        <v>41</v>
      </c>
      <c r="AV113">
        <v>1</v>
      </c>
      <c r="AW113">
        <v>1</v>
      </c>
      <c r="AZ113">
        <v>1</v>
      </c>
      <c r="BA113">
        <v>20.399999999999999</v>
      </c>
      <c r="BB113">
        <v>7.9</v>
      </c>
      <c r="BC113">
        <v>5.63</v>
      </c>
      <c r="BD113" t="s">
        <v>3</v>
      </c>
      <c r="BE113" t="s">
        <v>3</v>
      </c>
      <c r="BF113" t="s">
        <v>3</v>
      </c>
      <c r="BG113" t="s">
        <v>3</v>
      </c>
      <c r="BH113">
        <v>0</v>
      </c>
      <c r="BI113">
        <v>1</v>
      </c>
      <c r="BJ113" t="s">
        <v>201</v>
      </c>
      <c r="BM113">
        <v>66</v>
      </c>
      <c r="BN113">
        <v>7156650</v>
      </c>
      <c r="BO113" t="s">
        <v>198</v>
      </c>
      <c r="BP113">
        <v>1</v>
      </c>
      <c r="BQ113">
        <v>30</v>
      </c>
      <c r="BR113">
        <v>0</v>
      </c>
      <c r="BS113">
        <v>20.399999999999999</v>
      </c>
      <c r="BT113">
        <v>1</v>
      </c>
      <c r="BU113">
        <v>1</v>
      </c>
      <c r="BV113">
        <v>1</v>
      </c>
      <c r="BW113">
        <v>1</v>
      </c>
      <c r="BX113">
        <v>1</v>
      </c>
      <c r="BY113" t="s">
        <v>3</v>
      </c>
      <c r="BZ113">
        <v>73</v>
      </c>
      <c r="CA113">
        <v>41</v>
      </c>
      <c r="CF113">
        <v>0</v>
      </c>
      <c r="CG113">
        <v>0</v>
      </c>
      <c r="CM113">
        <v>0</v>
      </c>
      <c r="CN113" t="s">
        <v>177</v>
      </c>
      <c r="CO113">
        <v>0</v>
      </c>
      <c r="CP113">
        <f t="shared" si="101"/>
        <v>245.82</v>
      </c>
      <c r="CQ113">
        <f t="shared" si="102"/>
        <v>1582.4241</v>
      </c>
      <c r="CR113">
        <f t="shared" si="103"/>
        <v>600.74760000000003</v>
      </c>
      <c r="CS113">
        <f t="shared" si="104"/>
        <v>289.96559999999999</v>
      </c>
      <c r="CT113">
        <f t="shared" si="105"/>
        <v>6011.0640000000003</v>
      </c>
      <c r="CU113">
        <f t="shared" si="106"/>
        <v>0</v>
      </c>
      <c r="CV113">
        <f t="shared" si="107"/>
        <v>25.38</v>
      </c>
      <c r="CW113">
        <f t="shared" si="108"/>
        <v>0</v>
      </c>
      <c r="CX113">
        <f t="shared" si="109"/>
        <v>0</v>
      </c>
      <c r="CY113">
        <f t="shared" si="110"/>
        <v>131.64090000000002</v>
      </c>
      <c r="CZ113">
        <f t="shared" si="111"/>
        <v>73.935299999999998</v>
      </c>
      <c r="DC113" t="s">
        <v>3</v>
      </c>
      <c r="DD113" t="s">
        <v>178</v>
      </c>
      <c r="DE113" t="s">
        <v>178</v>
      </c>
      <c r="DF113" t="s">
        <v>178</v>
      </c>
      <c r="DG113" t="s">
        <v>178</v>
      </c>
      <c r="DH113" t="s">
        <v>3</v>
      </c>
      <c r="DI113" t="s">
        <v>178</v>
      </c>
      <c r="DJ113" t="s">
        <v>178</v>
      </c>
      <c r="DK113" t="s">
        <v>3</v>
      </c>
      <c r="DL113" t="s">
        <v>3</v>
      </c>
      <c r="DM113" t="s">
        <v>3</v>
      </c>
      <c r="DN113">
        <v>91</v>
      </c>
      <c r="DO113">
        <v>70</v>
      </c>
      <c r="DP113">
        <v>1.0669999999999999</v>
      </c>
      <c r="DQ113">
        <v>1.0249999999999999</v>
      </c>
      <c r="DU113">
        <v>1013</v>
      </c>
      <c r="DV113" t="s">
        <v>200</v>
      </c>
      <c r="DW113" t="s">
        <v>200</v>
      </c>
      <c r="DX113">
        <v>1</v>
      </c>
      <c r="EE113">
        <v>44846573</v>
      </c>
      <c r="EF113">
        <v>30</v>
      </c>
      <c r="EG113" t="s">
        <v>38</v>
      </c>
      <c r="EH113">
        <v>0</v>
      </c>
      <c r="EI113" t="s">
        <v>3</v>
      </c>
      <c r="EJ113">
        <v>1</v>
      </c>
      <c r="EK113">
        <v>66</v>
      </c>
      <c r="EL113" t="s">
        <v>202</v>
      </c>
      <c r="EM113" t="s">
        <v>203</v>
      </c>
      <c r="EO113" t="s">
        <v>181</v>
      </c>
      <c r="EQ113">
        <v>131072</v>
      </c>
      <c r="ER113">
        <v>1086.29</v>
      </c>
      <c r="ES113">
        <v>468.45</v>
      </c>
      <c r="ET113">
        <v>126.74</v>
      </c>
      <c r="EU113">
        <v>23.69</v>
      </c>
      <c r="EV113">
        <v>491.1</v>
      </c>
      <c r="EW113">
        <v>42.3</v>
      </c>
      <c r="EX113">
        <v>0</v>
      </c>
      <c r="EY113">
        <v>0</v>
      </c>
      <c r="FQ113">
        <v>0</v>
      </c>
      <c r="FR113">
        <f t="shared" si="112"/>
        <v>0</v>
      </c>
      <c r="FS113">
        <v>0</v>
      </c>
      <c r="FX113">
        <v>91</v>
      </c>
      <c r="FY113">
        <v>70</v>
      </c>
      <c r="GA113" t="s">
        <v>3</v>
      </c>
      <c r="GD113">
        <v>0</v>
      </c>
      <c r="GF113">
        <v>-541820042</v>
      </c>
      <c r="GG113">
        <v>2</v>
      </c>
      <c r="GH113">
        <v>1</v>
      </c>
      <c r="GI113">
        <v>3</v>
      </c>
      <c r="GJ113">
        <v>0</v>
      </c>
      <c r="GK113">
        <f>ROUND(R113*(S12)/100,2)</f>
        <v>14.62</v>
      </c>
      <c r="GL113">
        <f t="shared" si="113"/>
        <v>0</v>
      </c>
      <c r="GM113">
        <f t="shared" si="114"/>
        <v>466.02</v>
      </c>
      <c r="GN113">
        <f t="shared" si="115"/>
        <v>466.02</v>
      </c>
      <c r="GO113">
        <f t="shared" si="116"/>
        <v>0</v>
      </c>
      <c r="GP113">
        <f t="shared" si="117"/>
        <v>0</v>
      </c>
      <c r="GR113">
        <v>0</v>
      </c>
      <c r="GS113">
        <v>3</v>
      </c>
      <c r="GT113">
        <v>0</v>
      </c>
      <c r="GU113" t="s">
        <v>3</v>
      </c>
      <c r="GV113">
        <f t="shared" si="118"/>
        <v>0</v>
      </c>
      <c r="GW113">
        <v>1</v>
      </c>
      <c r="GX113">
        <f t="shared" si="119"/>
        <v>0</v>
      </c>
      <c r="HA113">
        <v>0</v>
      </c>
      <c r="HB113">
        <v>0</v>
      </c>
      <c r="IK113">
        <v>0</v>
      </c>
    </row>
    <row r="114" spans="1:255" x14ac:dyDescent="0.2">
      <c r="A114" s="2">
        <v>18</v>
      </c>
      <c r="B114" s="2">
        <v>1</v>
      </c>
      <c r="C114" s="2">
        <v>105</v>
      </c>
      <c r="D114" s="2"/>
      <c r="E114" s="2" t="s">
        <v>204</v>
      </c>
      <c r="F114" s="2" t="s">
        <v>27</v>
      </c>
      <c r="G114" s="2" t="s">
        <v>50</v>
      </c>
      <c r="H114" s="2" t="s">
        <v>29</v>
      </c>
      <c r="I114" s="2">
        <f>I112*J114</f>
        <v>0.03</v>
      </c>
      <c r="J114" s="2">
        <v>1</v>
      </c>
      <c r="K114" s="2"/>
      <c r="L114" s="2"/>
      <c r="M114" s="2"/>
      <c r="N114" s="2"/>
      <c r="O114" s="2">
        <f t="shared" si="86"/>
        <v>0</v>
      </c>
      <c r="P114" s="2">
        <f t="shared" si="87"/>
        <v>0</v>
      </c>
      <c r="Q114" s="2">
        <f t="shared" si="88"/>
        <v>0</v>
      </c>
      <c r="R114" s="2">
        <f t="shared" si="89"/>
        <v>0</v>
      </c>
      <c r="S114" s="2">
        <f t="shared" si="90"/>
        <v>0</v>
      </c>
      <c r="T114" s="2">
        <f t="shared" si="91"/>
        <v>0</v>
      </c>
      <c r="U114" s="2">
        <f t="shared" si="92"/>
        <v>0</v>
      </c>
      <c r="V114" s="2">
        <f t="shared" si="93"/>
        <v>0</v>
      </c>
      <c r="W114" s="2">
        <f t="shared" si="94"/>
        <v>0</v>
      </c>
      <c r="X114" s="2">
        <f t="shared" si="95"/>
        <v>0</v>
      </c>
      <c r="Y114" s="2">
        <f t="shared" si="96"/>
        <v>0</v>
      </c>
      <c r="Z114" s="2"/>
      <c r="AA114" s="2">
        <v>45037306</v>
      </c>
      <c r="AB114" s="2">
        <f t="shared" si="97"/>
        <v>0</v>
      </c>
      <c r="AC114" s="2">
        <f t="shared" ref="AC114:AF115" si="127">ROUND((ES114),6)</f>
        <v>0</v>
      </c>
      <c r="AD114" s="2">
        <f t="shared" si="127"/>
        <v>0</v>
      </c>
      <c r="AE114" s="2">
        <f t="shared" si="127"/>
        <v>0</v>
      </c>
      <c r="AF114" s="2">
        <f t="shared" si="127"/>
        <v>0</v>
      </c>
      <c r="AG114" s="2">
        <f t="shared" si="99"/>
        <v>0</v>
      </c>
      <c r="AH114" s="2">
        <f>(EW114)</f>
        <v>0</v>
      </c>
      <c r="AI114" s="2">
        <f>(EX114)</f>
        <v>0</v>
      </c>
      <c r="AJ114" s="2">
        <f t="shared" si="100"/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1</v>
      </c>
      <c r="AW114" s="2">
        <v>1</v>
      </c>
      <c r="AX114" s="2"/>
      <c r="AY114" s="2"/>
      <c r="AZ114" s="2">
        <v>1</v>
      </c>
      <c r="BA114" s="2">
        <v>1</v>
      </c>
      <c r="BB114" s="2">
        <v>1</v>
      </c>
      <c r="BC114" s="2">
        <v>1</v>
      </c>
      <c r="BD114" s="2" t="s">
        <v>3</v>
      </c>
      <c r="BE114" s="2" t="s">
        <v>3</v>
      </c>
      <c r="BF114" s="2" t="s">
        <v>3</v>
      </c>
      <c r="BG114" s="2" t="s">
        <v>3</v>
      </c>
      <c r="BH114" s="2">
        <v>3</v>
      </c>
      <c r="BI114" s="2">
        <v>1</v>
      </c>
      <c r="BJ114" s="2" t="s">
        <v>3</v>
      </c>
      <c r="BK114" s="2"/>
      <c r="BL114" s="2"/>
      <c r="BM114" s="2">
        <v>66</v>
      </c>
      <c r="BN114" s="2">
        <v>7156650</v>
      </c>
      <c r="BO114" s="2" t="s">
        <v>3</v>
      </c>
      <c r="BP114" s="2">
        <v>0</v>
      </c>
      <c r="BQ114" s="2">
        <v>30</v>
      </c>
      <c r="BR114" s="2">
        <v>0</v>
      </c>
      <c r="BS114" s="2">
        <v>1</v>
      </c>
      <c r="BT114" s="2">
        <v>1</v>
      </c>
      <c r="BU114" s="2">
        <v>1</v>
      </c>
      <c r="BV114" s="2">
        <v>1</v>
      </c>
      <c r="BW114" s="2">
        <v>1</v>
      </c>
      <c r="BX114" s="2">
        <v>1</v>
      </c>
      <c r="BY114" s="2" t="s">
        <v>3</v>
      </c>
      <c r="BZ114" s="2">
        <v>0</v>
      </c>
      <c r="CA114" s="2">
        <v>0</v>
      </c>
      <c r="CB114" s="2"/>
      <c r="CC114" s="2"/>
      <c r="CD114" s="2"/>
      <c r="CE114" s="2"/>
      <c r="CF114" s="2">
        <v>0</v>
      </c>
      <c r="CG114" s="2">
        <v>0</v>
      </c>
      <c r="CH114" s="2"/>
      <c r="CI114" s="2"/>
      <c r="CJ114" s="2"/>
      <c r="CK114" s="2"/>
      <c r="CL114" s="2"/>
      <c r="CM114" s="2">
        <v>0</v>
      </c>
      <c r="CN114" s="2" t="s">
        <v>177</v>
      </c>
      <c r="CO114" s="2">
        <v>0</v>
      </c>
      <c r="CP114" s="2">
        <f t="shared" si="101"/>
        <v>0</v>
      </c>
      <c r="CQ114" s="2">
        <f t="shared" si="102"/>
        <v>0</v>
      </c>
      <c r="CR114" s="2">
        <f t="shared" si="103"/>
        <v>0</v>
      </c>
      <c r="CS114" s="2">
        <f t="shared" si="104"/>
        <v>0</v>
      </c>
      <c r="CT114" s="2">
        <f t="shared" si="105"/>
        <v>0</v>
      </c>
      <c r="CU114" s="2">
        <f t="shared" si="106"/>
        <v>0</v>
      </c>
      <c r="CV114" s="2">
        <f t="shared" si="107"/>
        <v>0</v>
      </c>
      <c r="CW114" s="2">
        <f t="shared" si="108"/>
        <v>0</v>
      </c>
      <c r="CX114" s="2">
        <f t="shared" si="109"/>
        <v>0</v>
      </c>
      <c r="CY114" s="2">
        <f t="shared" si="110"/>
        <v>0</v>
      </c>
      <c r="CZ114" s="2">
        <f t="shared" si="111"/>
        <v>0</v>
      </c>
      <c r="DA114" s="2"/>
      <c r="DB114" s="2"/>
      <c r="DC114" s="2" t="s">
        <v>3</v>
      </c>
      <c r="DD114" s="2" t="s">
        <v>3</v>
      </c>
      <c r="DE114" s="2" t="s">
        <v>3</v>
      </c>
      <c r="DF114" s="2" t="s">
        <v>3</v>
      </c>
      <c r="DG114" s="2" t="s">
        <v>3</v>
      </c>
      <c r="DH114" s="2" t="s">
        <v>3</v>
      </c>
      <c r="DI114" s="2" t="s">
        <v>3</v>
      </c>
      <c r="DJ114" s="2" t="s">
        <v>3</v>
      </c>
      <c r="DK114" s="2" t="s">
        <v>3</v>
      </c>
      <c r="DL114" s="2" t="s">
        <v>3</v>
      </c>
      <c r="DM114" s="2" t="s">
        <v>3</v>
      </c>
      <c r="DN114" s="2">
        <v>91</v>
      </c>
      <c r="DO114" s="2">
        <v>70</v>
      </c>
      <c r="DP114" s="2">
        <v>1.0669999999999999</v>
      </c>
      <c r="DQ114" s="2">
        <v>1.0249999999999999</v>
      </c>
      <c r="DR114" s="2"/>
      <c r="DS114" s="2"/>
      <c r="DT114" s="2"/>
      <c r="DU114" s="2">
        <v>1009</v>
      </c>
      <c r="DV114" s="2" t="s">
        <v>29</v>
      </c>
      <c r="DW114" s="2" t="s">
        <v>29</v>
      </c>
      <c r="DX114" s="2">
        <v>1000</v>
      </c>
      <c r="DY114" s="2"/>
      <c r="DZ114" s="2"/>
      <c r="EA114" s="2"/>
      <c r="EB114" s="2"/>
      <c r="EC114" s="2"/>
      <c r="ED114" s="2"/>
      <c r="EE114" s="2">
        <v>44846573</v>
      </c>
      <c r="EF114" s="2">
        <v>30</v>
      </c>
      <c r="EG114" s="2" t="s">
        <v>38</v>
      </c>
      <c r="EH114" s="2">
        <v>0</v>
      </c>
      <c r="EI114" s="2" t="s">
        <v>3</v>
      </c>
      <c r="EJ114" s="2">
        <v>1</v>
      </c>
      <c r="EK114" s="2">
        <v>66</v>
      </c>
      <c r="EL114" s="2" t="s">
        <v>202</v>
      </c>
      <c r="EM114" s="2" t="s">
        <v>203</v>
      </c>
      <c r="EN114" s="2"/>
      <c r="EO114" s="2" t="s">
        <v>181</v>
      </c>
      <c r="EP114" s="2"/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/>
      <c r="EZ114" s="2"/>
      <c r="FA114" s="2"/>
      <c r="FB114" s="2"/>
      <c r="FC114" s="2"/>
      <c r="FD114" s="2"/>
      <c r="FE114" s="2"/>
      <c r="FF114" s="2"/>
      <c r="FG114" s="2"/>
      <c r="FH114" s="2"/>
      <c r="FI114" s="2"/>
      <c r="FJ114" s="2"/>
      <c r="FK114" s="2"/>
      <c r="FL114" s="2"/>
      <c r="FM114" s="2"/>
      <c r="FN114" s="2"/>
      <c r="FO114" s="2"/>
      <c r="FP114" s="2"/>
      <c r="FQ114" s="2">
        <v>0</v>
      </c>
      <c r="FR114" s="2">
        <f t="shared" si="112"/>
        <v>0</v>
      </c>
      <c r="FS114" s="2">
        <v>0</v>
      </c>
      <c r="FT114" s="2"/>
      <c r="FU114" s="2"/>
      <c r="FV114" s="2"/>
      <c r="FW114" s="2"/>
      <c r="FX114" s="2">
        <v>91</v>
      </c>
      <c r="FY114" s="2">
        <v>70</v>
      </c>
      <c r="FZ114" s="2"/>
      <c r="GA114" s="2" t="s">
        <v>3</v>
      </c>
      <c r="GB114" s="2"/>
      <c r="GC114" s="2"/>
      <c r="GD114" s="2">
        <v>0</v>
      </c>
      <c r="GE114" s="2"/>
      <c r="GF114" s="2">
        <v>1489638031</v>
      </c>
      <c r="GG114" s="2">
        <v>2</v>
      </c>
      <c r="GH114" s="2">
        <v>1</v>
      </c>
      <c r="GI114" s="2">
        <v>3</v>
      </c>
      <c r="GJ114" s="2">
        <v>0</v>
      </c>
      <c r="GK114" s="2">
        <f>ROUND(R114*(R12)/100,2)</f>
        <v>0</v>
      </c>
      <c r="GL114" s="2">
        <f t="shared" si="113"/>
        <v>0</v>
      </c>
      <c r="GM114" s="2">
        <f t="shared" si="114"/>
        <v>0</v>
      </c>
      <c r="GN114" s="2">
        <f t="shared" si="115"/>
        <v>0</v>
      </c>
      <c r="GO114" s="2">
        <f t="shared" si="116"/>
        <v>0</v>
      </c>
      <c r="GP114" s="2">
        <f t="shared" si="117"/>
        <v>0</v>
      </c>
      <c r="GQ114" s="2"/>
      <c r="GR114" s="2">
        <v>0</v>
      </c>
      <c r="GS114" s="2">
        <v>3</v>
      </c>
      <c r="GT114" s="2">
        <v>0</v>
      </c>
      <c r="GU114" s="2" t="s">
        <v>3</v>
      </c>
      <c r="GV114" s="2">
        <f t="shared" si="118"/>
        <v>0</v>
      </c>
      <c r="GW114" s="2">
        <v>1</v>
      </c>
      <c r="GX114" s="2">
        <f t="shared" si="119"/>
        <v>0</v>
      </c>
      <c r="GY114" s="2"/>
      <c r="GZ114" s="2"/>
      <c r="HA114" s="2">
        <v>0</v>
      </c>
      <c r="HB114" s="2">
        <v>0</v>
      </c>
      <c r="HC114" s="2"/>
      <c r="HD114" s="2"/>
      <c r="HE114" s="2"/>
      <c r="HF114" s="2"/>
      <c r="HG114" s="2"/>
      <c r="HH114" s="2"/>
      <c r="HI114" s="2"/>
      <c r="HJ114" s="2"/>
      <c r="HK114" s="2"/>
      <c r="HL114" s="2"/>
      <c r="HM114" s="2"/>
      <c r="HN114" s="2"/>
      <c r="HO114" s="2"/>
      <c r="HP114" s="2"/>
      <c r="HQ114" s="2"/>
      <c r="HR114" s="2"/>
      <c r="HS114" s="2"/>
      <c r="HT114" s="2"/>
      <c r="HU114" s="2"/>
      <c r="HV114" s="2"/>
      <c r="HW114" s="2"/>
      <c r="HX114" s="2"/>
      <c r="HY114" s="2"/>
      <c r="HZ114" s="2"/>
      <c r="IA114" s="2"/>
      <c r="IB114" s="2"/>
      <c r="IC114" s="2"/>
      <c r="ID114" s="2"/>
      <c r="IE114" s="2"/>
      <c r="IF114" s="2"/>
      <c r="IG114" s="2"/>
      <c r="IH114" s="2"/>
      <c r="II114" s="2"/>
      <c r="IJ114" s="2"/>
      <c r="IK114" s="2">
        <v>0</v>
      </c>
      <c r="IL114" s="2"/>
      <c r="IM114" s="2"/>
      <c r="IN114" s="2"/>
      <c r="IO114" s="2"/>
      <c r="IP114" s="2"/>
      <c r="IQ114" s="2"/>
      <c r="IR114" s="2"/>
      <c r="IS114" s="2"/>
      <c r="IT114" s="2"/>
      <c r="IU114" s="2"/>
    </row>
    <row r="115" spans="1:255" x14ac:dyDescent="0.2">
      <c r="A115">
        <v>18</v>
      </c>
      <c r="B115">
        <v>1</v>
      </c>
      <c r="C115">
        <v>110</v>
      </c>
      <c r="E115" t="s">
        <v>204</v>
      </c>
      <c r="F115" t="s">
        <v>27</v>
      </c>
      <c r="G115" t="s">
        <v>50</v>
      </c>
      <c r="H115" t="s">
        <v>29</v>
      </c>
      <c r="I115">
        <f>I113*J115</f>
        <v>0.03</v>
      </c>
      <c r="J115">
        <v>1</v>
      </c>
      <c r="O115">
        <f t="shared" si="86"/>
        <v>0</v>
      </c>
      <c r="P115">
        <f t="shared" si="87"/>
        <v>0</v>
      </c>
      <c r="Q115">
        <f t="shared" si="88"/>
        <v>0</v>
      </c>
      <c r="R115">
        <f t="shared" si="89"/>
        <v>0</v>
      </c>
      <c r="S115">
        <f t="shared" si="90"/>
        <v>0</v>
      </c>
      <c r="T115">
        <f t="shared" si="91"/>
        <v>0</v>
      </c>
      <c r="U115">
        <f t="shared" si="92"/>
        <v>0</v>
      </c>
      <c r="V115">
        <f t="shared" si="93"/>
        <v>0</v>
      </c>
      <c r="W115">
        <f t="shared" si="94"/>
        <v>0</v>
      </c>
      <c r="X115">
        <f t="shared" si="95"/>
        <v>0</v>
      </c>
      <c r="Y115">
        <f t="shared" si="96"/>
        <v>0</v>
      </c>
      <c r="AA115">
        <v>45037307</v>
      </c>
      <c r="AB115">
        <f t="shared" si="97"/>
        <v>0</v>
      </c>
      <c r="AC115">
        <f t="shared" si="127"/>
        <v>0</v>
      </c>
      <c r="AD115">
        <f t="shared" si="127"/>
        <v>0</v>
      </c>
      <c r="AE115">
        <f t="shared" si="127"/>
        <v>0</v>
      </c>
      <c r="AF115">
        <f t="shared" si="127"/>
        <v>0</v>
      </c>
      <c r="AG115">
        <f t="shared" si="99"/>
        <v>0</v>
      </c>
      <c r="AH115">
        <f>(EW115)</f>
        <v>0</v>
      </c>
      <c r="AI115">
        <f>(EX115)</f>
        <v>0</v>
      </c>
      <c r="AJ115">
        <f t="shared" si="100"/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1</v>
      </c>
      <c r="AW115">
        <v>1</v>
      </c>
      <c r="AZ115">
        <v>1</v>
      </c>
      <c r="BA115">
        <v>1</v>
      </c>
      <c r="BB115">
        <v>1</v>
      </c>
      <c r="BC115">
        <v>1</v>
      </c>
      <c r="BD115" t="s">
        <v>3</v>
      </c>
      <c r="BE115" t="s">
        <v>3</v>
      </c>
      <c r="BF115" t="s">
        <v>3</v>
      </c>
      <c r="BG115" t="s">
        <v>3</v>
      </c>
      <c r="BH115">
        <v>3</v>
      </c>
      <c r="BI115">
        <v>1</v>
      </c>
      <c r="BJ115" t="s">
        <v>3</v>
      </c>
      <c r="BM115">
        <v>66</v>
      </c>
      <c r="BN115">
        <v>7156650</v>
      </c>
      <c r="BO115" t="s">
        <v>3</v>
      </c>
      <c r="BP115">
        <v>0</v>
      </c>
      <c r="BQ115">
        <v>30</v>
      </c>
      <c r="BR115">
        <v>0</v>
      </c>
      <c r="BS115">
        <v>1</v>
      </c>
      <c r="BT115">
        <v>1</v>
      </c>
      <c r="BU115">
        <v>1</v>
      </c>
      <c r="BV115">
        <v>1</v>
      </c>
      <c r="BW115">
        <v>1</v>
      </c>
      <c r="BX115">
        <v>1</v>
      </c>
      <c r="BY115" t="s">
        <v>3</v>
      </c>
      <c r="BZ115">
        <v>0</v>
      </c>
      <c r="CA115">
        <v>0</v>
      </c>
      <c r="CF115">
        <v>0</v>
      </c>
      <c r="CG115">
        <v>0</v>
      </c>
      <c r="CM115">
        <v>0</v>
      </c>
      <c r="CN115" t="s">
        <v>177</v>
      </c>
      <c r="CO115">
        <v>0</v>
      </c>
      <c r="CP115">
        <f t="shared" si="101"/>
        <v>0</v>
      </c>
      <c r="CQ115">
        <f t="shared" si="102"/>
        <v>0</v>
      </c>
      <c r="CR115">
        <f t="shared" si="103"/>
        <v>0</v>
      </c>
      <c r="CS115">
        <f t="shared" si="104"/>
        <v>0</v>
      </c>
      <c r="CT115">
        <f t="shared" si="105"/>
        <v>0</v>
      </c>
      <c r="CU115">
        <f t="shared" si="106"/>
        <v>0</v>
      </c>
      <c r="CV115">
        <f t="shared" si="107"/>
        <v>0</v>
      </c>
      <c r="CW115">
        <f t="shared" si="108"/>
        <v>0</v>
      </c>
      <c r="CX115">
        <f t="shared" si="109"/>
        <v>0</v>
      </c>
      <c r="CY115">
        <f t="shared" si="110"/>
        <v>0</v>
      </c>
      <c r="CZ115">
        <f t="shared" si="111"/>
        <v>0</v>
      </c>
      <c r="DC115" t="s">
        <v>3</v>
      </c>
      <c r="DD115" t="s">
        <v>3</v>
      </c>
      <c r="DE115" t="s">
        <v>3</v>
      </c>
      <c r="DF115" t="s">
        <v>3</v>
      </c>
      <c r="DG115" t="s">
        <v>3</v>
      </c>
      <c r="DH115" t="s">
        <v>3</v>
      </c>
      <c r="DI115" t="s">
        <v>3</v>
      </c>
      <c r="DJ115" t="s">
        <v>3</v>
      </c>
      <c r="DK115" t="s">
        <v>3</v>
      </c>
      <c r="DL115" t="s">
        <v>3</v>
      </c>
      <c r="DM115" t="s">
        <v>3</v>
      </c>
      <c r="DN115">
        <v>91</v>
      </c>
      <c r="DO115">
        <v>70</v>
      </c>
      <c r="DP115">
        <v>1.0669999999999999</v>
      </c>
      <c r="DQ115">
        <v>1.0249999999999999</v>
      </c>
      <c r="DU115">
        <v>1009</v>
      </c>
      <c r="DV115" t="s">
        <v>29</v>
      </c>
      <c r="DW115" t="s">
        <v>29</v>
      </c>
      <c r="DX115">
        <v>1000</v>
      </c>
      <c r="EE115">
        <v>44846573</v>
      </c>
      <c r="EF115">
        <v>30</v>
      </c>
      <c r="EG115" t="s">
        <v>38</v>
      </c>
      <c r="EH115">
        <v>0</v>
      </c>
      <c r="EI115" t="s">
        <v>3</v>
      </c>
      <c r="EJ115">
        <v>1</v>
      </c>
      <c r="EK115">
        <v>66</v>
      </c>
      <c r="EL115" t="s">
        <v>202</v>
      </c>
      <c r="EM115" t="s">
        <v>203</v>
      </c>
      <c r="EO115" t="s">
        <v>181</v>
      </c>
      <c r="EQ115">
        <v>0</v>
      </c>
      <c r="ER115">
        <v>0</v>
      </c>
      <c r="ES115">
        <v>0</v>
      </c>
      <c r="ET115">
        <v>0</v>
      </c>
      <c r="EU115">
        <v>0</v>
      </c>
      <c r="EV115">
        <v>0</v>
      </c>
      <c r="EW115">
        <v>0</v>
      </c>
      <c r="EX115">
        <v>0</v>
      </c>
      <c r="FQ115">
        <v>0</v>
      </c>
      <c r="FR115">
        <f t="shared" si="112"/>
        <v>0</v>
      </c>
      <c r="FS115">
        <v>0</v>
      </c>
      <c r="FX115">
        <v>91</v>
      </c>
      <c r="FY115">
        <v>70</v>
      </c>
      <c r="GA115" t="s">
        <v>3</v>
      </c>
      <c r="GD115">
        <v>0</v>
      </c>
      <c r="GF115">
        <v>1489638031</v>
      </c>
      <c r="GG115">
        <v>2</v>
      </c>
      <c r="GH115">
        <v>1</v>
      </c>
      <c r="GI115">
        <v>3</v>
      </c>
      <c r="GJ115">
        <v>0</v>
      </c>
      <c r="GK115">
        <f>ROUND(R115*(S12)/100,2)</f>
        <v>0</v>
      </c>
      <c r="GL115">
        <f t="shared" si="113"/>
        <v>0</v>
      </c>
      <c r="GM115">
        <f t="shared" si="114"/>
        <v>0</v>
      </c>
      <c r="GN115">
        <f t="shared" si="115"/>
        <v>0</v>
      </c>
      <c r="GO115">
        <f t="shared" si="116"/>
        <v>0</v>
      </c>
      <c r="GP115">
        <f t="shared" si="117"/>
        <v>0</v>
      </c>
      <c r="GR115">
        <v>0</v>
      </c>
      <c r="GS115">
        <v>3</v>
      </c>
      <c r="GT115">
        <v>0</v>
      </c>
      <c r="GU115" t="s">
        <v>3</v>
      </c>
      <c r="GV115">
        <f t="shared" si="118"/>
        <v>0</v>
      </c>
      <c r="GW115">
        <v>1</v>
      </c>
      <c r="GX115">
        <f t="shared" si="119"/>
        <v>0</v>
      </c>
      <c r="HA115">
        <v>0</v>
      </c>
      <c r="HB115">
        <v>0</v>
      </c>
      <c r="IK115">
        <v>0</v>
      </c>
    </row>
    <row r="117" spans="1:255" x14ac:dyDescent="0.2">
      <c r="A117" s="3">
        <v>51</v>
      </c>
      <c r="B117" s="3">
        <f>B96</f>
        <v>1</v>
      </c>
      <c r="C117" s="3">
        <f>A96</f>
        <v>5</v>
      </c>
      <c r="D117" s="3">
        <f>ROW(A96)</f>
        <v>96</v>
      </c>
      <c r="E117" s="3"/>
      <c r="F117" s="3" t="str">
        <f>IF(F96&lt;&gt;"",F96,"")</f>
        <v>Новый подраздел</v>
      </c>
      <c r="G117" s="3" t="str">
        <f>IF(G96&lt;&gt;"",G96,"")</f>
        <v>Входная группа</v>
      </c>
      <c r="H117" s="3">
        <v>0</v>
      </c>
      <c r="I117" s="3"/>
      <c r="J117" s="3"/>
      <c r="K117" s="3"/>
      <c r="L117" s="3"/>
      <c r="M117" s="3"/>
      <c r="N117" s="3"/>
      <c r="O117" s="3">
        <f t="shared" ref="O117:T117" si="128">ROUND(AB117,2)</f>
        <v>168.81</v>
      </c>
      <c r="P117" s="3">
        <f t="shared" si="128"/>
        <v>11.1</v>
      </c>
      <c r="Q117" s="3">
        <f t="shared" si="128"/>
        <v>45.47</v>
      </c>
      <c r="R117" s="3">
        <f t="shared" si="128"/>
        <v>9.2100000000000009</v>
      </c>
      <c r="S117" s="3">
        <f t="shared" si="128"/>
        <v>112.24</v>
      </c>
      <c r="T117" s="3">
        <f t="shared" si="128"/>
        <v>0</v>
      </c>
      <c r="U117" s="3">
        <f>AH117</f>
        <v>8.9279600000000006</v>
      </c>
      <c r="V117" s="3">
        <f>AI117</f>
        <v>0</v>
      </c>
      <c r="W117" s="3">
        <f>ROUND(AJ117,2)</f>
        <v>0</v>
      </c>
      <c r="X117" s="3">
        <f>ROUND(AK117,2)</f>
        <v>0</v>
      </c>
      <c r="Y117" s="3">
        <f>ROUND(AL117,2)</f>
        <v>0</v>
      </c>
      <c r="Z117" s="3"/>
      <c r="AA117" s="3"/>
      <c r="AB117" s="3">
        <f>ROUND(SUMIF(AA100:AA115,"=45037306",O100:O115),2)</f>
        <v>168.81</v>
      </c>
      <c r="AC117" s="3">
        <f>ROUND(SUMIF(AA100:AA115,"=45037306",P100:P115),2)</f>
        <v>11.1</v>
      </c>
      <c r="AD117" s="3">
        <f>ROUND(SUMIF(AA100:AA115,"=45037306",Q100:Q115),2)</f>
        <v>45.47</v>
      </c>
      <c r="AE117" s="3">
        <f>ROUND(SUMIF(AA100:AA115,"=45037306",R100:R115),2)</f>
        <v>9.2100000000000009</v>
      </c>
      <c r="AF117" s="3">
        <f>ROUND(SUMIF(AA100:AA115,"=45037306",S100:S115),2)</f>
        <v>112.24</v>
      </c>
      <c r="AG117" s="3">
        <f>ROUND(SUMIF(AA100:AA115,"=45037306",T100:T115),2)</f>
        <v>0</v>
      </c>
      <c r="AH117" s="3">
        <f>SUMIF(AA100:AA115,"=45037306",U100:U115)</f>
        <v>8.9279600000000006</v>
      </c>
      <c r="AI117" s="3">
        <f>SUMIF(AA100:AA115,"=45037306",V100:V115)</f>
        <v>0</v>
      </c>
      <c r="AJ117" s="3">
        <f>ROUND(SUMIF(AA100:AA115,"=45037306",W100:W115),2)</f>
        <v>0</v>
      </c>
      <c r="AK117" s="3">
        <f>ROUND(SUMIF(AA100:AA115,"=45037306",X100:X115),2)</f>
        <v>0</v>
      </c>
      <c r="AL117" s="3">
        <f>ROUND(SUMIF(AA100:AA115,"=45037306",Y100:Y115),2)</f>
        <v>0</v>
      </c>
      <c r="AM117" s="3"/>
      <c r="AN117" s="3"/>
      <c r="AO117" s="3">
        <f t="shared" ref="AO117:BC117" si="129">ROUND(BX117,2)</f>
        <v>0</v>
      </c>
      <c r="AP117" s="3">
        <f t="shared" si="129"/>
        <v>0</v>
      </c>
      <c r="AQ117" s="3">
        <f t="shared" si="129"/>
        <v>0</v>
      </c>
      <c r="AR117" s="3">
        <f t="shared" si="129"/>
        <v>185.38</v>
      </c>
      <c r="AS117" s="3">
        <f t="shared" si="129"/>
        <v>185.38</v>
      </c>
      <c r="AT117" s="3">
        <f t="shared" si="129"/>
        <v>0</v>
      </c>
      <c r="AU117" s="3">
        <f t="shared" si="129"/>
        <v>0</v>
      </c>
      <c r="AV117" s="3">
        <f t="shared" si="129"/>
        <v>11.1</v>
      </c>
      <c r="AW117" s="3">
        <f t="shared" si="129"/>
        <v>11.1</v>
      </c>
      <c r="AX117" s="3">
        <f t="shared" si="129"/>
        <v>0</v>
      </c>
      <c r="AY117" s="3">
        <f t="shared" si="129"/>
        <v>11.1</v>
      </c>
      <c r="AZ117" s="3">
        <f t="shared" si="129"/>
        <v>0</v>
      </c>
      <c r="BA117" s="3">
        <f t="shared" si="129"/>
        <v>0</v>
      </c>
      <c r="BB117" s="3">
        <f t="shared" si="129"/>
        <v>0</v>
      </c>
      <c r="BC117" s="3">
        <f t="shared" si="129"/>
        <v>0</v>
      </c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>
        <f>ROUND(SUMIF(AA100:AA115,"=45037306",FQ100:FQ115),2)</f>
        <v>0</v>
      </c>
      <c r="BY117" s="3">
        <f>ROUND(SUMIF(AA100:AA115,"=45037306",FR100:FR115),2)</f>
        <v>0</v>
      </c>
      <c r="BZ117" s="3">
        <f>ROUND(SUMIF(AA100:AA115,"=45037306",GL100:GL115),2)</f>
        <v>0</v>
      </c>
      <c r="CA117" s="3">
        <f>ROUND(SUMIF(AA100:AA115,"=45037306",GM100:GM115),2)</f>
        <v>185.38</v>
      </c>
      <c r="CB117" s="3">
        <f>ROUND(SUMIF(AA100:AA115,"=45037306",GN100:GN115),2)</f>
        <v>185.38</v>
      </c>
      <c r="CC117" s="3">
        <f>ROUND(SUMIF(AA100:AA115,"=45037306",GO100:GO115),2)</f>
        <v>0</v>
      </c>
      <c r="CD117" s="3">
        <f>ROUND(SUMIF(AA100:AA115,"=45037306",GP100:GP115),2)</f>
        <v>0</v>
      </c>
      <c r="CE117" s="3">
        <f>AC117-BX117</f>
        <v>11.1</v>
      </c>
      <c r="CF117" s="3">
        <f>AC117-BY117</f>
        <v>11.1</v>
      </c>
      <c r="CG117" s="3">
        <f>BX117-BZ117</f>
        <v>0</v>
      </c>
      <c r="CH117" s="3">
        <f>AC117-BX117-BY117+BZ117</f>
        <v>11.1</v>
      </c>
      <c r="CI117" s="3">
        <f>BY117-BZ117</f>
        <v>0</v>
      </c>
      <c r="CJ117" s="3">
        <f>ROUND(SUMIF(AA100:AA115,"=45037306",GX100:GX115),2)</f>
        <v>0</v>
      </c>
      <c r="CK117" s="3">
        <f>ROUND(SUMIF(AA100:AA115,"=45037306",GY100:GY115),2)</f>
        <v>0</v>
      </c>
      <c r="CL117" s="3">
        <f>ROUND(SUMIF(AA100:AA115,"=45037306",GZ100:GZ115),2)</f>
        <v>0</v>
      </c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4">
        <f t="shared" ref="DG117:DL117" si="130">ROUND(DT117,2)</f>
        <v>2736.92</v>
      </c>
      <c r="DH117" s="4">
        <f t="shared" si="130"/>
        <v>63.49</v>
      </c>
      <c r="DI117" s="4">
        <f t="shared" si="130"/>
        <v>383.72</v>
      </c>
      <c r="DJ117" s="4">
        <f t="shared" si="130"/>
        <v>187.76</v>
      </c>
      <c r="DK117" s="4">
        <f t="shared" si="130"/>
        <v>2289.71</v>
      </c>
      <c r="DL117" s="4">
        <f t="shared" si="130"/>
        <v>0</v>
      </c>
      <c r="DM117" s="4">
        <f>DZ117</f>
        <v>8.9279600000000006</v>
      </c>
      <c r="DN117" s="4">
        <f>EA117</f>
        <v>0</v>
      </c>
      <c r="DO117" s="4">
        <f>ROUND(EB117,2)</f>
        <v>0</v>
      </c>
      <c r="DP117" s="4">
        <f>ROUND(EC117,2)</f>
        <v>1566.02</v>
      </c>
      <c r="DQ117" s="4">
        <f>ROUND(ED117,2)</f>
        <v>938.78</v>
      </c>
      <c r="DR117" s="4"/>
      <c r="DS117" s="4"/>
      <c r="DT117" s="4">
        <f>ROUND(SUMIF(AA100:AA115,"=45037307",O100:O115),2)</f>
        <v>2736.92</v>
      </c>
      <c r="DU117" s="4">
        <f>ROUND(SUMIF(AA100:AA115,"=45037307",P100:P115),2)</f>
        <v>63.49</v>
      </c>
      <c r="DV117" s="4">
        <f>ROUND(SUMIF(AA100:AA115,"=45037307",Q100:Q115),2)</f>
        <v>383.72</v>
      </c>
      <c r="DW117" s="4">
        <f>ROUND(SUMIF(AA100:AA115,"=45037307",R100:R115),2)</f>
        <v>187.76</v>
      </c>
      <c r="DX117" s="4">
        <f>ROUND(SUMIF(AA100:AA115,"=45037307",S100:S115),2)</f>
        <v>2289.71</v>
      </c>
      <c r="DY117" s="4">
        <f>ROUND(SUMIF(AA100:AA115,"=45037307",T100:T115),2)</f>
        <v>0</v>
      </c>
      <c r="DZ117" s="4">
        <f>SUMIF(AA100:AA115,"=45037307",U100:U115)</f>
        <v>8.9279600000000006</v>
      </c>
      <c r="EA117" s="4">
        <f>SUMIF(AA100:AA115,"=45037307",V100:V115)</f>
        <v>0</v>
      </c>
      <c r="EB117" s="4">
        <f>ROUND(SUMIF(AA100:AA115,"=45037307",W100:W115),2)</f>
        <v>0</v>
      </c>
      <c r="EC117" s="4">
        <f>ROUND(SUMIF(AA100:AA115,"=45037307",X100:X115),2)</f>
        <v>1566.02</v>
      </c>
      <c r="ED117" s="4">
        <f>ROUND(SUMIF(AA100:AA115,"=45037307",Y100:Y115),2)</f>
        <v>938.78</v>
      </c>
      <c r="EE117" s="4"/>
      <c r="EF117" s="4"/>
      <c r="EG117" s="4">
        <f t="shared" ref="EG117:EU117" si="131">ROUND(FP117,2)</f>
        <v>0</v>
      </c>
      <c r="EH117" s="4">
        <f t="shared" si="131"/>
        <v>0</v>
      </c>
      <c r="EI117" s="4">
        <f t="shared" si="131"/>
        <v>0</v>
      </c>
      <c r="EJ117" s="4">
        <f t="shared" si="131"/>
        <v>5557.16</v>
      </c>
      <c r="EK117" s="4">
        <f t="shared" si="131"/>
        <v>5557.16</v>
      </c>
      <c r="EL117" s="4">
        <f t="shared" si="131"/>
        <v>0</v>
      </c>
      <c r="EM117" s="4">
        <f t="shared" si="131"/>
        <v>0</v>
      </c>
      <c r="EN117" s="4">
        <f t="shared" si="131"/>
        <v>63.49</v>
      </c>
      <c r="EO117" s="4">
        <f t="shared" si="131"/>
        <v>63.49</v>
      </c>
      <c r="EP117" s="4">
        <f t="shared" si="131"/>
        <v>0</v>
      </c>
      <c r="EQ117" s="4">
        <f t="shared" si="131"/>
        <v>63.49</v>
      </c>
      <c r="ER117" s="4">
        <f t="shared" si="131"/>
        <v>0</v>
      </c>
      <c r="ES117" s="4">
        <f t="shared" si="131"/>
        <v>0</v>
      </c>
      <c r="ET117" s="4">
        <f t="shared" si="131"/>
        <v>0</v>
      </c>
      <c r="EU117" s="4">
        <f t="shared" si="131"/>
        <v>0</v>
      </c>
      <c r="EV117" s="4"/>
      <c r="EW117" s="4"/>
      <c r="EX117" s="4"/>
      <c r="EY117" s="4"/>
      <c r="EZ117" s="4"/>
      <c r="FA117" s="4"/>
      <c r="FB117" s="4"/>
      <c r="FC117" s="4"/>
      <c r="FD117" s="4"/>
      <c r="FE117" s="4"/>
      <c r="FF117" s="4"/>
      <c r="FG117" s="4"/>
      <c r="FH117" s="4"/>
      <c r="FI117" s="4"/>
      <c r="FJ117" s="4"/>
      <c r="FK117" s="4"/>
      <c r="FL117" s="4"/>
      <c r="FM117" s="4"/>
      <c r="FN117" s="4"/>
      <c r="FO117" s="4"/>
      <c r="FP117" s="4">
        <f>ROUND(SUMIF(AA100:AA115,"=45037307",FQ100:FQ115),2)</f>
        <v>0</v>
      </c>
      <c r="FQ117" s="4">
        <f>ROUND(SUMIF(AA100:AA115,"=45037307",FR100:FR115),2)</f>
        <v>0</v>
      </c>
      <c r="FR117" s="4">
        <f>ROUND(SUMIF(AA100:AA115,"=45037307",GL100:GL115),2)</f>
        <v>0</v>
      </c>
      <c r="FS117" s="4">
        <f>ROUND(SUMIF(AA100:AA115,"=45037307",GM100:GM115),2)</f>
        <v>5557.16</v>
      </c>
      <c r="FT117" s="4">
        <f>ROUND(SUMIF(AA100:AA115,"=45037307",GN100:GN115),2)</f>
        <v>5557.16</v>
      </c>
      <c r="FU117" s="4">
        <f>ROUND(SUMIF(AA100:AA115,"=45037307",GO100:GO115),2)</f>
        <v>0</v>
      </c>
      <c r="FV117" s="4">
        <f>ROUND(SUMIF(AA100:AA115,"=45037307",GP100:GP115),2)</f>
        <v>0</v>
      </c>
      <c r="FW117" s="4">
        <f>DU117-FP117</f>
        <v>63.49</v>
      </c>
      <c r="FX117" s="4">
        <f>DU117-FQ117</f>
        <v>63.49</v>
      </c>
      <c r="FY117" s="4">
        <f>FP117-FR117</f>
        <v>0</v>
      </c>
      <c r="FZ117" s="4">
        <f>DU117-FP117-FQ117+FR117</f>
        <v>63.49</v>
      </c>
      <c r="GA117" s="4">
        <f>FQ117-FR117</f>
        <v>0</v>
      </c>
      <c r="GB117" s="4">
        <f>ROUND(SUMIF(AA100:AA115,"=45037307",GX100:GX115),2)</f>
        <v>0</v>
      </c>
      <c r="GC117" s="4">
        <f>ROUND(SUMIF(AA100:AA115,"=45037307",GY100:GY115),2)</f>
        <v>0</v>
      </c>
      <c r="GD117" s="4">
        <f>ROUND(SUMIF(AA100:AA115,"=45037307",GZ100:GZ115),2)</f>
        <v>0</v>
      </c>
      <c r="GE117" s="4"/>
      <c r="GF117" s="4"/>
      <c r="GG117" s="4"/>
      <c r="GH117" s="4"/>
      <c r="GI117" s="4"/>
      <c r="GJ117" s="4"/>
      <c r="GK117" s="4"/>
      <c r="GL117" s="4"/>
      <c r="GM117" s="4"/>
      <c r="GN117" s="4"/>
      <c r="GO117" s="4"/>
      <c r="GP117" s="4"/>
      <c r="GQ117" s="4"/>
      <c r="GR117" s="4"/>
      <c r="GS117" s="4"/>
      <c r="GT117" s="4"/>
      <c r="GU117" s="4"/>
      <c r="GV117" s="4"/>
      <c r="GW117" s="4"/>
      <c r="GX117" s="4">
        <v>0</v>
      </c>
    </row>
    <row r="119" spans="1:255" x14ac:dyDescent="0.2">
      <c r="A119" s="5">
        <v>50</v>
      </c>
      <c r="B119" s="5">
        <v>0</v>
      </c>
      <c r="C119" s="5">
        <v>0</v>
      </c>
      <c r="D119" s="5">
        <v>1</v>
      </c>
      <c r="E119" s="5">
        <v>201</v>
      </c>
      <c r="F119" s="5">
        <f>ROUND(Source!O117,O119)</f>
        <v>168.81</v>
      </c>
      <c r="G119" s="5" t="s">
        <v>117</v>
      </c>
      <c r="H119" s="5" t="s">
        <v>118</v>
      </c>
      <c r="I119" s="5"/>
      <c r="J119" s="5"/>
      <c r="K119" s="5">
        <v>201</v>
      </c>
      <c r="L119" s="5">
        <v>1</v>
      </c>
      <c r="M119" s="5">
        <v>3</v>
      </c>
      <c r="N119" s="5" t="s">
        <v>3</v>
      </c>
      <c r="O119" s="5">
        <v>2</v>
      </c>
      <c r="P119" s="5">
        <f>ROUND(Source!DG117,O119)</f>
        <v>2736.92</v>
      </c>
      <c r="Q119" s="5"/>
      <c r="R119" s="5"/>
      <c r="S119" s="5"/>
      <c r="T119" s="5"/>
      <c r="U119" s="5"/>
      <c r="V119" s="5"/>
      <c r="W119" s="5"/>
    </row>
    <row r="120" spans="1:255" x14ac:dyDescent="0.2">
      <c r="A120" s="5">
        <v>50</v>
      </c>
      <c r="B120" s="5">
        <v>0</v>
      </c>
      <c r="C120" s="5">
        <v>0</v>
      </c>
      <c r="D120" s="5">
        <v>1</v>
      </c>
      <c r="E120" s="5">
        <v>202</v>
      </c>
      <c r="F120" s="5">
        <f>ROUND(Source!P117,O120)</f>
        <v>11.1</v>
      </c>
      <c r="G120" s="5" t="s">
        <v>119</v>
      </c>
      <c r="H120" s="5" t="s">
        <v>120</v>
      </c>
      <c r="I120" s="5"/>
      <c r="J120" s="5"/>
      <c r="K120" s="5">
        <v>202</v>
      </c>
      <c r="L120" s="5">
        <v>2</v>
      </c>
      <c r="M120" s="5">
        <v>3</v>
      </c>
      <c r="N120" s="5" t="s">
        <v>3</v>
      </c>
      <c r="O120" s="5">
        <v>2</v>
      </c>
      <c r="P120" s="5">
        <f>ROUND(Source!DH117,O120)</f>
        <v>63.49</v>
      </c>
      <c r="Q120" s="5"/>
      <c r="R120" s="5"/>
      <c r="S120" s="5"/>
      <c r="T120" s="5"/>
      <c r="U120" s="5"/>
      <c r="V120" s="5"/>
      <c r="W120" s="5"/>
    </row>
    <row r="121" spans="1:255" x14ac:dyDescent="0.2">
      <c r="A121" s="5">
        <v>50</v>
      </c>
      <c r="B121" s="5">
        <v>0</v>
      </c>
      <c r="C121" s="5">
        <v>0</v>
      </c>
      <c r="D121" s="5">
        <v>1</v>
      </c>
      <c r="E121" s="5">
        <v>227</v>
      </c>
      <c r="F121" s="5">
        <f>ROUND(Source!AO117,O121)</f>
        <v>0</v>
      </c>
      <c r="G121" s="5" t="s">
        <v>121</v>
      </c>
      <c r="H121" s="5" t="s">
        <v>122</v>
      </c>
      <c r="I121" s="5"/>
      <c r="J121" s="5"/>
      <c r="K121" s="5">
        <v>222</v>
      </c>
      <c r="L121" s="5">
        <v>3</v>
      </c>
      <c r="M121" s="5">
        <v>3</v>
      </c>
      <c r="N121" s="5" t="s">
        <v>3</v>
      </c>
      <c r="O121" s="5">
        <v>2</v>
      </c>
      <c r="P121" s="5">
        <f>ROUND(Source!EG117,O121)</f>
        <v>0</v>
      </c>
      <c r="Q121" s="5"/>
      <c r="R121" s="5"/>
      <c r="S121" s="5"/>
      <c r="T121" s="5"/>
      <c r="U121" s="5"/>
      <c r="V121" s="5"/>
      <c r="W121" s="5"/>
    </row>
    <row r="122" spans="1:255" x14ac:dyDescent="0.2">
      <c r="A122" s="5">
        <v>50</v>
      </c>
      <c r="B122" s="5">
        <v>0</v>
      </c>
      <c r="C122" s="5">
        <v>0</v>
      </c>
      <c r="D122" s="5">
        <v>1</v>
      </c>
      <c r="E122" s="5">
        <v>225</v>
      </c>
      <c r="F122" s="5">
        <f>ROUND(Source!AV117,O122)</f>
        <v>11.1</v>
      </c>
      <c r="G122" s="5" t="s">
        <v>123</v>
      </c>
      <c r="H122" s="5" t="s">
        <v>124</v>
      </c>
      <c r="I122" s="5"/>
      <c r="J122" s="5"/>
      <c r="K122" s="5">
        <v>225</v>
      </c>
      <c r="L122" s="5">
        <v>4</v>
      </c>
      <c r="M122" s="5">
        <v>3</v>
      </c>
      <c r="N122" s="5" t="s">
        <v>3</v>
      </c>
      <c r="O122" s="5">
        <v>2</v>
      </c>
      <c r="P122" s="5">
        <f>ROUND(Source!EN117,O122)</f>
        <v>63.49</v>
      </c>
      <c r="Q122" s="5"/>
      <c r="R122" s="5"/>
      <c r="S122" s="5"/>
      <c r="T122" s="5"/>
      <c r="U122" s="5"/>
      <c r="V122" s="5"/>
      <c r="W122" s="5"/>
    </row>
    <row r="123" spans="1:255" x14ac:dyDescent="0.2">
      <c r="A123" s="5">
        <v>50</v>
      </c>
      <c r="B123" s="5">
        <v>0</v>
      </c>
      <c r="C123" s="5">
        <v>0</v>
      </c>
      <c r="D123" s="5">
        <v>1</v>
      </c>
      <c r="E123" s="5">
        <v>226</v>
      </c>
      <c r="F123" s="5">
        <f>ROUND(Source!AW117,O123)</f>
        <v>11.1</v>
      </c>
      <c r="G123" s="5" t="s">
        <v>125</v>
      </c>
      <c r="H123" s="5" t="s">
        <v>126</v>
      </c>
      <c r="I123" s="5"/>
      <c r="J123" s="5"/>
      <c r="K123" s="5">
        <v>226</v>
      </c>
      <c r="L123" s="5">
        <v>5</v>
      </c>
      <c r="M123" s="5">
        <v>3</v>
      </c>
      <c r="N123" s="5" t="s">
        <v>3</v>
      </c>
      <c r="O123" s="5">
        <v>2</v>
      </c>
      <c r="P123" s="5">
        <f>ROUND(Source!EO117,O123)</f>
        <v>63.49</v>
      </c>
      <c r="Q123" s="5"/>
      <c r="R123" s="5"/>
      <c r="S123" s="5"/>
      <c r="T123" s="5"/>
      <c r="U123" s="5"/>
      <c r="V123" s="5"/>
      <c r="W123" s="5"/>
    </row>
    <row r="124" spans="1:255" x14ac:dyDescent="0.2">
      <c r="A124" s="5">
        <v>50</v>
      </c>
      <c r="B124" s="5">
        <v>0</v>
      </c>
      <c r="C124" s="5">
        <v>0</v>
      </c>
      <c r="D124" s="5">
        <v>1</v>
      </c>
      <c r="E124" s="5">
        <v>0</v>
      </c>
      <c r="F124" s="5">
        <f>ROUND(Source!AX117,O124)</f>
        <v>0</v>
      </c>
      <c r="G124" s="5" t="s">
        <v>127</v>
      </c>
      <c r="H124" s="5" t="s">
        <v>128</v>
      </c>
      <c r="I124" s="5"/>
      <c r="J124" s="5"/>
      <c r="K124" s="5">
        <v>227</v>
      </c>
      <c r="L124" s="5">
        <v>6</v>
      </c>
      <c r="M124" s="5">
        <v>3</v>
      </c>
      <c r="N124" s="5" t="s">
        <v>3</v>
      </c>
      <c r="O124" s="5">
        <v>2</v>
      </c>
      <c r="P124" s="5">
        <f>ROUND(Source!EP117,O124)</f>
        <v>0</v>
      </c>
      <c r="Q124" s="5"/>
      <c r="R124" s="5"/>
      <c r="S124" s="5"/>
      <c r="T124" s="5"/>
      <c r="U124" s="5"/>
      <c r="V124" s="5"/>
      <c r="W124" s="5"/>
    </row>
    <row r="125" spans="1:255" x14ac:dyDescent="0.2">
      <c r="A125" s="5">
        <v>50</v>
      </c>
      <c r="B125" s="5">
        <v>0</v>
      </c>
      <c r="C125" s="5">
        <v>0</v>
      </c>
      <c r="D125" s="5">
        <v>1</v>
      </c>
      <c r="E125" s="5">
        <v>228</v>
      </c>
      <c r="F125" s="5">
        <f>ROUND(Source!AY117,O125)</f>
        <v>11.1</v>
      </c>
      <c r="G125" s="5" t="s">
        <v>129</v>
      </c>
      <c r="H125" s="5" t="s">
        <v>130</v>
      </c>
      <c r="I125" s="5"/>
      <c r="J125" s="5"/>
      <c r="K125" s="5">
        <v>228</v>
      </c>
      <c r="L125" s="5">
        <v>7</v>
      </c>
      <c r="M125" s="5">
        <v>3</v>
      </c>
      <c r="N125" s="5" t="s">
        <v>3</v>
      </c>
      <c r="O125" s="5">
        <v>2</v>
      </c>
      <c r="P125" s="5">
        <f>ROUND(Source!EQ117,O125)</f>
        <v>63.49</v>
      </c>
      <c r="Q125" s="5"/>
      <c r="R125" s="5"/>
      <c r="S125" s="5"/>
      <c r="T125" s="5"/>
      <c r="U125" s="5"/>
      <c r="V125" s="5"/>
      <c r="W125" s="5"/>
    </row>
    <row r="126" spans="1:255" x14ac:dyDescent="0.2">
      <c r="A126" s="5">
        <v>50</v>
      </c>
      <c r="B126" s="5">
        <v>0</v>
      </c>
      <c r="C126" s="5">
        <v>0</v>
      </c>
      <c r="D126" s="5">
        <v>1</v>
      </c>
      <c r="E126" s="5">
        <v>216</v>
      </c>
      <c r="F126" s="5">
        <f>ROUND(Source!AP117,O126)</f>
        <v>0</v>
      </c>
      <c r="G126" s="5" t="s">
        <v>131</v>
      </c>
      <c r="H126" s="5" t="s">
        <v>132</v>
      </c>
      <c r="I126" s="5"/>
      <c r="J126" s="5"/>
      <c r="K126" s="5">
        <v>216</v>
      </c>
      <c r="L126" s="5">
        <v>8</v>
      </c>
      <c r="M126" s="5">
        <v>3</v>
      </c>
      <c r="N126" s="5" t="s">
        <v>3</v>
      </c>
      <c r="O126" s="5">
        <v>2</v>
      </c>
      <c r="P126" s="5">
        <f>ROUND(Source!EH117,O126)</f>
        <v>0</v>
      </c>
      <c r="Q126" s="5"/>
      <c r="R126" s="5"/>
      <c r="S126" s="5"/>
      <c r="T126" s="5"/>
      <c r="U126" s="5"/>
      <c r="V126" s="5"/>
      <c r="W126" s="5"/>
    </row>
    <row r="127" spans="1:255" x14ac:dyDescent="0.2">
      <c r="A127" s="5">
        <v>50</v>
      </c>
      <c r="B127" s="5">
        <v>0</v>
      </c>
      <c r="C127" s="5">
        <v>0</v>
      </c>
      <c r="D127" s="5">
        <v>1</v>
      </c>
      <c r="E127" s="5">
        <v>223</v>
      </c>
      <c r="F127" s="5">
        <f>ROUND(Source!AQ117,O127)</f>
        <v>0</v>
      </c>
      <c r="G127" s="5" t="s">
        <v>133</v>
      </c>
      <c r="H127" s="5" t="s">
        <v>134</v>
      </c>
      <c r="I127" s="5"/>
      <c r="J127" s="5"/>
      <c r="K127" s="5">
        <v>223</v>
      </c>
      <c r="L127" s="5">
        <v>9</v>
      </c>
      <c r="M127" s="5">
        <v>3</v>
      </c>
      <c r="N127" s="5" t="s">
        <v>3</v>
      </c>
      <c r="O127" s="5">
        <v>2</v>
      </c>
      <c r="P127" s="5">
        <f>ROUND(Source!EI117,O127)</f>
        <v>0</v>
      </c>
      <c r="Q127" s="5"/>
      <c r="R127" s="5"/>
      <c r="S127" s="5"/>
      <c r="T127" s="5"/>
      <c r="U127" s="5"/>
      <c r="V127" s="5"/>
      <c r="W127" s="5"/>
    </row>
    <row r="128" spans="1:255" x14ac:dyDescent="0.2">
      <c r="A128" s="5">
        <v>50</v>
      </c>
      <c r="B128" s="5">
        <v>0</v>
      </c>
      <c r="C128" s="5">
        <v>0</v>
      </c>
      <c r="D128" s="5">
        <v>1</v>
      </c>
      <c r="E128" s="5">
        <v>229</v>
      </c>
      <c r="F128" s="5">
        <f>ROUND(Source!AZ117,O128)</f>
        <v>0</v>
      </c>
      <c r="G128" s="5" t="s">
        <v>135</v>
      </c>
      <c r="H128" s="5" t="s">
        <v>136</v>
      </c>
      <c r="I128" s="5"/>
      <c r="J128" s="5"/>
      <c r="K128" s="5">
        <v>229</v>
      </c>
      <c r="L128" s="5">
        <v>10</v>
      </c>
      <c r="M128" s="5">
        <v>3</v>
      </c>
      <c r="N128" s="5" t="s">
        <v>3</v>
      </c>
      <c r="O128" s="5">
        <v>2</v>
      </c>
      <c r="P128" s="5">
        <f>ROUND(Source!ER117,O128)</f>
        <v>0</v>
      </c>
      <c r="Q128" s="5"/>
      <c r="R128" s="5"/>
      <c r="S128" s="5"/>
      <c r="T128" s="5"/>
      <c r="U128" s="5"/>
      <c r="V128" s="5"/>
      <c r="W128" s="5"/>
    </row>
    <row r="129" spans="1:23" x14ac:dyDescent="0.2">
      <c r="A129" s="5">
        <v>50</v>
      </c>
      <c r="B129" s="5">
        <v>0</v>
      </c>
      <c r="C129" s="5">
        <v>0</v>
      </c>
      <c r="D129" s="5">
        <v>1</v>
      </c>
      <c r="E129" s="5">
        <v>203</v>
      </c>
      <c r="F129" s="5">
        <f>ROUND(Source!Q117,O129)</f>
        <v>45.47</v>
      </c>
      <c r="G129" s="5" t="s">
        <v>137</v>
      </c>
      <c r="H129" s="5" t="s">
        <v>138</v>
      </c>
      <c r="I129" s="5"/>
      <c r="J129" s="5"/>
      <c r="K129" s="5">
        <v>203</v>
      </c>
      <c r="L129" s="5">
        <v>11</v>
      </c>
      <c r="M129" s="5">
        <v>3</v>
      </c>
      <c r="N129" s="5" t="s">
        <v>3</v>
      </c>
      <c r="O129" s="5">
        <v>2</v>
      </c>
      <c r="P129" s="5">
        <f>ROUND(Source!DI117,O129)</f>
        <v>383.72</v>
      </c>
      <c r="Q129" s="5"/>
      <c r="R129" s="5"/>
      <c r="S129" s="5"/>
      <c r="T129" s="5"/>
      <c r="U129" s="5"/>
      <c r="V129" s="5"/>
      <c r="W129" s="5"/>
    </row>
    <row r="130" spans="1:23" x14ac:dyDescent="0.2">
      <c r="A130" s="5">
        <v>50</v>
      </c>
      <c r="B130" s="5">
        <v>0</v>
      </c>
      <c r="C130" s="5">
        <v>0</v>
      </c>
      <c r="D130" s="5">
        <v>1</v>
      </c>
      <c r="E130" s="5">
        <v>231</v>
      </c>
      <c r="F130" s="5">
        <f>ROUND(Source!BB117,O130)</f>
        <v>0</v>
      </c>
      <c r="G130" s="5" t="s">
        <v>139</v>
      </c>
      <c r="H130" s="5" t="s">
        <v>140</v>
      </c>
      <c r="I130" s="5"/>
      <c r="J130" s="5"/>
      <c r="K130" s="5">
        <v>231</v>
      </c>
      <c r="L130" s="5">
        <v>12</v>
      </c>
      <c r="M130" s="5">
        <v>3</v>
      </c>
      <c r="N130" s="5" t="s">
        <v>3</v>
      </c>
      <c r="O130" s="5">
        <v>2</v>
      </c>
      <c r="P130" s="5">
        <f>ROUND(Source!ET117,O130)</f>
        <v>0</v>
      </c>
      <c r="Q130" s="5"/>
      <c r="R130" s="5"/>
      <c r="S130" s="5"/>
      <c r="T130" s="5"/>
      <c r="U130" s="5"/>
      <c r="V130" s="5"/>
      <c r="W130" s="5"/>
    </row>
    <row r="131" spans="1:23" x14ac:dyDescent="0.2">
      <c r="A131" s="5">
        <v>50</v>
      </c>
      <c r="B131" s="5">
        <v>0</v>
      </c>
      <c r="C131" s="5">
        <v>0</v>
      </c>
      <c r="D131" s="5">
        <v>1</v>
      </c>
      <c r="E131" s="5">
        <v>204</v>
      </c>
      <c r="F131" s="5">
        <f>ROUND(Source!R117,O131)</f>
        <v>9.2100000000000009</v>
      </c>
      <c r="G131" s="5" t="s">
        <v>141</v>
      </c>
      <c r="H131" s="5" t="s">
        <v>142</v>
      </c>
      <c r="I131" s="5"/>
      <c r="J131" s="5"/>
      <c r="K131" s="5">
        <v>204</v>
      </c>
      <c r="L131" s="5">
        <v>13</v>
      </c>
      <c r="M131" s="5">
        <v>3</v>
      </c>
      <c r="N131" s="5" t="s">
        <v>3</v>
      </c>
      <c r="O131" s="5">
        <v>2</v>
      </c>
      <c r="P131" s="5">
        <f>ROUND(Source!DJ117,O131)</f>
        <v>187.76</v>
      </c>
      <c r="Q131" s="5"/>
      <c r="R131" s="5"/>
      <c r="S131" s="5"/>
      <c r="T131" s="5"/>
      <c r="U131" s="5"/>
      <c r="V131" s="5"/>
      <c r="W131" s="5"/>
    </row>
    <row r="132" spans="1:23" x14ac:dyDescent="0.2">
      <c r="A132" s="5">
        <v>50</v>
      </c>
      <c r="B132" s="5">
        <v>0</v>
      </c>
      <c r="C132" s="5">
        <v>0</v>
      </c>
      <c r="D132" s="5">
        <v>1</v>
      </c>
      <c r="E132" s="5">
        <v>205</v>
      </c>
      <c r="F132" s="5">
        <f>ROUND(Source!S117,O132)</f>
        <v>112.24</v>
      </c>
      <c r="G132" s="5" t="s">
        <v>143</v>
      </c>
      <c r="H132" s="5" t="s">
        <v>144</v>
      </c>
      <c r="I132" s="5"/>
      <c r="J132" s="5"/>
      <c r="K132" s="5">
        <v>205</v>
      </c>
      <c r="L132" s="5">
        <v>14</v>
      </c>
      <c r="M132" s="5">
        <v>3</v>
      </c>
      <c r="N132" s="5" t="s">
        <v>3</v>
      </c>
      <c r="O132" s="5">
        <v>2</v>
      </c>
      <c r="P132" s="5">
        <f>ROUND(Source!DK117,O132)</f>
        <v>2289.71</v>
      </c>
      <c r="Q132" s="5"/>
      <c r="R132" s="5"/>
      <c r="S132" s="5"/>
      <c r="T132" s="5"/>
      <c r="U132" s="5"/>
      <c r="V132" s="5"/>
      <c r="W132" s="5"/>
    </row>
    <row r="133" spans="1:23" x14ac:dyDescent="0.2">
      <c r="A133" s="5">
        <v>50</v>
      </c>
      <c r="B133" s="5">
        <v>0</v>
      </c>
      <c r="C133" s="5">
        <v>0</v>
      </c>
      <c r="D133" s="5">
        <v>1</v>
      </c>
      <c r="E133" s="5">
        <v>232</v>
      </c>
      <c r="F133" s="5">
        <f>ROUND(Source!BC117,O133)</f>
        <v>0</v>
      </c>
      <c r="G133" s="5" t="s">
        <v>145</v>
      </c>
      <c r="H133" s="5" t="s">
        <v>146</v>
      </c>
      <c r="I133" s="5"/>
      <c r="J133" s="5"/>
      <c r="K133" s="5">
        <v>232</v>
      </c>
      <c r="L133" s="5">
        <v>15</v>
      </c>
      <c r="M133" s="5">
        <v>3</v>
      </c>
      <c r="N133" s="5" t="s">
        <v>3</v>
      </c>
      <c r="O133" s="5">
        <v>2</v>
      </c>
      <c r="P133" s="5">
        <f>ROUND(Source!EU117,O133)</f>
        <v>0</v>
      </c>
      <c r="Q133" s="5"/>
      <c r="R133" s="5"/>
      <c r="S133" s="5"/>
      <c r="T133" s="5"/>
      <c r="U133" s="5"/>
      <c r="V133" s="5"/>
      <c r="W133" s="5"/>
    </row>
    <row r="134" spans="1:23" x14ac:dyDescent="0.2">
      <c r="A134" s="5">
        <v>50</v>
      </c>
      <c r="B134" s="5">
        <v>0</v>
      </c>
      <c r="C134" s="5">
        <v>0</v>
      </c>
      <c r="D134" s="5">
        <v>1</v>
      </c>
      <c r="E134" s="5">
        <v>214</v>
      </c>
      <c r="F134" s="5">
        <f>ROUND(Source!AS117,O134)</f>
        <v>185.38</v>
      </c>
      <c r="G134" s="5" t="s">
        <v>147</v>
      </c>
      <c r="H134" s="5" t="s">
        <v>148</v>
      </c>
      <c r="I134" s="5"/>
      <c r="J134" s="5"/>
      <c r="K134" s="5">
        <v>214</v>
      </c>
      <c r="L134" s="5">
        <v>16</v>
      </c>
      <c r="M134" s="5">
        <v>3</v>
      </c>
      <c r="N134" s="5" t="s">
        <v>3</v>
      </c>
      <c r="O134" s="5">
        <v>2</v>
      </c>
      <c r="P134" s="5">
        <f>ROUND(Source!EK117,O134)</f>
        <v>5557.16</v>
      </c>
      <c r="Q134" s="5"/>
      <c r="R134" s="5"/>
      <c r="S134" s="5"/>
      <c r="T134" s="5"/>
      <c r="U134" s="5"/>
      <c r="V134" s="5"/>
      <c r="W134" s="5"/>
    </row>
    <row r="135" spans="1:23" x14ac:dyDescent="0.2">
      <c r="A135" s="5">
        <v>50</v>
      </c>
      <c r="B135" s="5">
        <v>0</v>
      </c>
      <c r="C135" s="5">
        <v>0</v>
      </c>
      <c r="D135" s="5">
        <v>1</v>
      </c>
      <c r="E135" s="5">
        <v>215</v>
      </c>
      <c r="F135" s="5">
        <f>ROUND(Source!AT117,O135)</f>
        <v>0</v>
      </c>
      <c r="G135" s="5" t="s">
        <v>149</v>
      </c>
      <c r="H135" s="5" t="s">
        <v>150</v>
      </c>
      <c r="I135" s="5"/>
      <c r="J135" s="5"/>
      <c r="K135" s="5">
        <v>215</v>
      </c>
      <c r="L135" s="5">
        <v>17</v>
      </c>
      <c r="M135" s="5">
        <v>3</v>
      </c>
      <c r="N135" s="5" t="s">
        <v>3</v>
      </c>
      <c r="O135" s="5">
        <v>2</v>
      </c>
      <c r="P135" s="5">
        <f>ROUND(Source!EL117,O135)</f>
        <v>0</v>
      </c>
      <c r="Q135" s="5"/>
      <c r="R135" s="5"/>
      <c r="S135" s="5"/>
      <c r="T135" s="5"/>
      <c r="U135" s="5"/>
      <c r="V135" s="5"/>
      <c r="W135" s="5"/>
    </row>
    <row r="136" spans="1:23" x14ac:dyDescent="0.2">
      <c r="A136" s="5">
        <v>50</v>
      </c>
      <c r="B136" s="5">
        <v>0</v>
      </c>
      <c r="C136" s="5">
        <v>0</v>
      </c>
      <c r="D136" s="5">
        <v>1</v>
      </c>
      <c r="E136" s="5">
        <v>217</v>
      </c>
      <c r="F136" s="5">
        <f>ROUND(Source!AU117,O136)</f>
        <v>0</v>
      </c>
      <c r="G136" s="5" t="s">
        <v>151</v>
      </c>
      <c r="H136" s="5" t="s">
        <v>152</v>
      </c>
      <c r="I136" s="5"/>
      <c r="J136" s="5"/>
      <c r="K136" s="5">
        <v>217</v>
      </c>
      <c r="L136" s="5">
        <v>18</v>
      </c>
      <c r="M136" s="5">
        <v>3</v>
      </c>
      <c r="N136" s="5" t="s">
        <v>3</v>
      </c>
      <c r="O136" s="5">
        <v>2</v>
      </c>
      <c r="P136" s="5">
        <f>ROUND(Source!EM117,O136)</f>
        <v>0</v>
      </c>
      <c r="Q136" s="5"/>
      <c r="R136" s="5"/>
      <c r="S136" s="5"/>
      <c r="T136" s="5"/>
      <c r="U136" s="5"/>
      <c r="V136" s="5"/>
      <c r="W136" s="5"/>
    </row>
    <row r="137" spans="1:23" x14ac:dyDescent="0.2">
      <c r="A137" s="5">
        <v>50</v>
      </c>
      <c r="B137" s="5">
        <v>0</v>
      </c>
      <c r="C137" s="5">
        <v>0</v>
      </c>
      <c r="D137" s="5">
        <v>1</v>
      </c>
      <c r="E137" s="5">
        <v>230</v>
      </c>
      <c r="F137" s="5">
        <f>ROUND(Source!BA117,O137)</f>
        <v>0</v>
      </c>
      <c r="G137" s="5" t="s">
        <v>153</v>
      </c>
      <c r="H137" s="5" t="s">
        <v>154</v>
      </c>
      <c r="I137" s="5"/>
      <c r="J137" s="5"/>
      <c r="K137" s="5">
        <v>230</v>
      </c>
      <c r="L137" s="5">
        <v>19</v>
      </c>
      <c r="M137" s="5">
        <v>3</v>
      </c>
      <c r="N137" s="5" t="s">
        <v>3</v>
      </c>
      <c r="O137" s="5">
        <v>2</v>
      </c>
      <c r="P137" s="5">
        <f>ROUND(Source!ES117,O137)</f>
        <v>0</v>
      </c>
      <c r="Q137" s="5"/>
      <c r="R137" s="5"/>
      <c r="S137" s="5"/>
      <c r="T137" s="5"/>
      <c r="U137" s="5"/>
      <c r="V137" s="5"/>
      <c r="W137" s="5"/>
    </row>
    <row r="138" spans="1:23" x14ac:dyDescent="0.2">
      <c r="A138" s="5">
        <v>50</v>
      </c>
      <c r="B138" s="5">
        <v>0</v>
      </c>
      <c r="C138" s="5">
        <v>0</v>
      </c>
      <c r="D138" s="5">
        <v>1</v>
      </c>
      <c r="E138" s="5">
        <v>206</v>
      </c>
      <c r="F138" s="5">
        <f>ROUND(Source!T117,O138)</f>
        <v>0</v>
      </c>
      <c r="G138" s="5" t="s">
        <v>155</v>
      </c>
      <c r="H138" s="5" t="s">
        <v>156</v>
      </c>
      <c r="I138" s="5"/>
      <c r="J138" s="5"/>
      <c r="K138" s="5">
        <v>206</v>
      </c>
      <c r="L138" s="5">
        <v>20</v>
      </c>
      <c r="M138" s="5">
        <v>3</v>
      </c>
      <c r="N138" s="5" t="s">
        <v>3</v>
      </c>
      <c r="O138" s="5">
        <v>2</v>
      </c>
      <c r="P138" s="5">
        <f>ROUND(Source!DL117,O138)</f>
        <v>0</v>
      </c>
      <c r="Q138" s="5"/>
      <c r="R138" s="5"/>
      <c r="S138" s="5"/>
      <c r="T138" s="5"/>
      <c r="U138" s="5"/>
      <c r="V138" s="5"/>
      <c r="W138" s="5"/>
    </row>
    <row r="139" spans="1:23" x14ac:dyDescent="0.2">
      <c r="A139" s="5">
        <v>50</v>
      </c>
      <c r="B139" s="5">
        <v>0</v>
      </c>
      <c r="C139" s="5">
        <v>0</v>
      </c>
      <c r="D139" s="5">
        <v>1</v>
      </c>
      <c r="E139" s="5">
        <v>207</v>
      </c>
      <c r="F139" s="5">
        <f>Source!U117</f>
        <v>8.9279600000000006</v>
      </c>
      <c r="G139" s="5" t="s">
        <v>157</v>
      </c>
      <c r="H139" s="5" t="s">
        <v>158</v>
      </c>
      <c r="I139" s="5"/>
      <c r="J139" s="5"/>
      <c r="K139" s="5">
        <v>207</v>
      </c>
      <c r="L139" s="5">
        <v>21</v>
      </c>
      <c r="M139" s="5">
        <v>3</v>
      </c>
      <c r="N139" s="5" t="s">
        <v>3</v>
      </c>
      <c r="O139" s="5">
        <v>-1</v>
      </c>
      <c r="P139" s="5">
        <f>Source!DM117</f>
        <v>8.9279600000000006</v>
      </c>
      <c r="Q139" s="5"/>
      <c r="R139" s="5"/>
      <c r="S139" s="5"/>
      <c r="T139" s="5"/>
      <c r="U139" s="5"/>
      <c r="V139" s="5"/>
      <c r="W139" s="5"/>
    </row>
    <row r="140" spans="1:23" x14ac:dyDescent="0.2">
      <c r="A140" s="5">
        <v>50</v>
      </c>
      <c r="B140" s="5">
        <v>0</v>
      </c>
      <c r="C140" s="5">
        <v>0</v>
      </c>
      <c r="D140" s="5">
        <v>1</v>
      </c>
      <c r="E140" s="5">
        <v>208</v>
      </c>
      <c r="F140" s="5">
        <f>Source!V117</f>
        <v>0</v>
      </c>
      <c r="G140" s="5" t="s">
        <v>159</v>
      </c>
      <c r="H140" s="5" t="s">
        <v>160</v>
      </c>
      <c r="I140" s="5"/>
      <c r="J140" s="5"/>
      <c r="K140" s="5">
        <v>208</v>
      </c>
      <c r="L140" s="5">
        <v>22</v>
      </c>
      <c r="M140" s="5">
        <v>3</v>
      </c>
      <c r="N140" s="5" t="s">
        <v>3</v>
      </c>
      <c r="O140" s="5">
        <v>-1</v>
      </c>
      <c r="P140" s="5">
        <f>Source!DN117</f>
        <v>0</v>
      </c>
      <c r="Q140" s="5"/>
      <c r="R140" s="5"/>
      <c r="S140" s="5"/>
      <c r="T140" s="5"/>
      <c r="U140" s="5"/>
      <c r="V140" s="5"/>
      <c r="W140" s="5"/>
    </row>
    <row r="141" spans="1:23" x14ac:dyDescent="0.2">
      <c r="A141" s="5">
        <v>50</v>
      </c>
      <c r="B141" s="5">
        <v>0</v>
      </c>
      <c r="C141" s="5">
        <v>0</v>
      </c>
      <c r="D141" s="5">
        <v>1</v>
      </c>
      <c r="E141" s="5">
        <v>209</v>
      </c>
      <c r="F141" s="5">
        <f>ROUND(Source!W117,O141)</f>
        <v>0</v>
      </c>
      <c r="G141" s="5" t="s">
        <v>161</v>
      </c>
      <c r="H141" s="5" t="s">
        <v>162</v>
      </c>
      <c r="I141" s="5"/>
      <c r="J141" s="5"/>
      <c r="K141" s="5">
        <v>209</v>
      </c>
      <c r="L141" s="5">
        <v>23</v>
      </c>
      <c r="M141" s="5">
        <v>3</v>
      </c>
      <c r="N141" s="5" t="s">
        <v>3</v>
      </c>
      <c r="O141" s="5">
        <v>2</v>
      </c>
      <c r="P141" s="5">
        <f>ROUND(Source!DO117,O141)</f>
        <v>0</v>
      </c>
      <c r="Q141" s="5"/>
      <c r="R141" s="5"/>
      <c r="S141" s="5"/>
      <c r="T141" s="5"/>
      <c r="U141" s="5"/>
      <c r="V141" s="5"/>
      <c r="W141" s="5"/>
    </row>
    <row r="142" spans="1:23" x14ac:dyDescent="0.2">
      <c r="A142" s="5">
        <v>50</v>
      </c>
      <c r="B142" s="5">
        <v>0</v>
      </c>
      <c r="C142" s="5">
        <v>0</v>
      </c>
      <c r="D142" s="5">
        <v>1</v>
      </c>
      <c r="E142" s="5">
        <v>210</v>
      </c>
      <c r="F142" s="5">
        <f>ROUND(Source!X117,O142)</f>
        <v>0</v>
      </c>
      <c r="G142" s="5" t="s">
        <v>163</v>
      </c>
      <c r="H142" s="5" t="s">
        <v>164</v>
      </c>
      <c r="I142" s="5"/>
      <c r="J142" s="5"/>
      <c r="K142" s="5">
        <v>210</v>
      </c>
      <c r="L142" s="5">
        <v>24</v>
      </c>
      <c r="M142" s="5">
        <v>3</v>
      </c>
      <c r="N142" s="5" t="s">
        <v>3</v>
      </c>
      <c r="O142" s="5">
        <v>2</v>
      </c>
      <c r="P142" s="5">
        <f>ROUND(Source!DP117,O142)</f>
        <v>1566.02</v>
      </c>
      <c r="Q142" s="5"/>
      <c r="R142" s="5"/>
      <c r="S142" s="5"/>
      <c r="T142" s="5"/>
      <c r="U142" s="5"/>
      <c r="V142" s="5"/>
      <c r="W142" s="5"/>
    </row>
    <row r="143" spans="1:23" x14ac:dyDescent="0.2">
      <c r="A143" s="5">
        <v>50</v>
      </c>
      <c r="B143" s="5">
        <v>0</v>
      </c>
      <c r="C143" s="5">
        <v>0</v>
      </c>
      <c r="D143" s="5">
        <v>1</v>
      </c>
      <c r="E143" s="5">
        <v>211</v>
      </c>
      <c r="F143" s="5">
        <f>ROUND(Source!Y117,O143)</f>
        <v>0</v>
      </c>
      <c r="G143" s="5" t="s">
        <v>165</v>
      </c>
      <c r="H143" s="5" t="s">
        <v>166</v>
      </c>
      <c r="I143" s="5"/>
      <c r="J143" s="5"/>
      <c r="K143" s="5">
        <v>211</v>
      </c>
      <c r="L143" s="5">
        <v>25</v>
      </c>
      <c r="M143" s="5">
        <v>3</v>
      </c>
      <c r="N143" s="5" t="s">
        <v>3</v>
      </c>
      <c r="O143" s="5">
        <v>2</v>
      </c>
      <c r="P143" s="5">
        <f>ROUND(Source!DQ117,O143)</f>
        <v>938.78</v>
      </c>
      <c r="Q143" s="5"/>
      <c r="R143" s="5"/>
      <c r="S143" s="5"/>
      <c r="T143" s="5"/>
      <c r="U143" s="5"/>
      <c r="V143" s="5"/>
      <c r="W143" s="5"/>
    </row>
    <row r="144" spans="1:23" x14ac:dyDescent="0.2">
      <c r="A144" s="5">
        <v>50</v>
      </c>
      <c r="B144" s="5">
        <v>0</v>
      </c>
      <c r="C144" s="5">
        <v>0</v>
      </c>
      <c r="D144" s="5">
        <v>1</v>
      </c>
      <c r="E144" s="5">
        <v>224</v>
      </c>
      <c r="F144" s="5">
        <f>ROUND(Source!AR117,O144)</f>
        <v>185.38</v>
      </c>
      <c r="G144" s="5" t="s">
        <v>167</v>
      </c>
      <c r="H144" s="5" t="s">
        <v>168</v>
      </c>
      <c r="I144" s="5"/>
      <c r="J144" s="5"/>
      <c r="K144" s="5">
        <v>224</v>
      </c>
      <c r="L144" s="5">
        <v>26</v>
      </c>
      <c r="M144" s="5">
        <v>3</v>
      </c>
      <c r="N144" s="5" t="s">
        <v>3</v>
      </c>
      <c r="O144" s="5">
        <v>2</v>
      </c>
      <c r="P144" s="5">
        <f>ROUND(Source!EJ117,O144)</f>
        <v>5557.16</v>
      </c>
      <c r="Q144" s="5"/>
      <c r="R144" s="5"/>
      <c r="S144" s="5"/>
      <c r="T144" s="5"/>
      <c r="U144" s="5"/>
      <c r="V144" s="5"/>
      <c r="W144" s="5"/>
    </row>
    <row r="146" spans="1:206" x14ac:dyDescent="0.2">
      <c r="A146" s="3">
        <v>51</v>
      </c>
      <c r="B146" s="3">
        <f>B92</f>
        <v>1</v>
      </c>
      <c r="C146" s="3">
        <f>A92</f>
        <v>4</v>
      </c>
      <c r="D146" s="3">
        <f>ROW(A92)</f>
        <v>92</v>
      </c>
      <c r="E146" s="3"/>
      <c r="F146" s="3" t="str">
        <f>IF(F92&lt;&gt;"",F92,"")</f>
        <v>Новый раздел</v>
      </c>
      <c r="G146" s="3" t="str">
        <f>IF(G92&lt;&gt;"",G92,"")</f>
        <v>Демонтажные работы</v>
      </c>
      <c r="H146" s="3">
        <v>0</v>
      </c>
      <c r="I146" s="3"/>
      <c r="J146" s="3"/>
      <c r="K146" s="3"/>
      <c r="L146" s="3"/>
      <c r="M146" s="3"/>
      <c r="N146" s="3"/>
      <c r="O146" s="3">
        <f t="shared" ref="O146:T146" si="132">ROUND(O117+AB146,2)</f>
        <v>168.81</v>
      </c>
      <c r="P146" s="3">
        <f t="shared" si="132"/>
        <v>11.1</v>
      </c>
      <c r="Q146" s="3">
        <f t="shared" si="132"/>
        <v>45.47</v>
      </c>
      <c r="R146" s="3">
        <f t="shared" si="132"/>
        <v>9.2100000000000009</v>
      </c>
      <c r="S146" s="3">
        <f t="shared" si="132"/>
        <v>112.24</v>
      </c>
      <c r="T146" s="3">
        <f t="shared" si="132"/>
        <v>0</v>
      </c>
      <c r="U146" s="3">
        <f>U117+AH146</f>
        <v>8.9279600000000006</v>
      </c>
      <c r="V146" s="3">
        <f>V117+AI146</f>
        <v>0</v>
      </c>
      <c r="W146" s="3">
        <f>ROUND(W117+AJ146,2)</f>
        <v>0</v>
      </c>
      <c r="X146" s="3">
        <f>ROUND(X117+AK146,2)</f>
        <v>0</v>
      </c>
      <c r="Y146" s="3">
        <f>ROUND(Y117+AL146,2)</f>
        <v>0</v>
      </c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>
        <f t="shared" ref="AO146:BC146" si="133">ROUND(AO117+BX146,2)</f>
        <v>0</v>
      </c>
      <c r="AP146" s="3">
        <f t="shared" si="133"/>
        <v>0</v>
      </c>
      <c r="AQ146" s="3">
        <f t="shared" si="133"/>
        <v>0</v>
      </c>
      <c r="AR146" s="3">
        <f t="shared" si="133"/>
        <v>185.38</v>
      </c>
      <c r="AS146" s="3">
        <f t="shared" si="133"/>
        <v>185.38</v>
      </c>
      <c r="AT146" s="3">
        <f t="shared" si="133"/>
        <v>0</v>
      </c>
      <c r="AU146" s="3">
        <f t="shared" si="133"/>
        <v>0</v>
      </c>
      <c r="AV146" s="3">
        <f t="shared" si="133"/>
        <v>11.1</v>
      </c>
      <c r="AW146" s="3">
        <f t="shared" si="133"/>
        <v>11.1</v>
      </c>
      <c r="AX146" s="3">
        <f t="shared" si="133"/>
        <v>0</v>
      </c>
      <c r="AY146" s="3">
        <f t="shared" si="133"/>
        <v>11.1</v>
      </c>
      <c r="AZ146" s="3">
        <f t="shared" si="133"/>
        <v>0</v>
      </c>
      <c r="BA146" s="3">
        <f t="shared" si="133"/>
        <v>0</v>
      </c>
      <c r="BB146" s="3">
        <f t="shared" si="133"/>
        <v>0</v>
      </c>
      <c r="BC146" s="3">
        <f t="shared" si="133"/>
        <v>0</v>
      </c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4">
        <f t="shared" ref="DG146:DL146" si="134">ROUND(DG117+DT146,2)</f>
        <v>2736.92</v>
      </c>
      <c r="DH146" s="4">
        <f t="shared" si="134"/>
        <v>63.49</v>
      </c>
      <c r="DI146" s="4">
        <f t="shared" si="134"/>
        <v>383.72</v>
      </c>
      <c r="DJ146" s="4">
        <f t="shared" si="134"/>
        <v>187.76</v>
      </c>
      <c r="DK146" s="4">
        <f t="shared" si="134"/>
        <v>2289.71</v>
      </c>
      <c r="DL146" s="4">
        <f t="shared" si="134"/>
        <v>0</v>
      </c>
      <c r="DM146" s="4">
        <f>DM117+DZ146</f>
        <v>8.9279600000000006</v>
      </c>
      <c r="DN146" s="4">
        <f>DN117+EA146</f>
        <v>0</v>
      </c>
      <c r="DO146" s="4">
        <f>ROUND(DO117+EB146,2)</f>
        <v>0</v>
      </c>
      <c r="DP146" s="4">
        <f>ROUND(DP117+EC146,2)</f>
        <v>1566.02</v>
      </c>
      <c r="DQ146" s="4">
        <f>ROUND(DQ117+ED146,2)</f>
        <v>938.78</v>
      </c>
      <c r="DR146" s="4"/>
      <c r="DS146" s="4"/>
      <c r="DT146" s="4"/>
      <c r="DU146" s="4"/>
      <c r="DV146" s="4"/>
      <c r="DW146" s="4"/>
      <c r="DX146" s="4"/>
      <c r="DY146" s="4"/>
      <c r="DZ146" s="4"/>
      <c r="EA146" s="4"/>
      <c r="EB146" s="4"/>
      <c r="EC146" s="4"/>
      <c r="ED146" s="4"/>
      <c r="EE146" s="4"/>
      <c r="EF146" s="4"/>
      <c r="EG146" s="4">
        <f t="shared" ref="EG146:EU146" si="135">ROUND(EG117+FP146,2)</f>
        <v>0</v>
      </c>
      <c r="EH146" s="4">
        <f t="shared" si="135"/>
        <v>0</v>
      </c>
      <c r="EI146" s="4">
        <f t="shared" si="135"/>
        <v>0</v>
      </c>
      <c r="EJ146" s="4">
        <f t="shared" si="135"/>
        <v>5557.16</v>
      </c>
      <c r="EK146" s="4">
        <f t="shared" si="135"/>
        <v>5557.16</v>
      </c>
      <c r="EL146" s="4">
        <f t="shared" si="135"/>
        <v>0</v>
      </c>
      <c r="EM146" s="4">
        <f t="shared" si="135"/>
        <v>0</v>
      </c>
      <c r="EN146" s="4">
        <f t="shared" si="135"/>
        <v>63.49</v>
      </c>
      <c r="EO146" s="4">
        <f t="shared" si="135"/>
        <v>63.49</v>
      </c>
      <c r="EP146" s="4">
        <f t="shared" si="135"/>
        <v>0</v>
      </c>
      <c r="EQ146" s="4">
        <f t="shared" si="135"/>
        <v>63.49</v>
      </c>
      <c r="ER146" s="4">
        <f t="shared" si="135"/>
        <v>0</v>
      </c>
      <c r="ES146" s="4">
        <f t="shared" si="135"/>
        <v>0</v>
      </c>
      <c r="ET146" s="4">
        <f t="shared" si="135"/>
        <v>0</v>
      </c>
      <c r="EU146" s="4">
        <f t="shared" si="135"/>
        <v>0</v>
      </c>
      <c r="EV146" s="4"/>
      <c r="EW146" s="4"/>
      <c r="EX146" s="4"/>
      <c r="EY146" s="4"/>
      <c r="EZ146" s="4"/>
      <c r="FA146" s="4"/>
      <c r="FB146" s="4"/>
      <c r="FC146" s="4"/>
      <c r="FD146" s="4"/>
      <c r="FE146" s="4"/>
      <c r="FF146" s="4"/>
      <c r="FG146" s="4"/>
      <c r="FH146" s="4"/>
      <c r="FI146" s="4"/>
      <c r="FJ146" s="4"/>
      <c r="FK146" s="4"/>
      <c r="FL146" s="4"/>
      <c r="FM146" s="4"/>
      <c r="FN146" s="4"/>
      <c r="FO146" s="4"/>
      <c r="FP146" s="4"/>
      <c r="FQ146" s="4"/>
      <c r="FR146" s="4"/>
      <c r="FS146" s="4"/>
      <c r="FT146" s="4"/>
      <c r="FU146" s="4"/>
      <c r="FV146" s="4"/>
      <c r="FW146" s="4"/>
      <c r="FX146" s="4"/>
      <c r="FY146" s="4"/>
      <c r="FZ146" s="4"/>
      <c r="GA146" s="4"/>
      <c r="GB146" s="4"/>
      <c r="GC146" s="4"/>
      <c r="GD146" s="4"/>
      <c r="GE146" s="4"/>
      <c r="GF146" s="4"/>
      <c r="GG146" s="4"/>
      <c r="GH146" s="4"/>
      <c r="GI146" s="4"/>
      <c r="GJ146" s="4"/>
      <c r="GK146" s="4"/>
      <c r="GL146" s="4"/>
      <c r="GM146" s="4"/>
      <c r="GN146" s="4"/>
      <c r="GO146" s="4"/>
      <c r="GP146" s="4"/>
      <c r="GQ146" s="4"/>
      <c r="GR146" s="4"/>
      <c r="GS146" s="4"/>
      <c r="GT146" s="4"/>
      <c r="GU146" s="4"/>
      <c r="GV146" s="4"/>
      <c r="GW146" s="4"/>
      <c r="GX146" s="4">
        <v>0</v>
      </c>
    </row>
    <row r="148" spans="1:206" x14ac:dyDescent="0.2">
      <c r="A148" s="5">
        <v>50</v>
      </c>
      <c r="B148" s="5">
        <v>0</v>
      </c>
      <c r="C148" s="5">
        <v>0</v>
      </c>
      <c r="D148" s="5">
        <v>1</v>
      </c>
      <c r="E148" s="5">
        <v>201</v>
      </c>
      <c r="F148" s="5">
        <f>ROUND(Source!O146,O148)</f>
        <v>168.81</v>
      </c>
      <c r="G148" s="5" t="s">
        <v>117</v>
      </c>
      <c r="H148" s="5" t="s">
        <v>118</v>
      </c>
      <c r="I148" s="5"/>
      <c r="J148" s="5"/>
      <c r="K148" s="5">
        <v>201</v>
      </c>
      <c r="L148" s="5">
        <v>1</v>
      </c>
      <c r="M148" s="5">
        <v>3</v>
      </c>
      <c r="N148" s="5" t="s">
        <v>3</v>
      </c>
      <c r="O148" s="5">
        <v>2</v>
      </c>
      <c r="P148" s="5">
        <f>ROUND(Source!DG146,O148)</f>
        <v>2736.92</v>
      </c>
      <c r="Q148" s="5"/>
      <c r="R148" s="5"/>
      <c r="S148" s="5"/>
      <c r="T148" s="5"/>
      <c r="U148" s="5"/>
      <c r="V148" s="5"/>
      <c r="W148" s="5"/>
    </row>
    <row r="149" spans="1:206" x14ac:dyDescent="0.2">
      <c r="A149" s="5">
        <v>50</v>
      </c>
      <c r="B149" s="5">
        <v>0</v>
      </c>
      <c r="C149" s="5">
        <v>0</v>
      </c>
      <c r="D149" s="5">
        <v>1</v>
      </c>
      <c r="E149" s="5">
        <v>202</v>
      </c>
      <c r="F149" s="5">
        <f>ROUND(Source!P146,O149)</f>
        <v>11.1</v>
      </c>
      <c r="G149" s="5" t="s">
        <v>119</v>
      </c>
      <c r="H149" s="5" t="s">
        <v>120</v>
      </c>
      <c r="I149" s="5"/>
      <c r="J149" s="5"/>
      <c r="K149" s="5">
        <v>202</v>
      </c>
      <c r="L149" s="5">
        <v>2</v>
      </c>
      <c r="M149" s="5">
        <v>3</v>
      </c>
      <c r="N149" s="5" t="s">
        <v>3</v>
      </c>
      <c r="O149" s="5">
        <v>2</v>
      </c>
      <c r="P149" s="5">
        <f>ROUND(Source!DH146,O149)</f>
        <v>63.49</v>
      </c>
      <c r="Q149" s="5"/>
      <c r="R149" s="5"/>
      <c r="S149" s="5"/>
      <c r="T149" s="5"/>
      <c r="U149" s="5"/>
      <c r="V149" s="5"/>
      <c r="W149" s="5"/>
    </row>
    <row r="150" spans="1:206" x14ac:dyDescent="0.2">
      <c r="A150" s="5">
        <v>50</v>
      </c>
      <c r="B150" s="5">
        <v>0</v>
      </c>
      <c r="C150" s="5">
        <v>0</v>
      </c>
      <c r="D150" s="5">
        <v>1</v>
      </c>
      <c r="E150" s="5">
        <v>227</v>
      </c>
      <c r="F150" s="5">
        <f>ROUND(Source!AO146,O150)</f>
        <v>0</v>
      </c>
      <c r="G150" s="5" t="s">
        <v>121</v>
      </c>
      <c r="H150" s="5" t="s">
        <v>122</v>
      </c>
      <c r="I150" s="5"/>
      <c r="J150" s="5"/>
      <c r="K150" s="5">
        <v>222</v>
      </c>
      <c r="L150" s="5">
        <v>3</v>
      </c>
      <c r="M150" s="5">
        <v>3</v>
      </c>
      <c r="N150" s="5" t="s">
        <v>3</v>
      </c>
      <c r="O150" s="5">
        <v>2</v>
      </c>
      <c r="P150" s="5">
        <f>ROUND(Source!EG146,O150)</f>
        <v>0</v>
      </c>
      <c r="Q150" s="5"/>
      <c r="R150" s="5"/>
      <c r="S150" s="5"/>
      <c r="T150" s="5"/>
      <c r="U150" s="5"/>
      <c r="V150" s="5"/>
      <c r="W150" s="5"/>
    </row>
    <row r="151" spans="1:206" x14ac:dyDescent="0.2">
      <c r="A151" s="5">
        <v>50</v>
      </c>
      <c r="B151" s="5">
        <v>0</v>
      </c>
      <c r="C151" s="5">
        <v>0</v>
      </c>
      <c r="D151" s="5">
        <v>1</v>
      </c>
      <c r="E151" s="5">
        <v>225</v>
      </c>
      <c r="F151" s="5">
        <f>ROUND(Source!AV146,O151)</f>
        <v>11.1</v>
      </c>
      <c r="G151" s="5" t="s">
        <v>123</v>
      </c>
      <c r="H151" s="5" t="s">
        <v>124</v>
      </c>
      <c r="I151" s="5"/>
      <c r="J151" s="5"/>
      <c r="K151" s="5">
        <v>225</v>
      </c>
      <c r="L151" s="5">
        <v>4</v>
      </c>
      <c r="M151" s="5">
        <v>3</v>
      </c>
      <c r="N151" s="5" t="s">
        <v>3</v>
      </c>
      <c r="O151" s="5">
        <v>2</v>
      </c>
      <c r="P151" s="5">
        <f>ROUND(Source!EN146,O151)</f>
        <v>63.49</v>
      </c>
      <c r="Q151" s="5"/>
      <c r="R151" s="5"/>
      <c r="S151" s="5"/>
      <c r="T151" s="5"/>
      <c r="U151" s="5"/>
      <c r="V151" s="5"/>
      <c r="W151" s="5"/>
    </row>
    <row r="152" spans="1:206" x14ac:dyDescent="0.2">
      <c r="A152" s="5">
        <v>50</v>
      </c>
      <c r="B152" s="5">
        <v>0</v>
      </c>
      <c r="C152" s="5">
        <v>0</v>
      </c>
      <c r="D152" s="5">
        <v>1</v>
      </c>
      <c r="E152" s="5">
        <v>226</v>
      </c>
      <c r="F152" s="5">
        <f>ROUND(Source!AW146,O152)</f>
        <v>11.1</v>
      </c>
      <c r="G152" s="5" t="s">
        <v>125</v>
      </c>
      <c r="H152" s="5" t="s">
        <v>126</v>
      </c>
      <c r="I152" s="5"/>
      <c r="J152" s="5"/>
      <c r="K152" s="5">
        <v>226</v>
      </c>
      <c r="L152" s="5">
        <v>5</v>
      </c>
      <c r="M152" s="5">
        <v>3</v>
      </c>
      <c r="N152" s="5" t="s">
        <v>3</v>
      </c>
      <c r="O152" s="5">
        <v>2</v>
      </c>
      <c r="P152" s="5">
        <f>ROUND(Source!EO146,O152)</f>
        <v>63.49</v>
      </c>
      <c r="Q152" s="5"/>
      <c r="R152" s="5"/>
      <c r="S152" s="5"/>
      <c r="T152" s="5"/>
      <c r="U152" s="5"/>
      <c r="V152" s="5"/>
      <c r="W152" s="5"/>
    </row>
    <row r="153" spans="1:206" x14ac:dyDescent="0.2">
      <c r="A153" s="5">
        <v>50</v>
      </c>
      <c r="B153" s="5">
        <v>0</v>
      </c>
      <c r="C153" s="5">
        <v>0</v>
      </c>
      <c r="D153" s="5">
        <v>1</v>
      </c>
      <c r="E153" s="5">
        <v>0</v>
      </c>
      <c r="F153" s="5">
        <f>ROUND(Source!AX146,O153)</f>
        <v>0</v>
      </c>
      <c r="G153" s="5" t="s">
        <v>127</v>
      </c>
      <c r="H153" s="5" t="s">
        <v>128</v>
      </c>
      <c r="I153" s="5"/>
      <c r="J153" s="5"/>
      <c r="K153" s="5">
        <v>227</v>
      </c>
      <c r="L153" s="5">
        <v>6</v>
      </c>
      <c r="M153" s="5">
        <v>3</v>
      </c>
      <c r="N153" s="5" t="s">
        <v>3</v>
      </c>
      <c r="O153" s="5">
        <v>2</v>
      </c>
      <c r="P153" s="5">
        <f>ROUND(Source!EP146,O153)</f>
        <v>0</v>
      </c>
      <c r="Q153" s="5"/>
      <c r="R153" s="5"/>
      <c r="S153" s="5"/>
      <c r="T153" s="5"/>
      <c r="U153" s="5"/>
      <c r="V153" s="5"/>
      <c r="W153" s="5"/>
    </row>
    <row r="154" spans="1:206" x14ac:dyDescent="0.2">
      <c r="A154" s="5">
        <v>50</v>
      </c>
      <c r="B154" s="5">
        <v>0</v>
      </c>
      <c r="C154" s="5">
        <v>0</v>
      </c>
      <c r="D154" s="5">
        <v>1</v>
      </c>
      <c r="E154" s="5">
        <v>228</v>
      </c>
      <c r="F154" s="5">
        <f>ROUND(Source!AY146,O154)</f>
        <v>11.1</v>
      </c>
      <c r="G154" s="5" t="s">
        <v>129</v>
      </c>
      <c r="H154" s="5" t="s">
        <v>130</v>
      </c>
      <c r="I154" s="5"/>
      <c r="J154" s="5"/>
      <c r="K154" s="5">
        <v>228</v>
      </c>
      <c r="L154" s="5">
        <v>7</v>
      </c>
      <c r="M154" s="5">
        <v>3</v>
      </c>
      <c r="N154" s="5" t="s">
        <v>3</v>
      </c>
      <c r="O154" s="5">
        <v>2</v>
      </c>
      <c r="P154" s="5">
        <f>ROUND(Source!EQ146,O154)</f>
        <v>63.49</v>
      </c>
      <c r="Q154" s="5"/>
      <c r="R154" s="5"/>
      <c r="S154" s="5"/>
      <c r="T154" s="5"/>
      <c r="U154" s="5"/>
      <c r="V154" s="5"/>
      <c r="W154" s="5"/>
    </row>
    <row r="155" spans="1:206" x14ac:dyDescent="0.2">
      <c r="A155" s="5">
        <v>50</v>
      </c>
      <c r="B155" s="5">
        <v>0</v>
      </c>
      <c r="C155" s="5">
        <v>0</v>
      </c>
      <c r="D155" s="5">
        <v>1</v>
      </c>
      <c r="E155" s="5">
        <v>216</v>
      </c>
      <c r="F155" s="5">
        <f>ROUND(Source!AP146,O155)</f>
        <v>0</v>
      </c>
      <c r="G155" s="5" t="s">
        <v>131</v>
      </c>
      <c r="H155" s="5" t="s">
        <v>132</v>
      </c>
      <c r="I155" s="5"/>
      <c r="J155" s="5"/>
      <c r="K155" s="5">
        <v>216</v>
      </c>
      <c r="L155" s="5">
        <v>8</v>
      </c>
      <c r="M155" s="5">
        <v>3</v>
      </c>
      <c r="N155" s="5" t="s">
        <v>3</v>
      </c>
      <c r="O155" s="5">
        <v>2</v>
      </c>
      <c r="P155" s="5">
        <f>ROUND(Source!EH146,O155)</f>
        <v>0</v>
      </c>
      <c r="Q155" s="5"/>
      <c r="R155" s="5"/>
      <c r="S155" s="5"/>
      <c r="T155" s="5"/>
      <c r="U155" s="5"/>
      <c r="V155" s="5"/>
      <c r="W155" s="5"/>
    </row>
    <row r="156" spans="1:206" x14ac:dyDescent="0.2">
      <c r="A156" s="5">
        <v>50</v>
      </c>
      <c r="B156" s="5">
        <v>0</v>
      </c>
      <c r="C156" s="5">
        <v>0</v>
      </c>
      <c r="D156" s="5">
        <v>1</v>
      </c>
      <c r="E156" s="5">
        <v>223</v>
      </c>
      <c r="F156" s="5">
        <f>ROUND(Source!AQ146,O156)</f>
        <v>0</v>
      </c>
      <c r="G156" s="5" t="s">
        <v>133</v>
      </c>
      <c r="H156" s="5" t="s">
        <v>134</v>
      </c>
      <c r="I156" s="5"/>
      <c r="J156" s="5"/>
      <c r="K156" s="5">
        <v>223</v>
      </c>
      <c r="L156" s="5">
        <v>9</v>
      </c>
      <c r="M156" s="5">
        <v>3</v>
      </c>
      <c r="N156" s="5" t="s">
        <v>3</v>
      </c>
      <c r="O156" s="5">
        <v>2</v>
      </c>
      <c r="P156" s="5">
        <f>ROUND(Source!EI146,O156)</f>
        <v>0</v>
      </c>
      <c r="Q156" s="5"/>
      <c r="R156" s="5"/>
      <c r="S156" s="5"/>
      <c r="T156" s="5"/>
      <c r="U156" s="5"/>
      <c r="V156" s="5"/>
      <c r="W156" s="5"/>
    </row>
    <row r="157" spans="1:206" x14ac:dyDescent="0.2">
      <c r="A157" s="5">
        <v>50</v>
      </c>
      <c r="B157" s="5">
        <v>0</v>
      </c>
      <c r="C157" s="5">
        <v>0</v>
      </c>
      <c r="D157" s="5">
        <v>1</v>
      </c>
      <c r="E157" s="5">
        <v>229</v>
      </c>
      <c r="F157" s="5">
        <f>ROUND(Source!AZ146,O157)</f>
        <v>0</v>
      </c>
      <c r="G157" s="5" t="s">
        <v>135</v>
      </c>
      <c r="H157" s="5" t="s">
        <v>136</v>
      </c>
      <c r="I157" s="5"/>
      <c r="J157" s="5"/>
      <c r="K157" s="5">
        <v>229</v>
      </c>
      <c r="L157" s="5">
        <v>10</v>
      </c>
      <c r="M157" s="5">
        <v>3</v>
      </c>
      <c r="N157" s="5" t="s">
        <v>3</v>
      </c>
      <c r="O157" s="5">
        <v>2</v>
      </c>
      <c r="P157" s="5">
        <f>ROUND(Source!ER146,O157)</f>
        <v>0</v>
      </c>
      <c r="Q157" s="5"/>
      <c r="R157" s="5"/>
      <c r="S157" s="5"/>
      <c r="T157" s="5"/>
      <c r="U157" s="5"/>
      <c r="V157" s="5"/>
      <c r="W157" s="5"/>
    </row>
    <row r="158" spans="1:206" x14ac:dyDescent="0.2">
      <c r="A158" s="5">
        <v>50</v>
      </c>
      <c r="B158" s="5">
        <v>0</v>
      </c>
      <c r="C158" s="5">
        <v>0</v>
      </c>
      <c r="D158" s="5">
        <v>1</v>
      </c>
      <c r="E158" s="5">
        <v>203</v>
      </c>
      <c r="F158" s="5">
        <f>ROUND(Source!Q146,O158)</f>
        <v>45.47</v>
      </c>
      <c r="G158" s="5" t="s">
        <v>137</v>
      </c>
      <c r="H158" s="5" t="s">
        <v>138</v>
      </c>
      <c r="I158" s="5"/>
      <c r="J158" s="5"/>
      <c r="K158" s="5">
        <v>203</v>
      </c>
      <c r="L158" s="5">
        <v>11</v>
      </c>
      <c r="M158" s="5">
        <v>3</v>
      </c>
      <c r="N158" s="5" t="s">
        <v>3</v>
      </c>
      <c r="O158" s="5">
        <v>2</v>
      </c>
      <c r="P158" s="5">
        <f>ROUND(Source!DI146,O158)</f>
        <v>383.72</v>
      </c>
      <c r="Q158" s="5"/>
      <c r="R158" s="5"/>
      <c r="S158" s="5"/>
      <c r="T158" s="5"/>
      <c r="U158" s="5"/>
      <c r="V158" s="5"/>
      <c r="W158" s="5"/>
    </row>
    <row r="159" spans="1:206" x14ac:dyDescent="0.2">
      <c r="A159" s="5">
        <v>50</v>
      </c>
      <c r="B159" s="5">
        <v>0</v>
      </c>
      <c r="C159" s="5">
        <v>0</v>
      </c>
      <c r="D159" s="5">
        <v>1</v>
      </c>
      <c r="E159" s="5">
        <v>231</v>
      </c>
      <c r="F159" s="5">
        <f>ROUND(Source!BB146,O159)</f>
        <v>0</v>
      </c>
      <c r="G159" s="5" t="s">
        <v>139</v>
      </c>
      <c r="H159" s="5" t="s">
        <v>140</v>
      </c>
      <c r="I159" s="5"/>
      <c r="J159" s="5"/>
      <c r="K159" s="5">
        <v>231</v>
      </c>
      <c r="L159" s="5">
        <v>12</v>
      </c>
      <c r="M159" s="5">
        <v>3</v>
      </c>
      <c r="N159" s="5" t="s">
        <v>3</v>
      </c>
      <c r="O159" s="5">
        <v>2</v>
      </c>
      <c r="P159" s="5">
        <f>ROUND(Source!ET146,O159)</f>
        <v>0</v>
      </c>
      <c r="Q159" s="5"/>
      <c r="R159" s="5"/>
      <c r="S159" s="5"/>
      <c r="T159" s="5"/>
      <c r="U159" s="5"/>
      <c r="V159" s="5"/>
      <c r="W159" s="5"/>
    </row>
    <row r="160" spans="1:206" x14ac:dyDescent="0.2">
      <c r="A160" s="5">
        <v>50</v>
      </c>
      <c r="B160" s="5">
        <v>0</v>
      </c>
      <c r="C160" s="5">
        <v>0</v>
      </c>
      <c r="D160" s="5">
        <v>1</v>
      </c>
      <c r="E160" s="5">
        <v>204</v>
      </c>
      <c r="F160" s="5">
        <f>ROUND(Source!R146,O160)</f>
        <v>9.2100000000000009</v>
      </c>
      <c r="G160" s="5" t="s">
        <v>141</v>
      </c>
      <c r="H160" s="5" t="s">
        <v>142</v>
      </c>
      <c r="I160" s="5"/>
      <c r="J160" s="5"/>
      <c r="K160" s="5">
        <v>204</v>
      </c>
      <c r="L160" s="5">
        <v>13</v>
      </c>
      <c r="M160" s="5">
        <v>3</v>
      </c>
      <c r="N160" s="5" t="s">
        <v>3</v>
      </c>
      <c r="O160" s="5">
        <v>2</v>
      </c>
      <c r="P160" s="5">
        <f>ROUND(Source!DJ146,O160)</f>
        <v>187.76</v>
      </c>
      <c r="Q160" s="5"/>
      <c r="R160" s="5"/>
      <c r="S160" s="5"/>
      <c r="T160" s="5"/>
      <c r="U160" s="5"/>
      <c r="V160" s="5"/>
      <c r="W160" s="5"/>
    </row>
    <row r="161" spans="1:88" x14ac:dyDescent="0.2">
      <c r="A161" s="5">
        <v>50</v>
      </c>
      <c r="B161" s="5">
        <v>0</v>
      </c>
      <c r="C161" s="5">
        <v>0</v>
      </c>
      <c r="D161" s="5">
        <v>1</v>
      </c>
      <c r="E161" s="5">
        <v>205</v>
      </c>
      <c r="F161" s="5">
        <f>ROUND(Source!S146,O161)</f>
        <v>112.24</v>
      </c>
      <c r="G161" s="5" t="s">
        <v>143</v>
      </c>
      <c r="H161" s="5" t="s">
        <v>144</v>
      </c>
      <c r="I161" s="5"/>
      <c r="J161" s="5"/>
      <c r="K161" s="5">
        <v>205</v>
      </c>
      <c r="L161" s="5">
        <v>14</v>
      </c>
      <c r="M161" s="5">
        <v>3</v>
      </c>
      <c r="N161" s="5" t="s">
        <v>3</v>
      </c>
      <c r="O161" s="5">
        <v>2</v>
      </c>
      <c r="P161" s="5">
        <f>ROUND(Source!DK146,O161)</f>
        <v>2289.71</v>
      </c>
      <c r="Q161" s="5"/>
      <c r="R161" s="5"/>
      <c r="S161" s="5"/>
      <c r="T161" s="5"/>
      <c r="U161" s="5"/>
      <c r="V161" s="5"/>
      <c r="W161" s="5"/>
    </row>
    <row r="162" spans="1:88" x14ac:dyDescent="0.2">
      <c r="A162" s="5">
        <v>50</v>
      </c>
      <c r="B162" s="5">
        <v>0</v>
      </c>
      <c r="C162" s="5">
        <v>0</v>
      </c>
      <c r="D162" s="5">
        <v>1</v>
      </c>
      <c r="E162" s="5">
        <v>232</v>
      </c>
      <c r="F162" s="5">
        <f>ROUND(Source!BC146,O162)</f>
        <v>0</v>
      </c>
      <c r="G162" s="5" t="s">
        <v>145</v>
      </c>
      <c r="H162" s="5" t="s">
        <v>146</v>
      </c>
      <c r="I162" s="5"/>
      <c r="J162" s="5"/>
      <c r="K162" s="5">
        <v>232</v>
      </c>
      <c r="L162" s="5">
        <v>15</v>
      </c>
      <c r="M162" s="5">
        <v>3</v>
      </c>
      <c r="N162" s="5" t="s">
        <v>3</v>
      </c>
      <c r="O162" s="5">
        <v>2</v>
      </c>
      <c r="P162" s="5">
        <f>ROUND(Source!EU146,O162)</f>
        <v>0</v>
      </c>
      <c r="Q162" s="5"/>
      <c r="R162" s="5"/>
      <c r="S162" s="5"/>
      <c r="T162" s="5"/>
      <c r="U162" s="5"/>
      <c r="V162" s="5"/>
      <c r="W162" s="5"/>
    </row>
    <row r="163" spans="1:88" x14ac:dyDescent="0.2">
      <c r="A163" s="5">
        <v>50</v>
      </c>
      <c r="B163" s="5">
        <v>0</v>
      </c>
      <c r="C163" s="5">
        <v>0</v>
      </c>
      <c r="D163" s="5">
        <v>1</v>
      </c>
      <c r="E163" s="5">
        <v>214</v>
      </c>
      <c r="F163" s="5">
        <f>ROUND(Source!AS146,O163)</f>
        <v>185.38</v>
      </c>
      <c r="G163" s="5" t="s">
        <v>147</v>
      </c>
      <c r="H163" s="5" t="s">
        <v>148</v>
      </c>
      <c r="I163" s="5"/>
      <c r="J163" s="5"/>
      <c r="K163" s="5">
        <v>214</v>
      </c>
      <c r="L163" s="5">
        <v>16</v>
      </c>
      <c r="M163" s="5">
        <v>3</v>
      </c>
      <c r="N163" s="5" t="s">
        <v>3</v>
      </c>
      <c r="O163" s="5">
        <v>2</v>
      </c>
      <c r="P163" s="5">
        <f>ROUND(Source!EK146,O163)</f>
        <v>5557.16</v>
      </c>
      <c r="Q163" s="5"/>
      <c r="R163" s="5"/>
      <c r="S163" s="5"/>
      <c r="T163" s="5"/>
      <c r="U163" s="5"/>
      <c r="V163" s="5"/>
      <c r="W163" s="5"/>
    </row>
    <row r="164" spans="1:88" x14ac:dyDescent="0.2">
      <c r="A164" s="5">
        <v>50</v>
      </c>
      <c r="B164" s="5">
        <v>0</v>
      </c>
      <c r="C164" s="5">
        <v>0</v>
      </c>
      <c r="D164" s="5">
        <v>1</v>
      </c>
      <c r="E164" s="5">
        <v>215</v>
      </c>
      <c r="F164" s="5">
        <f>ROUND(Source!AT146,O164)</f>
        <v>0</v>
      </c>
      <c r="G164" s="5" t="s">
        <v>149</v>
      </c>
      <c r="H164" s="5" t="s">
        <v>150</v>
      </c>
      <c r="I164" s="5"/>
      <c r="J164" s="5"/>
      <c r="K164" s="5">
        <v>215</v>
      </c>
      <c r="L164" s="5">
        <v>17</v>
      </c>
      <c r="M164" s="5">
        <v>3</v>
      </c>
      <c r="N164" s="5" t="s">
        <v>3</v>
      </c>
      <c r="O164" s="5">
        <v>2</v>
      </c>
      <c r="P164" s="5">
        <f>ROUND(Source!EL146,O164)</f>
        <v>0</v>
      </c>
      <c r="Q164" s="5"/>
      <c r="R164" s="5"/>
      <c r="S164" s="5"/>
      <c r="T164" s="5"/>
      <c r="U164" s="5"/>
      <c r="V164" s="5"/>
      <c r="W164" s="5"/>
    </row>
    <row r="165" spans="1:88" x14ac:dyDescent="0.2">
      <c r="A165" s="5">
        <v>50</v>
      </c>
      <c r="B165" s="5">
        <v>0</v>
      </c>
      <c r="C165" s="5">
        <v>0</v>
      </c>
      <c r="D165" s="5">
        <v>1</v>
      </c>
      <c r="E165" s="5">
        <v>217</v>
      </c>
      <c r="F165" s="5">
        <f>ROUND(Source!AU146,O165)</f>
        <v>0</v>
      </c>
      <c r="G165" s="5" t="s">
        <v>151</v>
      </c>
      <c r="H165" s="5" t="s">
        <v>152</v>
      </c>
      <c r="I165" s="5"/>
      <c r="J165" s="5"/>
      <c r="K165" s="5">
        <v>217</v>
      </c>
      <c r="L165" s="5">
        <v>18</v>
      </c>
      <c r="M165" s="5">
        <v>3</v>
      </c>
      <c r="N165" s="5" t="s">
        <v>3</v>
      </c>
      <c r="O165" s="5">
        <v>2</v>
      </c>
      <c r="P165" s="5">
        <f>ROUND(Source!EM146,O165)</f>
        <v>0</v>
      </c>
      <c r="Q165" s="5"/>
      <c r="R165" s="5"/>
      <c r="S165" s="5"/>
      <c r="T165" s="5"/>
      <c r="U165" s="5"/>
      <c r="V165" s="5"/>
      <c r="W165" s="5"/>
    </row>
    <row r="166" spans="1:88" x14ac:dyDescent="0.2">
      <c r="A166" s="5">
        <v>50</v>
      </c>
      <c r="B166" s="5">
        <v>0</v>
      </c>
      <c r="C166" s="5">
        <v>0</v>
      </c>
      <c r="D166" s="5">
        <v>1</v>
      </c>
      <c r="E166" s="5">
        <v>230</v>
      </c>
      <c r="F166" s="5">
        <f>ROUND(Source!BA146,O166)</f>
        <v>0</v>
      </c>
      <c r="G166" s="5" t="s">
        <v>153</v>
      </c>
      <c r="H166" s="5" t="s">
        <v>154</v>
      </c>
      <c r="I166" s="5"/>
      <c r="J166" s="5"/>
      <c r="K166" s="5">
        <v>230</v>
      </c>
      <c r="L166" s="5">
        <v>19</v>
      </c>
      <c r="M166" s="5">
        <v>3</v>
      </c>
      <c r="N166" s="5" t="s">
        <v>3</v>
      </c>
      <c r="O166" s="5">
        <v>2</v>
      </c>
      <c r="P166" s="5">
        <f>ROUND(Source!ES146,O166)</f>
        <v>0</v>
      </c>
      <c r="Q166" s="5"/>
      <c r="R166" s="5"/>
      <c r="S166" s="5"/>
      <c r="T166" s="5"/>
      <c r="U166" s="5"/>
      <c r="V166" s="5"/>
      <c r="W166" s="5"/>
    </row>
    <row r="167" spans="1:88" x14ac:dyDescent="0.2">
      <c r="A167" s="5">
        <v>50</v>
      </c>
      <c r="B167" s="5">
        <v>0</v>
      </c>
      <c r="C167" s="5">
        <v>0</v>
      </c>
      <c r="D167" s="5">
        <v>1</v>
      </c>
      <c r="E167" s="5">
        <v>206</v>
      </c>
      <c r="F167" s="5">
        <f>ROUND(Source!T146,O167)</f>
        <v>0</v>
      </c>
      <c r="G167" s="5" t="s">
        <v>155</v>
      </c>
      <c r="H167" s="5" t="s">
        <v>156</v>
      </c>
      <c r="I167" s="5"/>
      <c r="J167" s="5"/>
      <c r="K167" s="5">
        <v>206</v>
      </c>
      <c r="L167" s="5">
        <v>20</v>
      </c>
      <c r="M167" s="5">
        <v>3</v>
      </c>
      <c r="N167" s="5" t="s">
        <v>3</v>
      </c>
      <c r="O167" s="5">
        <v>2</v>
      </c>
      <c r="P167" s="5">
        <f>ROUND(Source!DL146,O167)</f>
        <v>0</v>
      </c>
      <c r="Q167" s="5"/>
      <c r="R167" s="5"/>
      <c r="S167" s="5"/>
      <c r="T167" s="5"/>
      <c r="U167" s="5"/>
      <c r="V167" s="5"/>
      <c r="W167" s="5"/>
    </row>
    <row r="168" spans="1:88" x14ac:dyDescent="0.2">
      <c r="A168" s="5">
        <v>50</v>
      </c>
      <c r="B168" s="5">
        <v>0</v>
      </c>
      <c r="C168" s="5">
        <v>0</v>
      </c>
      <c r="D168" s="5">
        <v>1</v>
      </c>
      <c r="E168" s="5">
        <v>207</v>
      </c>
      <c r="F168" s="5">
        <f>Source!U146</f>
        <v>8.9279600000000006</v>
      </c>
      <c r="G168" s="5" t="s">
        <v>157</v>
      </c>
      <c r="H168" s="5" t="s">
        <v>158</v>
      </c>
      <c r="I168" s="5"/>
      <c r="J168" s="5"/>
      <c r="K168" s="5">
        <v>207</v>
      </c>
      <c r="L168" s="5">
        <v>21</v>
      </c>
      <c r="M168" s="5">
        <v>3</v>
      </c>
      <c r="N168" s="5" t="s">
        <v>3</v>
      </c>
      <c r="O168" s="5">
        <v>-1</v>
      </c>
      <c r="P168" s="5">
        <f>Source!DM146</f>
        <v>8.9279600000000006</v>
      </c>
      <c r="Q168" s="5"/>
      <c r="R168" s="5"/>
      <c r="S168" s="5"/>
      <c r="T168" s="5"/>
      <c r="U168" s="5"/>
      <c r="V168" s="5"/>
      <c r="W168" s="5"/>
    </row>
    <row r="169" spans="1:88" x14ac:dyDescent="0.2">
      <c r="A169" s="5">
        <v>50</v>
      </c>
      <c r="B169" s="5">
        <v>0</v>
      </c>
      <c r="C169" s="5">
        <v>0</v>
      </c>
      <c r="D169" s="5">
        <v>1</v>
      </c>
      <c r="E169" s="5">
        <v>208</v>
      </c>
      <c r="F169" s="5">
        <f>Source!V146</f>
        <v>0</v>
      </c>
      <c r="G169" s="5" t="s">
        <v>159</v>
      </c>
      <c r="H169" s="5" t="s">
        <v>160</v>
      </c>
      <c r="I169" s="5"/>
      <c r="J169" s="5"/>
      <c r="K169" s="5">
        <v>208</v>
      </c>
      <c r="L169" s="5">
        <v>22</v>
      </c>
      <c r="M169" s="5">
        <v>3</v>
      </c>
      <c r="N169" s="5" t="s">
        <v>3</v>
      </c>
      <c r="O169" s="5">
        <v>-1</v>
      </c>
      <c r="P169" s="5">
        <f>Source!DN146</f>
        <v>0</v>
      </c>
      <c r="Q169" s="5"/>
      <c r="R169" s="5"/>
      <c r="S169" s="5"/>
      <c r="T169" s="5"/>
      <c r="U169" s="5"/>
      <c r="V169" s="5"/>
      <c r="W169" s="5"/>
    </row>
    <row r="170" spans="1:88" x14ac:dyDescent="0.2">
      <c r="A170" s="5">
        <v>50</v>
      </c>
      <c r="B170" s="5">
        <v>0</v>
      </c>
      <c r="C170" s="5">
        <v>0</v>
      </c>
      <c r="D170" s="5">
        <v>1</v>
      </c>
      <c r="E170" s="5">
        <v>209</v>
      </c>
      <c r="F170" s="5">
        <f>ROUND(Source!W146,O170)</f>
        <v>0</v>
      </c>
      <c r="G170" s="5" t="s">
        <v>161</v>
      </c>
      <c r="H170" s="5" t="s">
        <v>162</v>
      </c>
      <c r="I170" s="5"/>
      <c r="J170" s="5"/>
      <c r="K170" s="5">
        <v>209</v>
      </c>
      <c r="L170" s="5">
        <v>23</v>
      </c>
      <c r="M170" s="5">
        <v>3</v>
      </c>
      <c r="N170" s="5" t="s">
        <v>3</v>
      </c>
      <c r="O170" s="5">
        <v>2</v>
      </c>
      <c r="P170" s="5">
        <f>ROUND(Source!DO146,O170)</f>
        <v>0</v>
      </c>
      <c r="Q170" s="5"/>
      <c r="R170" s="5"/>
      <c r="S170" s="5"/>
      <c r="T170" s="5"/>
      <c r="U170" s="5"/>
      <c r="V170" s="5"/>
      <c r="W170" s="5"/>
    </row>
    <row r="171" spans="1:88" x14ac:dyDescent="0.2">
      <c r="A171" s="5">
        <v>50</v>
      </c>
      <c r="B171" s="5">
        <v>0</v>
      </c>
      <c r="C171" s="5">
        <v>0</v>
      </c>
      <c r="D171" s="5">
        <v>1</v>
      </c>
      <c r="E171" s="5">
        <v>210</v>
      </c>
      <c r="F171" s="5">
        <f>ROUND(Source!X146,O171)</f>
        <v>0</v>
      </c>
      <c r="G171" s="5" t="s">
        <v>163</v>
      </c>
      <c r="H171" s="5" t="s">
        <v>164</v>
      </c>
      <c r="I171" s="5"/>
      <c r="J171" s="5"/>
      <c r="K171" s="5">
        <v>210</v>
      </c>
      <c r="L171" s="5">
        <v>24</v>
      </c>
      <c r="M171" s="5">
        <v>3</v>
      </c>
      <c r="N171" s="5" t="s">
        <v>3</v>
      </c>
      <c r="O171" s="5">
        <v>2</v>
      </c>
      <c r="P171" s="5">
        <f>ROUND(Source!DP146,O171)</f>
        <v>1566.02</v>
      </c>
      <c r="Q171" s="5"/>
      <c r="R171" s="5"/>
      <c r="S171" s="5"/>
      <c r="T171" s="5"/>
      <c r="U171" s="5"/>
      <c r="V171" s="5"/>
      <c r="W171" s="5"/>
    </row>
    <row r="172" spans="1:88" x14ac:dyDescent="0.2">
      <c r="A172" s="5">
        <v>50</v>
      </c>
      <c r="B172" s="5">
        <v>0</v>
      </c>
      <c r="C172" s="5">
        <v>0</v>
      </c>
      <c r="D172" s="5">
        <v>1</v>
      </c>
      <c r="E172" s="5">
        <v>211</v>
      </c>
      <c r="F172" s="5">
        <f>ROUND(Source!Y146,O172)</f>
        <v>0</v>
      </c>
      <c r="G172" s="5" t="s">
        <v>165</v>
      </c>
      <c r="H172" s="5" t="s">
        <v>166</v>
      </c>
      <c r="I172" s="5"/>
      <c r="J172" s="5"/>
      <c r="K172" s="5">
        <v>211</v>
      </c>
      <c r="L172" s="5">
        <v>25</v>
      </c>
      <c r="M172" s="5">
        <v>3</v>
      </c>
      <c r="N172" s="5" t="s">
        <v>3</v>
      </c>
      <c r="O172" s="5">
        <v>2</v>
      </c>
      <c r="P172" s="5">
        <f>ROUND(Source!DQ146,O172)</f>
        <v>938.78</v>
      </c>
      <c r="Q172" s="5"/>
      <c r="R172" s="5"/>
      <c r="S172" s="5"/>
      <c r="T172" s="5"/>
      <c r="U172" s="5"/>
      <c r="V172" s="5"/>
      <c r="W172" s="5"/>
    </row>
    <row r="173" spans="1:88" x14ac:dyDescent="0.2">
      <c r="A173" s="5">
        <v>50</v>
      </c>
      <c r="B173" s="5">
        <v>0</v>
      </c>
      <c r="C173" s="5">
        <v>0</v>
      </c>
      <c r="D173" s="5">
        <v>1</v>
      </c>
      <c r="E173" s="5">
        <v>224</v>
      </c>
      <c r="F173" s="5">
        <f>ROUND(Source!AR146,O173)</f>
        <v>185.38</v>
      </c>
      <c r="G173" s="5" t="s">
        <v>167</v>
      </c>
      <c r="H173" s="5" t="s">
        <v>168</v>
      </c>
      <c r="I173" s="5"/>
      <c r="J173" s="5"/>
      <c r="K173" s="5">
        <v>224</v>
      </c>
      <c r="L173" s="5">
        <v>26</v>
      </c>
      <c r="M173" s="5">
        <v>3</v>
      </c>
      <c r="N173" s="5" t="s">
        <v>3</v>
      </c>
      <c r="O173" s="5">
        <v>2</v>
      </c>
      <c r="P173" s="5">
        <f>ROUND(Source!EJ146,O173)</f>
        <v>5557.16</v>
      </c>
      <c r="Q173" s="5"/>
      <c r="R173" s="5"/>
      <c r="S173" s="5"/>
      <c r="T173" s="5"/>
      <c r="U173" s="5"/>
      <c r="V173" s="5"/>
      <c r="W173" s="5"/>
    </row>
    <row r="175" spans="1:88" x14ac:dyDescent="0.2">
      <c r="A175" s="1">
        <v>4</v>
      </c>
      <c r="B175" s="1">
        <v>1</v>
      </c>
      <c r="C175" s="1"/>
      <c r="D175" s="1">
        <f>ROW(A511)</f>
        <v>511</v>
      </c>
      <c r="E175" s="1"/>
      <c r="F175" s="1" t="s">
        <v>16</v>
      </c>
      <c r="G175" s="1" t="s">
        <v>205</v>
      </c>
      <c r="H175" s="1" t="s">
        <v>3</v>
      </c>
      <c r="I175" s="1">
        <v>0</v>
      </c>
      <c r="J175" s="1"/>
      <c r="K175" s="1">
        <v>-1</v>
      </c>
      <c r="L175" s="1"/>
      <c r="M175" s="1"/>
      <c r="N175" s="1"/>
      <c r="O175" s="1"/>
      <c r="P175" s="1"/>
      <c r="Q175" s="1"/>
      <c r="R175" s="1"/>
      <c r="S175" s="1"/>
      <c r="T175" s="1"/>
      <c r="U175" s="1" t="s">
        <v>3</v>
      </c>
      <c r="V175" s="1">
        <v>0</v>
      </c>
      <c r="W175" s="1"/>
      <c r="X175" s="1"/>
      <c r="Y175" s="1"/>
      <c r="Z175" s="1"/>
      <c r="AA175" s="1"/>
      <c r="AB175" s="1" t="s">
        <v>3</v>
      </c>
      <c r="AC175" s="1" t="s">
        <v>3</v>
      </c>
      <c r="AD175" s="1" t="s">
        <v>3</v>
      </c>
      <c r="AE175" s="1" t="s">
        <v>3</v>
      </c>
      <c r="AF175" s="1" t="s">
        <v>3</v>
      </c>
      <c r="AG175" s="1" t="s">
        <v>3</v>
      </c>
      <c r="AH175" s="1"/>
      <c r="AI175" s="1"/>
      <c r="AJ175" s="1"/>
      <c r="AK175" s="1"/>
      <c r="AL175" s="1"/>
      <c r="AM175" s="1"/>
      <c r="AN175" s="1"/>
      <c r="AO175" s="1"/>
      <c r="AP175" s="1" t="s">
        <v>3</v>
      </c>
      <c r="AQ175" s="1" t="s">
        <v>3</v>
      </c>
      <c r="AR175" s="1" t="s">
        <v>3</v>
      </c>
      <c r="AS175" s="1"/>
      <c r="AT175" s="1"/>
      <c r="AU175" s="1"/>
      <c r="AV175" s="1"/>
      <c r="AW175" s="1"/>
      <c r="AX175" s="1"/>
      <c r="AY175" s="1"/>
      <c r="AZ175" s="1" t="s">
        <v>3</v>
      </c>
      <c r="BA175" s="1"/>
      <c r="BB175" s="1" t="s">
        <v>3</v>
      </c>
      <c r="BC175" s="1" t="s">
        <v>3</v>
      </c>
      <c r="BD175" s="1" t="s">
        <v>3</v>
      </c>
      <c r="BE175" s="1" t="s">
        <v>3</v>
      </c>
      <c r="BF175" s="1" t="s">
        <v>3</v>
      </c>
      <c r="BG175" s="1" t="s">
        <v>3</v>
      </c>
      <c r="BH175" s="1" t="s">
        <v>3</v>
      </c>
      <c r="BI175" s="1" t="s">
        <v>3</v>
      </c>
      <c r="BJ175" s="1" t="s">
        <v>3</v>
      </c>
      <c r="BK175" s="1" t="s">
        <v>3</v>
      </c>
      <c r="BL175" s="1" t="s">
        <v>3</v>
      </c>
      <c r="BM175" s="1" t="s">
        <v>3</v>
      </c>
      <c r="BN175" s="1" t="s">
        <v>3</v>
      </c>
      <c r="BO175" s="1" t="s">
        <v>3</v>
      </c>
      <c r="BP175" s="1" t="s">
        <v>3</v>
      </c>
      <c r="BQ175" s="1"/>
      <c r="BR175" s="1"/>
      <c r="BS175" s="1"/>
      <c r="BT175" s="1"/>
      <c r="BU175" s="1"/>
      <c r="BV175" s="1"/>
      <c r="BW175" s="1"/>
      <c r="BX175" s="1">
        <v>0</v>
      </c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>
        <v>0</v>
      </c>
    </row>
    <row r="177" spans="1:255" x14ac:dyDescent="0.2">
      <c r="A177" s="3">
        <v>52</v>
      </c>
      <c r="B177" s="3">
        <f t="shared" ref="B177:G177" si="136">B511</f>
        <v>1</v>
      </c>
      <c r="C177" s="3">
        <f t="shared" si="136"/>
        <v>4</v>
      </c>
      <c r="D177" s="3">
        <f t="shared" si="136"/>
        <v>175</v>
      </c>
      <c r="E177" s="3">
        <f t="shared" si="136"/>
        <v>0</v>
      </c>
      <c r="F177" s="3" t="str">
        <f t="shared" si="136"/>
        <v>Новый раздел</v>
      </c>
      <c r="G177" s="3" t="str">
        <f t="shared" si="136"/>
        <v>Монтажные работы</v>
      </c>
      <c r="H177" s="3"/>
      <c r="I177" s="3"/>
      <c r="J177" s="3"/>
      <c r="K177" s="3"/>
      <c r="L177" s="3"/>
      <c r="M177" s="3"/>
      <c r="N177" s="3"/>
      <c r="O177" s="3">
        <f t="shared" ref="O177:AT177" si="137">O511</f>
        <v>87675.94</v>
      </c>
      <c r="P177" s="3">
        <f t="shared" si="137"/>
        <v>85908.15</v>
      </c>
      <c r="Q177" s="3">
        <f t="shared" si="137"/>
        <v>319.25</v>
      </c>
      <c r="R177" s="3">
        <f t="shared" si="137"/>
        <v>78.45</v>
      </c>
      <c r="S177" s="3">
        <f t="shared" si="137"/>
        <v>1448.54</v>
      </c>
      <c r="T177" s="3">
        <f t="shared" si="137"/>
        <v>0</v>
      </c>
      <c r="U177" s="3">
        <f t="shared" si="137"/>
        <v>118.83653799999999</v>
      </c>
      <c r="V177" s="3">
        <f t="shared" si="137"/>
        <v>0</v>
      </c>
      <c r="W177" s="3">
        <f t="shared" si="137"/>
        <v>0</v>
      </c>
      <c r="X177" s="3">
        <f t="shared" si="137"/>
        <v>0</v>
      </c>
      <c r="Y177" s="3">
        <f t="shared" si="137"/>
        <v>0</v>
      </c>
      <c r="Z177" s="3">
        <f t="shared" si="137"/>
        <v>0</v>
      </c>
      <c r="AA177" s="3">
        <f t="shared" si="137"/>
        <v>0</v>
      </c>
      <c r="AB177" s="3">
        <f t="shared" si="137"/>
        <v>0</v>
      </c>
      <c r="AC177" s="3">
        <f t="shared" si="137"/>
        <v>0</v>
      </c>
      <c r="AD177" s="3">
        <f t="shared" si="137"/>
        <v>0</v>
      </c>
      <c r="AE177" s="3">
        <f t="shared" si="137"/>
        <v>0</v>
      </c>
      <c r="AF177" s="3">
        <f t="shared" si="137"/>
        <v>0</v>
      </c>
      <c r="AG177" s="3">
        <f t="shared" si="137"/>
        <v>0</v>
      </c>
      <c r="AH177" s="3">
        <f t="shared" si="137"/>
        <v>0</v>
      </c>
      <c r="AI177" s="3">
        <f t="shared" si="137"/>
        <v>0</v>
      </c>
      <c r="AJ177" s="3">
        <f t="shared" si="137"/>
        <v>0</v>
      </c>
      <c r="AK177" s="3">
        <f t="shared" si="137"/>
        <v>0</v>
      </c>
      <c r="AL177" s="3">
        <f t="shared" si="137"/>
        <v>0</v>
      </c>
      <c r="AM177" s="3">
        <f t="shared" si="137"/>
        <v>0</v>
      </c>
      <c r="AN177" s="3">
        <f t="shared" si="137"/>
        <v>0</v>
      </c>
      <c r="AO177" s="3">
        <f t="shared" si="137"/>
        <v>0</v>
      </c>
      <c r="AP177" s="3">
        <f t="shared" si="137"/>
        <v>0</v>
      </c>
      <c r="AQ177" s="3">
        <f t="shared" si="137"/>
        <v>0</v>
      </c>
      <c r="AR177" s="3">
        <f t="shared" si="137"/>
        <v>87817.14</v>
      </c>
      <c r="AS177" s="3">
        <f t="shared" si="137"/>
        <v>77533.94</v>
      </c>
      <c r="AT177" s="3">
        <f t="shared" si="137"/>
        <v>10283.200000000001</v>
      </c>
      <c r="AU177" s="3">
        <f t="shared" ref="AU177:BZ177" si="138">AU511</f>
        <v>0</v>
      </c>
      <c r="AV177" s="3">
        <f t="shared" si="138"/>
        <v>85908.15</v>
      </c>
      <c r="AW177" s="3">
        <f t="shared" si="138"/>
        <v>85908.15</v>
      </c>
      <c r="AX177" s="3">
        <f t="shared" si="138"/>
        <v>0</v>
      </c>
      <c r="AY177" s="3">
        <f t="shared" si="138"/>
        <v>85908.15</v>
      </c>
      <c r="AZ177" s="3">
        <f t="shared" si="138"/>
        <v>0</v>
      </c>
      <c r="BA177" s="3">
        <f t="shared" si="138"/>
        <v>0</v>
      </c>
      <c r="BB177" s="3">
        <f t="shared" si="138"/>
        <v>0</v>
      </c>
      <c r="BC177" s="3">
        <f t="shared" si="138"/>
        <v>0</v>
      </c>
      <c r="BD177" s="3">
        <f t="shared" si="138"/>
        <v>0</v>
      </c>
      <c r="BE177" s="3">
        <f t="shared" si="138"/>
        <v>0</v>
      </c>
      <c r="BF177" s="3">
        <f t="shared" si="138"/>
        <v>0</v>
      </c>
      <c r="BG177" s="3">
        <f t="shared" si="138"/>
        <v>0</v>
      </c>
      <c r="BH177" s="3">
        <f t="shared" si="138"/>
        <v>0</v>
      </c>
      <c r="BI177" s="3">
        <f t="shared" si="138"/>
        <v>0</v>
      </c>
      <c r="BJ177" s="3">
        <f t="shared" si="138"/>
        <v>0</v>
      </c>
      <c r="BK177" s="3">
        <f t="shared" si="138"/>
        <v>0</v>
      </c>
      <c r="BL177" s="3">
        <f t="shared" si="138"/>
        <v>0</v>
      </c>
      <c r="BM177" s="3">
        <f t="shared" si="138"/>
        <v>0</v>
      </c>
      <c r="BN177" s="3">
        <f t="shared" si="138"/>
        <v>0</v>
      </c>
      <c r="BO177" s="3">
        <f t="shared" si="138"/>
        <v>0</v>
      </c>
      <c r="BP177" s="3">
        <f t="shared" si="138"/>
        <v>0</v>
      </c>
      <c r="BQ177" s="3">
        <f t="shared" si="138"/>
        <v>0</v>
      </c>
      <c r="BR177" s="3">
        <f t="shared" si="138"/>
        <v>0</v>
      </c>
      <c r="BS177" s="3">
        <f t="shared" si="138"/>
        <v>0</v>
      </c>
      <c r="BT177" s="3">
        <f t="shared" si="138"/>
        <v>0</v>
      </c>
      <c r="BU177" s="3">
        <f t="shared" si="138"/>
        <v>0</v>
      </c>
      <c r="BV177" s="3">
        <f t="shared" si="138"/>
        <v>0</v>
      </c>
      <c r="BW177" s="3">
        <f t="shared" si="138"/>
        <v>0</v>
      </c>
      <c r="BX177" s="3">
        <f t="shared" si="138"/>
        <v>0</v>
      </c>
      <c r="BY177" s="3">
        <f t="shared" si="138"/>
        <v>0</v>
      </c>
      <c r="BZ177" s="3">
        <f t="shared" si="138"/>
        <v>0</v>
      </c>
      <c r="CA177" s="3">
        <f t="shared" ref="CA177:DF177" si="139">CA511</f>
        <v>0</v>
      </c>
      <c r="CB177" s="3">
        <f t="shared" si="139"/>
        <v>0</v>
      </c>
      <c r="CC177" s="3">
        <f t="shared" si="139"/>
        <v>0</v>
      </c>
      <c r="CD177" s="3">
        <f t="shared" si="139"/>
        <v>0</v>
      </c>
      <c r="CE177" s="3">
        <f t="shared" si="139"/>
        <v>0</v>
      </c>
      <c r="CF177" s="3">
        <f t="shared" si="139"/>
        <v>0</v>
      </c>
      <c r="CG177" s="3">
        <f t="shared" si="139"/>
        <v>0</v>
      </c>
      <c r="CH177" s="3">
        <f t="shared" si="139"/>
        <v>0</v>
      </c>
      <c r="CI177" s="3">
        <f t="shared" si="139"/>
        <v>0</v>
      </c>
      <c r="CJ177" s="3">
        <f t="shared" si="139"/>
        <v>0</v>
      </c>
      <c r="CK177" s="3">
        <f t="shared" si="139"/>
        <v>0</v>
      </c>
      <c r="CL177" s="3">
        <f t="shared" si="139"/>
        <v>0</v>
      </c>
      <c r="CM177" s="3">
        <f t="shared" si="139"/>
        <v>0</v>
      </c>
      <c r="CN177" s="3">
        <f t="shared" si="139"/>
        <v>0</v>
      </c>
      <c r="CO177" s="3">
        <f t="shared" si="139"/>
        <v>0</v>
      </c>
      <c r="CP177" s="3">
        <f t="shared" si="139"/>
        <v>0</v>
      </c>
      <c r="CQ177" s="3">
        <f t="shared" si="139"/>
        <v>0</v>
      </c>
      <c r="CR177" s="3">
        <f t="shared" si="139"/>
        <v>0</v>
      </c>
      <c r="CS177" s="3">
        <f t="shared" si="139"/>
        <v>0</v>
      </c>
      <c r="CT177" s="3">
        <f t="shared" si="139"/>
        <v>0</v>
      </c>
      <c r="CU177" s="3">
        <f t="shared" si="139"/>
        <v>0</v>
      </c>
      <c r="CV177" s="3">
        <f t="shared" si="139"/>
        <v>0</v>
      </c>
      <c r="CW177" s="3">
        <f t="shared" si="139"/>
        <v>0</v>
      </c>
      <c r="CX177" s="3">
        <f t="shared" si="139"/>
        <v>0</v>
      </c>
      <c r="CY177" s="3">
        <f t="shared" si="139"/>
        <v>0</v>
      </c>
      <c r="CZ177" s="3">
        <f t="shared" si="139"/>
        <v>0</v>
      </c>
      <c r="DA177" s="3">
        <f t="shared" si="139"/>
        <v>0</v>
      </c>
      <c r="DB177" s="3">
        <f t="shared" si="139"/>
        <v>0</v>
      </c>
      <c r="DC177" s="3">
        <f t="shared" si="139"/>
        <v>0</v>
      </c>
      <c r="DD177" s="3">
        <f t="shared" si="139"/>
        <v>0</v>
      </c>
      <c r="DE177" s="3">
        <f t="shared" si="139"/>
        <v>0</v>
      </c>
      <c r="DF177" s="3">
        <f t="shared" si="139"/>
        <v>0</v>
      </c>
      <c r="DG177" s="4">
        <f t="shared" ref="DG177:EL177" si="140">DG511</f>
        <v>284192.28000000003</v>
      </c>
      <c r="DH177" s="4">
        <f t="shared" si="140"/>
        <v>251846.05</v>
      </c>
      <c r="DI177" s="4">
        <f t="shared" si="140"/>
        <v>2795.98</v>
      </c>
      <c r="DJ177" s="4">
        <f t="shared" si="140"/>
        <v>1600.2</v>
      </c>
      <c r="DK177" s="4">
        <f t="shared" si="140"/>
        <v>29550.25</v>
      </c>
      <c r="DL177" s="4">
        <f t="shared" si="140"/>
        <v>0</v>
      </c>
      <c r="DM177" s="4">
        <f t="shared" si="140"/>
        <v>118.83653799999999</v>
      </c>
      <c r="DN177" s="4">
        <f t="shared" si="140"/>
        <v>0</v>
      </c>
      <c r="DO177" s="4">
        <f t="shared" si="140"/>
        <v>0</v>
      </c>
      <c r="DP177" s="4">
        <f t="shared" si="140"/>
        <v>22122.04</v>
      </c>
      <c r="DQ177" s="4">
        <f t="shared" si="140"/>
        <v>12115.57</v>
      </c>
      <c r="DR177" s="4">
        <f t="shared" si="140"/>
        <v>0</v>
      </c>
      <c r="DS177" s="4">
        <f t="shared" si="140"/>
        <v>0</v>
      </c>
      <c r="DT177" s="4">
        <f t="shared" si="140"/>
        <v>0</v>
      </c>
      <c r="DU177" s="4">
        <f t="shared" si="140"/>
        <v>0</v>
      </c>
      <c r="DV177" s="4">
        <f t="shared" si="140"/>
        <v>0</v>
      </c>
      <c r="DW177" s="4">
        <f t="shared" si="140"/>
        <v>0</v>
      </c>
      <c r="DX177" s="4">
        <f t="shared" si="140"/>
        <v>0</v>
      </c>
      <c r="DY177" s="4">
        <f t="shared" si="140"/>
        <v>0</v>
      </c>
      <c r="DZ177" s="4">
        <f t="shared" si="140"/>
        <v>0</v>
      </c>
      <c r="EA177" s="4">
        <f t="shared" si="140"/>
        <v>0</v>
      </c>
      <c r="EB177" s="4">
        <f t="shared" si="140"/>
        <v>0</v>
      </c>
      <c r="EC177" s="4">
        <f t="shared" si="140"/>
        <v>0</v>
      </c>
      <c r="ED177" s="4">
        <f t="shared" si="140"/>
        <v>0</v>
      </c>
      <c r="EE177" s="4">
        <f t="shared" si="140"/>
        <v>0</v>
      </c>
      <c r="EF177" s="4">
        <f t="shared" si="140"/>
        <v>0</v>
      </c>
      <c r="EG177" s="4">
        <f t="shared" si="140"/>
        <v>0</v>
      </c>
      <c r="EH177" s="4">
        <f t="shared" si="140"/>
        <v>0</v>
      </c>
      <c r="EI177" s="4">
        <f t="shared" si="140"/>
        <v>0</v>
      </c>
      <c r="EJ177" s="4">
        <f t="shared" si="140"/>
        <v>321118.24</v>
      </c>
      <c r="EK177" s="4">
        <f t="shared" si="140"/>
        <v>266359.03999999998</v>
      </c>
      <c r="EL177" s="4">
        <f t="shared" si="140"/>
        <v>54759.199999999997</v>
      </c>
      <c r="EM177" s="4">
        <f t="shared" ref="EM177:FR177" si="141">EM511</f>
        <v>0</v>
      </c>
      <c r="EN177" s="4">
        <f t="shared" si="141"/>
        <v>251846.05</v>
      </c>
      <c r="EO177" s="4">
        <f t="shared" si="141"/>
        <v>251846.05</v>
      </c>
      <c r="EP177" s="4">
        <f t="shared" si="141"/>
        <v>0</v>
      </c>
      <c r="EQ177" s="4">
        <f t="shared" si="141"/>
        <v>251846.05</v>
      </c>
      <c r="ER177" s="4">
        <f t="shared" si="141"/>
        <v>0</v>
      </c>
      <c r="ES177" s="4">
        <f t="shared" si="141"/>
        <v>0</v>
      </c>
      <c r="ET177" s="4">
        <f t="shared" si="141"/>
        <v>0</v>
      </c>
      <c r="EU177" s="4">
        <f t="shared" si="141"/>
        <v>0</v>
      </c>
      <c r="EV177" s="4">
        <f t="shared" si="141"/>
        <v>0</v>
      </c>
      <c r="EW177" s="4">
        <f t="shared" si="141"/>
        <v>0</v>
      </c>
      <c r="EX177" s="4">
        <f t="shared" si="141"/>
        <v>0</v>
      </c>
      <c r="EY177" s="4">
        <f t="shared" si="141"/>
        <v>0</v>
      </c>
      <c r="EZ177" s="4">
        <f t="shared" si="141"/>
        <v>0</v>
      </c>
      <c r="FA177" s="4">
        <f t="shared" si="141"/>
        <v>0</v>
      </c>
      <c r="FB177" s="4">
        <f t="shared" si="141"/>
        <v>0</v>
      </c>
      <c r="FC177" s="4">
        <f t="shared" si="141"/>
        <v>0</v>
      </c>
      <c r="FD177" s="4">
        <f t="shared" si="141"/>
        <v>0</v>
      </c>
      <c r="FE177" s="4">
        <f t="shared" si="141"/>
        <v>0</v>
      </c>
      <c r="FF177" s="4">
        <f t="shared" si="141"/>
        <v>0</v>
      </c>
      <c r="FG177" s="4">
        <f t="shared" si="141"/>
        <v>0</v>
      </c>
      <c r="FH177" s="4">
        <f t="shared" si="141"/>
        <v>0</v>
      </c>
      <c r="FI177" s="4">
        <f t="shared" si="141"/>
        <v>0</v>
      </c>
      <c r="FJ177" s="4">
        <f t="shared" si="141"/>
        <v>0</v>
      </c>
      <c r="FK177" s="4">
        <f t="shared" si="141"/>
        <v>0</v>
      </c>
      <c r="FL177" s="4">
        <f t="shared" si="141"/>
        <v>0</v>
      </c>
      <c r="FM177" s="4">
        <f t="shared" si="141"/>
        <v>0</v>
      </c>
      <c r="FN177" s="4">
        <f t="shared" si="141"/>
        <v>0</v>
      </c>
      <c r="FO177" s="4">
        <f t="shared" si="141"/>
        <v>0</v>
      </c>
      <c r="FP177" s="4">
        <f t="shared" si="141"/>
        <v>0</v>
      </c>
      <c r="FQ177" s="4">
        <f t="shared" si="141"/>
        <v>0</v>
      </c>
      <c r="FR177" s="4">
        <f t="shared" si="141"/>
        <v>0</v>
      </c>
      <c r="FS177" s="4">
        <f t="shared" ref="FS177:GX177" si="142">FS511</f>
        <v>0</v>
      </c>
      <c r="FT177" s="4">
        <f t="shared" si="142"/>
        <v>0</v>
      </c>
      <c r="FU177" s="4">
        <f t="shared" si="142"/>
        <v>0</v>
      </c>
      <c r="FV177" s="4">
        <f t="shared" si="142"/>
        <v>0</v>
      </c>
      <c r="FW177" s="4">
        <f t="shared" si="142"/>
        <v>0</v>
      </c>
      <c r="FX177" s="4">
        <f t="shared" si="142"/>
        <v>0</v>
      </c>
      <c r="FY177" s="4">
        <f t="shared" si="142"/>
        <v>0</v>
      </c>
      <c r="FZ177" s="4">
        <f t="shared" si="142"/>
        <v>0</v>
      </c>
      <c r="GA177" s="4">
        <f t="shared" si="142"/>
        <v>0</v>
      </c>
      <c r="GB177" s="4">
        <f t="shared" si="142"/>
        <v>0</v>
      </c>
      <c r="GC177" s="4">
        <f t="shared" si="142"/>
        <v>0</v>
      </c>
      <c r="GD177" s="4">
        <f t="shared" si="142"/>
        <v>0</v>
      </c>
      <c r="GE177" s="4">
        <f t="shared" si="142"/>
        <v>0</v>
      </c>
      <c r="GF177" s="4">
        <f t="shared" si="142"/>
        <v>0</v>
      </c>
      <c r="GG177" s="4">
        <f t="shared" si="142"/>
        <v>0</v>
      </c>
      <c r="GH177" s="4">
        <f t="shared" si="142"/>
        <v>0</v>
      </c>
      <c r="GI177" s="4">
        <f t="shared" si="142"/>
        <v>0</v>
      </c>
      <c r="GJ177" s="4">
        <f t="shared" si="142"/>
        <v>0</v>
      </c>
      <c r="GK177" s="4">
        <f t="shared" si="142"/>
        <v>0</v>
      </c>
      <c r="GL177" s="4">
        <f t="shared" si="142"/>
        <v>0</v>
      </c>
      <c r="GM177" s="4">
        <f t="shared" si="142"/>
        <v>0</v>
      </c>
      <c r="GN177" s="4">
        <f t="shared" si="142"/>
        <v>0</v>
      </c>
      <c r="GO177" s="4">
        <f t="shared" si="142"/>
        <v>0</v>
      </c>
      <c r="GP177" s="4">
        <f t="shared" si="142"/>
        <v>0</v>
      </c>
      <c r="GQ177" s="4">
        <f t="shared" si="142"/>
        <v>0</v>
      </c>
      <c r="GR177" s="4">
        <f t="shared" si="142"/>
        <v>0</v>
      </c>
      <c r="GS177" s="4">
        <f t="shared" si="142"/>
        <v>0</v>
      </c>
      <c r="GT177" s="4">
        <f t="shared" si="142"/>
        <v>0</v>
      </c>
      <c r="GU177" s="4">
        <f t="shared" si="142"/>
        <v>0</v>
      </c>
      <c r="GV177" s="4">
        <f t="shared" si="142"/>
        <v>0</v>
      </c>
      <c r="GW177" s="4">
        <f t="shared" si="142"/>
        <v>0</v>
      </c>
      <c r="GX177" s="4">
        <f t="shared" si="142"/>
        <v>0</v>
      </c>
    </row>
    <row r="179" spans="1:255" x14ac:dyDescent="0.2">
      <c r="A179" s="1">
        <v>5</v>
      </c>
      <c r="B179" s="1">
        <v>1</v>
      </c>
      <c r="C179" s="1"/>
      <c r="D179" s="1">
        <f>ROW(A238)</f>
        <v>238</v>
      </c>
      <c r="E179" s="1"/>
      <c r="F179" s="1" t="s">
        <v>170</v>
      </c>
      <c r="G179" s="1" t="s">
        <v>171</v>
      </c>
      <c r="H179" s="1" t="s">
        <v>3</v>
      </c>
      <c r="I179" s="1">
        <v>0</v>
      </c>
      <c r="J179" s="1"/>
      <c r="K179" s="1">
        <v>-1</v>
      </c>
      <c r="L179" s="1"/>
      <c r="M179" s="1"/>
      <c r="N179" s="1"/>
      <c r="O179" s="1"/>
      <c r="P179" s="1"/>
      <c r="Q179" s="1"/>
      <c r="R179" s="1"/>
      <c r="S179" s="1"/>
      <c r="T179" s="1"/>
      <c r="U179" s="1" t="s">
        <v>3</v>
      </c>
      <c r="V179" s="1">
        <v>0</v>
      </c>
      <c r="W179" s="1"/>
      <c r="X179" s="1"/>
      <c r="Y179" s="1"/>
      <c r="Z179" s="1"/>
      <c r="AA179" s="1"/>
      <c r="AB179" s="1" t="s">
        <v>3</v>
      </c>
      <c r="AC179" s="1" t="s">
        <v>3</v>
      </c>
      <c r="AD179" s="1" t="s">
        <v>3</v>
      </c>
      <c r="AE179" s="1" t="s">
        <v>3</v>
      </c>
      <c r="AF179" s="1" t="s">
        <v>3</v>
      </c>
      <c r="AG179" s="1" t="s">
        <v>3</v>
      </c>
      <c r="AH179" s="1"/>
      <c r="AI179" s="1"/>
      <c r="AJ179" s="1"/>
      <c r="AK179" s="1"/>
      <c r="AL179" s="1"/>
      <c r="AM179" s="1"/>
      <c r="AN179" s="1"/>
      <c r="AO179" s="1"/>
      <c r="AP179" s="1" t="s">
        <v>3</v>
      </c>
      <c r="AQ179" s="1" t="s">
        <v>3</v>
      </c>
      <c r="AR179" s="1" t="s">
        <v>3</v>
      </c>
      <c r="AS179" s="1"/>
      <c r="AT179" s="1"/>
      <c r="AU179" s="1"/>
      <c r="AV179" s="1"/>
      <c r="AW179" s="1"/>
      <c r="AX179" s="1"/>
      <c r="AY179" s="1"/>
      <c r="AZ179" s="1" t="s">
        <v>3</v>
      </c>
      <c r="BA179" s="1"/>
      <c r="BB179" s="1" t="s">
        <v>3</v>
      </c>
      <c r="BC179" s="1" t="s">
        <v>3</v>
      </c>
      <c r="BD179" s="1" t="s">
        <v>3</v>
      </c>
      <c r="BE179" s="1" t="s">
        <v>3</v>
      </c>
      <c r="BF179" s="1" t="s">
        <v>3</v>
      </c>
      <c r="BG179" s="1" t="s">
        <v>3</v>
      </c>
      <c r="BH179" s="1" t="s">
        <v>3</v>
      </c>
      <c r="BI179" s="1" t="s">
        <v>3</v>
      </c>
      <c r="BJ179" s="1" t="s">
        <v>3</v>
      </c>
      <c r="BK179" s="1" t="s">
        <v>3</v>
      </c>
      <c r="BL179" s="1" t="s">
        <v>3</v>
      </c>
      <c r="BM179" s="1" t="s">
        <v>3</v>
      </c>
      <c r="BN179" s="1" t="s">
        <v>3</v>
      </c>
      <c r="BO179" s="1" t="s">
        <v>3</v>
      </c>
      <c r="BP179" s="1" t="s">
        <v>3</v>
      </c>
      <c r="BQ179" s="1"/>
      <c r="BR179" s="1"/>
      <c r="BS179" s="1"/>
      <c r="BT179" s="1"/>
      <c r="BU179" s="1"/>
      <c r="BV179" s="1"/>
      <c r="BW179" s="1"/>
      <c r="BX179" s="1">
        <v>0</v>
      </c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>
        <v>0</v>
      </c>
    </row>
    <row r="181" spans="1:255" x14ac:dyDescent="0.2">
      <c r="A181" s="3">
        <v>52</v>
      </c>
      <c r="B181" s="3">
        <f t="shared" ref="B181:G181" si="143">B238</f>
        <v>1</v>
      </c>
      <c r="C181" s="3">
        <f t="shared" si="143"/>
        <v>5</v>
      </c>
      <c r="D181" s="3">
        <f t="shared" si="143"/>
        <v>179</v>
      </c>
      <c r="E181" s="3">
        <f t="shared" si="143"/>
        <v>0</v>
      </c>
      <c r="F181" s="3" t="str">
        <f t="shared" si="143"/>
        <v>Новый подраздел</v>
      </c>
      <c r="G181" s="3" t="str">
        <f t="shared" si="143"/>
        <v>Входная группа</v>
      </c>
      <c r="H181" s="3"/>
      <c r="I181" s="3"/>
      <c r="J181" s="3"/>
      <c r="K181" s="3"/>
      <c r="L181" s="3"/>
      <c r="M181" s="3"/>
      <c r="N181" s="3"/>
      <c r="O181" s="3">
        <f t="shared" ref="O181:AT181" si="144">O238</f>
        <v>70179.02</v>
      </c>
      <c r="P181" s="3">
        <f t="shared" si="144"/>
        <v>69329.67</v>
      </c>
      <c r="Q181" s="3">
        <f t="shared" si="144"/>
        <v>87.2</v>
      </c>
      <c r="R181" s="3">
        <f t="shared" si="144"/>
        <v>17.809999999999999</v>
      </c>
      <c r="S181" s="3">
        <f t="shared" si="144"/>
        <v>762.15</v>
      </c>
      <c r="T181" s="3">
        <f t="shared" si="144"/>
        <v>0</v>
      </c>
      <c r="U181" s="3">
        <f t="shared" si="144"/>
        <v>62.471300499999991</v>
      </c>
      <c r="V181" s="3">
        <f t="shared" si="144"/>
        <v>0</v>
      </c>
      <c r="W181" s="3">
        <f t="shared" si="144"/>
        <v>0</v>
      </c>
      <c r="X181" s="3">
        <f t="shared" si="144"/>
        <v>0</v>
      </c>
      <c r="Y181" s="3">
        <f t="shared" si="144"/>
        <v>0</v>
      </c>
      <c r="Z181" s="3">
        <f t="shared" si="144"/>
        <v>0</v>
      </c>
      <c r="AA181" s="3">
        <f t="shared" si="144"/>
        <v>0</v>
      </c>
      <c r="AB181" s="3">
        <f t="shared" si="144"/>
        <v>70179.02</v>
      </c>
      <c r="AC181" s="3">
        <f t="shared" si="144"/>
        <v>69329.67</v>
      </c>
      <c r="AD181" s="3">
        <f t="shared" si="144"/>
        <v>87.2</v>
      </c>
      <c r="AE181" s="3">
        <f t="shared" si="144"/>
        <v>17.809999999999999</v>
      </c>
      <c r="AF181" s="3">
        <f t="shared" si="144"/>
        <v>762.15</v>
      </c>
      <c r="AG181" s="3">
        <f t="shared" si="144"/>
        <v>0</v>
      </c>
      <c r="AH181" s="3">
        <f t="shared" si="144"/>
        <v>62.471300499999991</v>
      </c>
      <c r="AI181" s="3">
        <f t="shared" si="144"/>
        <v>0</v>
      </c>
      <c r="AJ181" s="3">
        <f t="shared" si="144"/>
        <v>0</v>
      </c>
      <c r="AK181" s="3">
        <f t="shared" si="144"/>
        <v>0</v>
      </c>
      <c r="AL181" s="3">
        <f t="shared" si="144"/>
        <v>0</v>
      </c>
      <c r="AM181" s="3">
        <f t="shared" si="144"/>
        <v>0</v>
      </c>
      <c r="AN181" s="3">
        <f t="shared" si="144"/>
        <v>0</v>
      </c>
      <c r="AO181" s="3">
        <f t="shared" si="144"/>
        <v>0</v>
      </c>
      <c r="AP181" s="3">
        <f t="shared" si="144"/>
        <v>0</v>
      </c>
      <c r="AQ181" s="3">
        <f t="shared" si="144"/>
        <v>0</v>
      </c>
      <c r="AR181" s="3">
        <f t="shared" si="144"/>
        <v>70211.08</v>
      </c>
      <c r="AS181" s="3">
        <f t="shared" si="144"/>
        <v>70211.08</v>
      </c>
      <c r="AT181" s="3">
        <f t="shared" si="144"/>
        <v>0</v>
      </c>
      <c r="AU181" s="3">
        <f t="shared" ref="AU181:BZ181" si="145">AU238</f>
        <v>0</v>
      </c>
      <c r="AV181" s="3">
        <f t="shared" si="145"/>
        <v>69329.67</v>
      </c>
      <c r="AW181" s="3">
        <f t="shared" si="145"/>
        <v>69329.67</v>
      </c>
      <c r="AX181" s="3">
        <f t="shared" si="145"/>
        <v>0</v>
      </c>
      <c r="AY181" s="3">
        <f t="shared" si="145"/>
        <v>69329.67</v>
      </c>
      <c r="AZ181" s="3">
        <f t="shared" si="145"/>
        <v>0</v>
      </c>
      <c r="BA181" s="3">
        <f t="shared" si="145"/>
        <v>0</v>
      </c>
      <c r="BB181" s="3">
        <f t="shared" si="145"/>
        <v>0</v>
      </c>
      <c r="BC181" s="3">
        <f t="shared" si="145"/>
        <v>0</v>
      </c>
      <c r="BD181" s="3">
        <f t="shared" si="145"/>
        <v>0</v>
      </c>
      <c r="BE181" s="3">
        <f t="shared" si="145"/>
        <v>0</v>
      </c>
      <c r="BF181" s="3">
        <f t="shared" si="145"/>
        <v>0</v>
      </c>
      <c r="BG181" s="3">
        <f t="shared" si="145"/>
        <v>0</v>
      </c>
      <c r="BH181" s="3">
        <f t="shared" si="145"/>
        <v>0</v>
      </c>
      <c r="BI181" s="3">
        <f t="shared" si="145"/>
        <v>0</v>
      </c>
      <c r="BJ181" s="3">
        <f t="shared" si="145"/>
        <v>0</v>
      </c>
      <c r="BK181" s="3">
        <f t="shared" si="145"/>
        <v>0</v>
      </c>
      <c r="BL181" s="3">
        <f t="shared" si="145"/>
        <v>0</v>
      </c>
      <c r="BM181" s="3">
        <f t="shared" si="145"/>
        <v>0</v>
      </c>
      <c r="BN181" s="3">
        <f t="shared" si="145"/>
        <v>0</v>
      </c>
      <c r="BO181" s="3">
        <f t="shared" si="145"/>
        <v>0</v>
      </c>
      <c r="BP181" s="3">
        <f t="shared" si="145"/>
        <v>0</v>
      </c>
      <c r="BQ181" s="3">
        <f t="shared" si="145"/>
        <v>0</v>
      </c>
      <c r="BR181" s="3">
        <f t="shared" si="145"/>
        <v>0</v>
      </c>
      <c r="BS181" s="3">
        <f t="shared" si="145"/>
        <v>0</v>
      </c>
      <c r="BT181" s="3">
        <f t="shared" si="145"/>
        <v>0</v>
      </c>
      <c r="BU181" s="3">
        <f t="shared" si="145"/>
        <v>0</v>
      </c>
      <c r="BV181" s="3">
        <f t="shared" si="145"/>
        <v>0</v>
      </c>
      <c r="BW181" s="3">
        <f t="shared" si="145"/>
        <v>0</v>
      </c>
      <c r="BX181" s="3">
        <f t="shared" si="145"/>
        <v>0</v>
      </c>
      <c r="BY181" s="3">
        <f t="shared" si="145"/>
        <v>0</v>
      </c>
      <c r="BZ181" s="3">
        <f t="shared" si="145"/>
        <v>0</v>
      </c>
      <c r="CA181" s="3">
        <f t="shared" ref="CA181:DF181" si="146">CA238</f>
        <v>70211.08</v>
      </c>
      <c r="CB181" s="3">
        <f t="shared" si="146"/>
        <v>70211.08</v>
      </c>
      <c r="CC181" s="3">
        <f t="shared" si="146"/>
        <v>0</v>
      </c>
      <c r="CD181" s="3">
        <f t="shared" si="146"/>
        <v>0</v>
      </c>
      <c r="CE181" s="3">
        <f t="shared" si="146"/>
        <v>69329.67</v>
      </c>
      <c r="CF181" s="3">
        <f t="shared" si="146"/>
        <v>69329.67</v>
      </c>
      <c r="CG181" s="3">
        <f t="shared" si="146"/>
        <v>0</v>
      </c>
      <c r="CH181" s="3">
        <f t="shared" si="146"/>
        <v>69329.67</v>
      </c>
      <c r="CI181" s="3">
        <f t="shared" si="146"/>
        <v>0</v>
      </c>
      <c r="CJ181" s="3">
        <f t="shared" si="146"/>
        <v>0</v>
      </c>
      <c r="CK181" s="3">
        <f t="shared" si="146"/>
        <v>0</v>
      </c>
      <c r="CL181" s="3">
        <f t="shared" si="146"/>
        <v>0</v>
      </c>
      <c r="CM181" s="3">
        <f t="shared" si="146"/>
        <v>0</v>
      </c>
      <c r="CN181" s="3">
        <f t="shared" si="146"/>
        <v>0</v>
      </c>
      <c r="CO181" s="3">
        <f t="shared" si="146"/>
        <v>0</v>
      </c>
      <c r="CP181" s="3">
        <f t="shared" si="146"/>
        <v>0</v>
      </c>
      <c r="CQ181" s="3">
        <f t="shared" si="146"/>
        <v>0</v>
      </c>
      <c r="CR181" s="3">
        <f t="shared" si="146"/>
        <v>0</v>
      </c>
      <c r="CS181" s="3">
        <f t="shared" si="146"/>
        <v>0</v>
      </c>
      <c r="CT181" s="3">
        <f t="shared" si="146"/>
        <v>0</v>
      </c>
      <c r="CU181" s="3">
        <f t="shared" si="146"/>
        <v>0</v>
      </c>
      <c r="CV181" s="3">
        <f t="shared" si="146"/>
        <v>0</v>
      </c>
      <c r="CW181" s="3">
        <f t="shared" si="146"/>
        <v>0</v>
      </c>
      <c r="CX181" s="3">
        <f t="shared" si="146"/>
        <v>0</v>
      </c>
      <c r="CY181" s="3">
        <f t="shared" si="146"/>
        <v>0</v>
      </c>
      <c r="CZ181" s="3">
        <f t="shared" si="146"/>
        <v>0</v>
      </c>
      <c r="DA181" s="3">
        <f t="shared" si="146"/>
        <v>0</v>
      </c>
      <c r="DB181" s="3">
        <f t="shared" si="146"/>
        <v>0</v>
      </c>
      <c r="DC181" s="3">
        <f t="shared" si="146"/>
        <v>0</v>
      </c>
      <c r="DD181" s="3">
        <f t="shared" si="146"/>
        <v>0</v>
      </c>
      <c r="DE181" s="3">
        <f t="shared" si="146"/>
        <v>0</v>
      </c>
      <c r="DF181" s="3">
        <f t="shared" si="146"/>
        <v>0</v>
      </c>
      <c r="DG181" s="4">
        <f t="shared" ref="DG181:EL181" si="147">DG238</f>
        <v>202613.54</v>
      </c>
      <c r="DH181" s="4">
        <f t="shared" si="147"/>
        <v>186329.78</v>
      </c>
      <c r="DI181" s="4">
        <f t="shared" si="147"/>
        <v>736.14</v>
      </c>
      <c r="DJ181" s="4">
        <f t="shared" si="147"/>
        <v>363.29</v>
      </c>
      <c r="DK181" s="4">
        <f t="shared" si="147"/>
        <v>15547.62</v>
      </c>
      <c r="DL181" s="4">
        <f t="shared" si="147"/>
        <v>0</v>
      </c>
      <c r="DM181" s="4">
        <f t="shared" si="147"/>
        <v>62.471300499999991</v>
      </c>
      <c r="DN181" s="4">
        <f t="shared" si="147"/>
        <v>0</v>
      </c>
      <c r="DO181" s="4">
        <f t="shared" si="147"/>
        <v>0</v>
      </c>
      <c r="DP181" s="4">
        <f t="shared" si="147"/>
        <v>11497.09</v>
      </c>
      <c r="DQ181" s="4">
        <f t="shared" si="147"/>
        <v>6374.52</v>
      </c>
      <c r="DR181" s="4">
        <f t="shared" si="147"/>
        <v>0</v>
      </c>
      <c r="DS181" s="4">
        <f t="shared" si="147"/>
        <v>0</v>
      </c>
      <c r="DT181" s="4">
        <f t="shared" si="147"/>
        <v>202613.54</v>
      </c>
      <c r="DU181" s="4">
        <f t="shared" si="147"/>
        <v>186329.78</v>
      </c>
      <c r="DV181" s="4">
        <f t="shared" si="147"/>
        <v>736.14</v>
      </c>
      <c r="DW181" s="4">
        <f t="shared" si="147"/>
        <v>363.29</v>
      </c>
      <c r="DX181" s="4">
        <f t="shared" si="147"/>
        <v>15547.62</v>
      </c>
      <c r="DY181" s="4">
        <f t="shared" si="147"/>
        <v>0</v>
      </c>
      <c r="DZ181" s="4">
        <f t="shared" si="147"/>
        <v>62.471300499999991</v>
      </c>
      <c r="EA181" s="4">
        <f t="shared" si="147"/>
        <v>0</v>
      </c>
      <c r="EB181" s="4">
        <f t="shared" si="147"/>
        <v>0</v>
      </c>
      <c r="EC181" s="4">
        <f t="shared" si="147"/>
        <v>11497.09</v>
      </c>
      <c r="ED181" s="4">
        <f t="shared" si="147"/>
        <v>6374.52</v>
      </c>
      <c r="EE181" s="4">
        <f t="shared" si="147"/>
        <v>0</v>
      </c>
      <c r="EF181" s="4">
        <f t="shared" si="147"/>
        <v>0</v>
      </c>
      <c r="EG181" s="4">
        <f t="shared" si="147"/>
        <v>0</v>
      </c>
      <c r="EH181" s="4">
        <f t="shared" si="147"/>
        <v>0</v>
      </c>
      <c r="EI181" s="4">
        <f t="shared" si="147"/>
        <v>0</v>
      </c>
      <c r="EJ181" s="4">
        <f t="shared" si="147"/>
        <v>221095.48</v>
      </c>
      <c r="EK181" s="4">
        <f t="shared" si="147"/>
        <v>221095.48</v>
      </c>
      <c r="EL181" s="4">
        <f t="shared" si="147"/>
        <v>0</v>
      </c>
      <c r="EM181" s="4">
        <f t="shared" ref="EM181:FR181" si="148">EM238</f>
        <v>0</v>
      </c>
      <c r="EN181" s="4">
        <f t="shared" si="148"/>
        <v>186329.78</v>
      </c>
      <c r="EO181" s="4">
        <f t="shared" si="148"/>
        <v>186329.78</v>
      </c>
      <c r="EP181" s="4">
        <f t="shared" si="148"/>
        <v>0</v>
      </c>
      <c r="EQ181" s="4">
        <f t="shared" si="148"/>
        <v>186329.78</v>
      </c>
      <c r="ER181" s="4">
        <f t="shared" si="148"/>
        <v>0</v>
      </c>
      <c r="ES181" s="4">
        <f t="shared" si="148"/>
        <v>0</v>
      </c>
      <c r="ET181" s="4">
        <f t="shared" si="148"/>
        <v>0</v>
      </c>
      <c r="EU181" s="4">
        <f t="shared" si="148"/>
        <v>0</v>
      </c>
      <c r="EV181" s="4">
        <f t="shared" si="148"/>
        <v>0</v>
      </c>
      <c r="EW181" s="4">
        <f t="shared" si="148"/>
        <v>0</v>
      </c>
      <c r="EX181" s="4">
        <f t="shared" si="148"/>
        <v>0</v>
      </c>
      <c r="EY181" s="4">
        <f t="shared" si="148"/>
        <v>0</v>
      </c>
      <c r="EZ181" s="4">
        <f t="shared" si="148"/>
        <v>0</v>
      </c>
      <c r="FA181" s="4">
        <f t="shared" si="148"/>
        <v>0</v>
      </c>
      <c r="FB181" s="4">
        <f t="shared" si="148"/>
        <v>0</v>
      </c>
      <c r="FC181" s="4">
        <f t="shared" si="148"/>
        <v>0</v>
      </c>
      <c r="FD181" s="4">
        <f t="shared" si="148"/>
        <v>0</v>
      </c>
      <c r="FE181" s="4">
        <f t="shared" si="148"/>
        <v>0</v>
      </c>
      <c r="FF181" s="4">
        <f t="shared" si="148"/>
        <v>0</v>
      </c>
      <c r="FG181" s="4">
        <f t="shared" si="148"/>
        <v>0</v>
      </c>
      <c r="FH181" s="4">
        <f t="shared" si="148"/>
        <v>0</v>
      </c>
      <c r="FI181" s="4">
        <f t="shared" si="148"/>
        <v>0</v>
      </c>
      <c r="FJ181" s="4">
        <f t="shared" si="148"/>
        <v>0</v>
      </c>
      <c r="FK181" s="4">
        <f t="shared" si="148"/>
        <v>0</v>
      </c>
      <c r="FL181" s="4">
        <f t="shared" si="148"/>
        <v>0</v>
      </c>
      <c r="FM181" s="4">
        <f t="shared" si="148"/>
        <v>0</v>
      </c>
      <c r="FN181" s="4">
        <f t="shared" si="148"/>
        <v>0</v>
      </c>
      <c r="FO181" s="4">
        <f t="shared" si="148"/>
        <v>0</v>
      </c>
      <c r="FP181" s="4">
        <f t="shared" si="148"/>
        <v>0</v>
      </c>
      <c r="FQ181" s="4">
        <f t="shared" si="148"/>
        <v>0</v>
      </c>
      <c r="FR181" s="4">
        <f t="shared" si="148"/>
        <v>0</v>
      </c>
      <c r="FS181" s="4">
        <f t="shared" ref="FS181:GX181" si="149">FS238</f>
        <v>221095.48</v>
      </c>
      <c r="FT181" s="4">
        <f t="shared" si="149"/>
        <v>221095.48</v>
      </c>
      <c r="FU181" s="4">
        <f t="shared" si="149"/>
        <v>0</v>
      </c>
      <c r="FV181" s="4">
        <f t="shared" si="149"/>
        <v>0</v>
      </c>
      <c r="FW181" s="4">
        <f t="shared" si="149"/>
        <v>186329.78</v>
      </c>
      <c r="FX181" s="4">
        <f t="shared" si="149"/>
        <v>186329.78</v>
      </c>
      <c r="FY181" s="4">
        <f t="shared" si="149"/>
        <v>0</v>
      </c>
      <c r="FZ181" s="4">
        <f t="shared" si="149"/>
        <v>186329.78</v>
      </c>
      <c r="GA181" s="4">
        <f t="shared" si="149"/>
        <v>0</v>
      </c>
      <c r="GB181" s="4">
        <f t="shared" si="149"/>
        <v>0</v>
      </c>
      <c r="GC181" s="4">
        <f t="shared" si="149"/>
        <v>0</v>
      </c>
      <c r="GD181" s="4">
        <f t="shared" si="149"/>
        <v>0</v>
      </c>
      <c r="GE181" s="4">
        <f t="shared" si="149"/>
        <v>0</v>
      </c>
      <c r="GF181" s="4">
        <f t="shared" si="149"/>
        <v>0</v>
      </c>
      <c r="GG181" s="4">
        <f t="shared" si="149"/>
        <v>0</v>
      </c>
      <c r="GH181" s="4">
        <f t="shared" si="149"/>
        <v>0</v>
      </c>
      <c r="GI181" s="4">
        <f t="shared" si="149"/>
        <v>0</v>
      </c>
      <c r="GJ181" s="4">
        <f t="shared" si="149"/>
        <v>0</v>
      </c>
      <c r="GK181" s="4">
        <f t="shared" si="149"/>
        <v>0</v>
      </c>
      <c r="GL181" s="4">
        <f t="shared" si="149"/>
        <v>0</v>
      </c>
      <c r="GM181" s="4">
        <f t="shared" si="149"/>
        <v>0</v>
      </c>
      <c r="GN181" s="4">
        <f t="shared" si="149"/>
        <v>0</v>
      </c>
      <c r="GO181" s="4">
        <f t="shared" si="149"/>
        <v>0</v>
      </c>
      <c r="GP181" s="4">
        <f t="shared" si="149"/>
        <v>0</v>
      </c>
      <c r="GQ181" s="4">
        <f t="shared" si="149"/>
        <v>0</v>
      </c>
      <c r="GR181" s="4">
        <f t="shared" si="149"/>
        <v>0</v>
      </c>
      <c r="GS181" s="4">
        <f t="shared" si="149"/>
        <v>0</v>
      </c>
      <c r="GT181" s="4">
        <f t="shared" si="149"/>
        <v>0</v>
      </c>
      <c r="GU181" s="4">
        <f t="shared" si="149"/>
        <v>0</v>
      </c>
      <c r="GV181" s="4">
        <f t="shared" si="149"/>
        <v>0</v>
      </c>
      <c r="GW181" s="4">
        <f t="shared" si="149"/>
        <v>0</v>
      </c>
      <c r="GX181" s="4">
        <f t="shared" si="149"/>
        <v>0</v>
      </c>
    </row>
    <row r="183" spans="1:255" x14ac:dyDescent="0.2">
      <c r="A183" s="2">
        <v>17</v>
      </c>
      <c r="B183" s="2">
        <v>1</v>
      </c>
      <c r="C183" s="2">
        <f>ROW(SmtRes!A114)</f>
        <v>114</v>
      </c>
      <c r="D183" s="2">
        <f>ROW(EtalonRes!A114)</f>
        <v>114</v>
      </c>
      <c r="E183" s="2" t="s">
        <v>206</v>
      </c>
      <c r="F183" s="2" t="s">
        <v>207</v>
      </c>
      <c r="G183" s="2" t="s">
        <v>208</v>
      </c>
      <c r="H183" s="2" t="s">
        <v>209</v>
      </c>
      <c r="I183" s="2">
        <f>ROUND(5.1/100,9)</f>
        <v>5.0999999999999997E-2</v>
      </c>
      <c r="J183" s="2">
        <v>0</v>
      </c>
      <c r="K183" s="2"/>
      <c r="L183" s="2"/>
      <c r="M183" s="2"/>
      <c r="N183" s="2"/>
      <c r="O183" s="2">
        <f t="shared" ref="O183:O214" si="150">ROUND(CP183,2)</f>
        <v>16.3</v>
      </c>
      <c r="P183" s="2">
        <f t="shared" ref="P183:P214" si="151">ROUND(CQ183*I183,2)</f>
        <v>1.26</v>
      </c>
      <c r="Q183" s="2">
        <f t="shared" ref="Q183:Q214" si="152">ROUND(CR183*I183,2)</f>
        <v>0.8</v>
      </c>
      <c r="R183" s="2">
        <f t="shared" ref="R183:R214" si="153">ROUND(CS183*I183,2)</f>
        <v>0.02</v>
      </c>
      <c r="S183" s="2">
        <f t="shared" ref="S183:S214" si="154">ROUND(CT183*I183,2)</f>
        <v>14.24</v>
      </c>
      <c r="T183" s="2">
        <f t="shared" ref="T183:T214" si="155">ROUND(CU183*I183,2)</f>
        <v>0</v>
      </c>
      <c r="U183" s="2">
        <f t="shared" ref="U183:U214" si="156">CV183*I183</f>
        <v>1.3683044999999998</v>
      </c>
      <c r="V183" s="2">
        <f t="shared" ref="V183:V214" si="157">CW183*I183</f>
        <v>0</v>
      </c>
      <c r="W183" s="2">
        <f t="shared" ref="W183:W214" si="158">ROUND(CX183*I183,2)</f>
        <v>0</v>
      </c>
      <c r="X183" s="2">
        <f t="shared" ref="X183:X214" si="159">ROUND(CY183,2)</f>
        <v>0</v>
      </c>
      <c r="Y183" s="2">
        <f t="shared" ref="Y183:Y214" si="160">ROUND(CZ183,2)</f>
        <v>0</v>
      </c>
      <c r="Z183" s="2"/>
      <c r="AA183" s="2">
        <v>45037306</v>
      </c>
      <c r="AB183" s="2">
        <f t="shared" ref="AB183:AB214" si="161">ROUND((AC183+AD183+AF183),6)</f>
        <v>319.78800000000001</v>
      </c>
      <c r="AC183" s="2">
        <f t="shared" ref="AC183:AC214" si="162">ROUND((ES183),6)</f>
        <v>24.75</v>
      </c>
      <c r="AD183" s="2">
        <f>ROUND(((ET183*1.25)),6)</f>
        <v>15.737500000000001</v>
      </c>
      <c r="AE183" s="2">
        <f>ROUND(((EU183*1.25)),6)</f>
        <v>0.38750000000000001</v>
      </c>
      <c r="AF183" s="2">
        <f>ROUND(((EV183*1.15)),6)</f>
        <v>279.3005</v>
      </c>
      <c r="AG183" s="2">
        <f t="shared" ref="AG183:AG214" si="163">ROUND((AP183),6)</f>
        <v>0</v>
      </c>
      <c r="AH183" s="2">
        <f>((EW183*1.15))</f>
        <v>26.829499999999996</v>
      </c>
      <c r="AI183" s="2">
        <f>((EX183*1.25))</f>
        <v>0</v>
      </c>
      <c r="AJ183" s="2">
        <f t="shared" ref="AJ183:AJ214" si="164">ROUND((AS183),6)</f>
        <v>0</v>
      </c>
      <c r="AK183" s="2">
        <v>280.20999999999998</v>
      </c>
      <c r="AL183" s="2">
        <v>24.75</v>
      </c>
      <c r="AM183" s="2">
        <v>12.59</v>
      </c>
      <c r="AN183" s="2">
        <v>0.31</v>
      </c>
      <c r="AO183" s="2">
        <v>242.87</v>
      </c>
      <c r="AP183" s="2">
        <v>0</v>
      </c>
      <c r="AQ183" s="2">
        <v>23.33</v>
      </c>
      <c r="AR183" s="2">
        <v>0</v>
      </c>
      <c r="AS183" s="2">
        <v>0</v>
      </c>
      <c r="AT183" s="2">
        <v>0</v>
      </c>
      <c r="AU183" s="2">
        <v>0</v>
      </c>
      <c r="AV183" s="2">
        <v>1</v>
      </c>
      <c r="AW183" s="2">
        <v>1</v>
      </c>
      <c r="AX183" s="2"/>
      <c r="AY183" s="2"/>
      <c r="AZ183" s="2">
        <v>1</v>
      </c>
      <c r="BA183" s="2">
        <v>1</v>
      </c>
      <c r="BB183" s="2">
        <v>1</v>
      </c>
      <c r="BC183" s="2">
        <v>1</v>
      </c>
      <c r="BD183" s="2" t="s">
        <v>3</v>
      </c>
      <c r="BE183" s="2" t="s">
        <v>3</v>
      </c>
      <c r="BF183" s="2" t="s">
        <v>3</v>
      </c>
      <c r="BG183" s="2" t="s">
        <v>3</v>
      </c>
      <c r="BH183" s="2">
        <v>0</v>
      </c>
      <c r="BI183" s="2">
        <v>1</v>
      </c>
      <c r="BJ183" s="2" t="s">
        <v>210</v>
      </c>
      <c r="BK183" s="2"/>
      <c r="BL183" s="2"/>
      <c r="BM183" s="2">
        <v>89</v>
      </c>
      <c r="BN183" s="2">
        <v>7156650</v>
      </c>
      <c r="BO183" s="2" t="s">
        <v>3</v>
      </c>
      <c r="BP183" s="2">
        <v>0</v>
      </c>
      <c r="BQ183" s="2">
        <v>30</v>
      </c>
      <c r="BR183" s="2">
        <v>0</v>
      </c>
      <c r="BS183" s="2">
        <v>1</v>
      </c>
      <c r="BT183" s="2">
        <v>1</v>
      </c>
      <c r="BU183" s="2">
        <v>1</v>
      </c>
      <c r="BV183" s="2">
        <v>1</v>
      </c>
      <c r="BW183" s="2">
        <v>1</v>
      </c>
      <c r="BX183" s="2">
        <v>1</v>
      </c>
      <c r="BY183" s="2" t="s">
        <v>3</v>
      </c>
      <c r="BZ183" s="2">
        <v>0</v>
      </c>
      <c r="CA183" s="2">
        <v>0</v>
      </c>
      <c r="CB183" s="2"/>
      <c r="CC183" s="2"/>
      <c r="CD183" s="2"/>
      <c r="CE183" s="2"/>
      <c r="CF183" s="2">
        <v>0</v>
      </c>
      <c r="CG183" s="2">
        <v>0</v>
      </c>
      <c r="CH183" s="2"/>
      <c r="CI183" s="2"/>
      <c r="CJ183" s="2"/>
      <c r="CK183" s="2"/>
      <c r="CL183" s="2"/>
      <c r="CM183" s="2">
        <v>0</v>
      </c>
      <c r="CN183" s="2" t="s">
        <v>3</v>
      </c>
      <c r="CO183" s="2">
        <v>0</v>
      </c>
      <c r="CP183" s="2">
        <f t="shared" ref="CP183:CP214" si="165">(P183+Q183+S183)</f>
        <v>16.3</v>
      </c>
      <c r="CQ183" s="2">
        <f t="shared" ref="CQ183:CQ214" si="166">(AC183*BC183*AW183)</f>
        <v>24.75</v>
      </c>
      <c r="CR183" s="2">
        <f t="shared" ref="CR183:CR214" si="167">(AD183*BB183*AV183)</f>
        <v>15.737500000000001</v>
      </c>
      <c r="CS183" s="2">
        <f t="shared" ref="CS183:CS214" si="168">(AE183*BS183*AV183)</f>
        <v>0.38750000000000001</v>
      </c>
      <c r="CT183" s="2">
        <f t="shared" ref="CT183:CT214" si="169">(AF183*BA183*AV183)</f>
        <v>279.3005</v>
      </c>
      <c r="CU183" s="2">
        <f t="shared" ref="CU183:CU214" si="170">AG183</f>
        <v>0</v>
      </c>
      <c r="CV183" s="2">
        <f t="shared" ref="CV183:CV214" si="171">(AH183*AV183)</f>
        <v>26.829499999999996</v>
      </c>
      <c r="CW183" s="2">
        <f t="shared" ref="CW183:CW214" si="172">AI183</f>
        <v>0</v>
      </c>
      <c r="CX183" s="2">
        <f t="shared" ref="CX183:CX214" si="173">AJ183</f>
        <v>0</v>
      </c>
      <c r="CY183" s="2">
        <f t="shared" ref="CY183:CY214" si="174">S183*(BZ183/100)</f>
        <v>0</v>
      </c>
      <c r="CZ183" s="2">
        <f t="shared" ref="CZ183:CZ214" si="175">S183*(CA183/100)</f>
        <v>0</v>
      </c>
      <c r="DA183" s="2"/>
      <c r="DB183" s="2"/>
      <c r="DC183" s="2" t="s">
        <v>3</v>
      </c>
      <c r="DD183" s="2" t="s">
        <v>3</v>
      </c>
      <c r="DE183" s="2" t="s">
        <v>36</v>
      </c>
      <c r="DF183" s="2" t="s">
        <v>36</v>
      </c>
      <c r="DG183" s="2" t="s">
        <v>37</v>
      </c>
      <c r="DH183" s="2" t="s">
        <v>3</v>
      </c>
      <c r="DI183" s="2" t="s">
        <v>37</v>
      </c>
      <c r="DJ183" s="2" t="s">
        <v>36</v>
      </c>
      <c r="DK183" s="2" t="s">
        <v>3</v>
      </c>
      <c r="DL183" s="2" t="s">
        <v>3</v>
      </c>
      <c r="DM183" s="2" t="s">
        <v>3</v>
      </c>
      <c r="DN183" s="2">
        <v>104</v>
      </c>
      <c r="DO183" s="2">
        <v>70</v>
      </c>
      <c r="DP183" s="2">
        <v>1.0469999999999999</v>
      </c>
      <c r="DQ183" s="2">
        <v>1</v>
      </c>
      <c r="DR183" s="2"/>
      <c r="DS183" s="2"/>
      <c r="DT183" s="2"/>
      <c r="DU183" s="2">
        <v>1013</v>
      </c>
      <c r="DV183" s="2" t="s">
        <v>209</v>
      </c>
      <c r="DW183" s="2" t="s">
        <v>209</v>
      </c>
      <c r="DX183" s="2">
        <v>1</v>
      </c>
      <c r="DY183" s="2"/>
      <c r="DZ183" s="2"/>
      <c r="EA183" s="2"/>
      <c r="EB183" s="2"/>
      <c r="EC183" s="2"/>
      <c r="ED183" s="2"/>
      <c r="EE183" s="2">
        <v>44846596</v>
      </c>
      <c r="EF183" s="2">
        <v>30</v>
      </c>
      <c r="EG183" s="2" t="s">
        <v>38</v>
      </c>
      <c r="EH183" s="2">
        <v>0</v>
      </c>
      <c r="EI183" s="2" t="s">
        <v>3</v>
      </c>
      <c r="EJ183" s="2">
        <v>1</v>
      </c>
      <c r="EK183" s="2">
        <v>89</v>
      </c>
      <c r="EL183" s="2" t="s">
        <v>211</v>
      </c>
      <c r="EM183" s="2" t="s">
        <v>212</v>
      </c>
      <c r="EN183" s="2"/>
      <c r="EO183" s="2" t="s">
        <v>3</v>
      </c>
      <c r="EP183" s="2"/>
      <c r="EQ183" s="2">
        <v>131072</v>
      </c>
      <c r="ER183" s="2">
        <v>280.20999999999998</v>
      </c>
      <c r="ES183" s="2">
        <v>24.75</v>
      </c>
      <c r="ET183" s="2">
        <v>12.59</v>
      </c>
      <c r="EU183" s="2">
        <v>0.31</v>
      </c>
      <c r="EV183" s="2">
        <v>242.87</v>
      </c>
      <c r="EW183" s="2">
        <v>23.33</v>
      </c>
      <c r="EX183" s="2">
        <v>0</v>
      </c>
      <c r="EY183" s="2">
        <v>0</v>
      </c>
      <c r="EZ183" s="2"/>
      <c r="FA183" s="2"/>
      <c r="FB183" s="2"/>
      <c r="FC183" s="2"/>
      <c r="FD183" s="2"/>
      <c r="FE183" s="2"/>
      <c r="FF183" s="2"/>
      <c r="FG183" s="2"/>
      <c r="FH183" s="2"/>
      <c r="FI183" s="2"/>
      <c r="FJ183" s="2"/>
      <c r="FK183" s="2"/>
      <c r="FL183" s="2"/>
      <c r="FM183" s="2"/>
      <c r="FN183" s="2"/>
      <c r="FO183" s="2"/>
      <c r="FP183" s="2"/>
      <c r="FQ183" s="2">
        <v>0</v>
      </c>
      <c r="FR183" s="2">
        <f t="shared" ref="FR183:FR214" si="176">ROUND(IF(AND(BH183=3,BI183=3),P183,0),2)</f>
        <v>0</v>
      </c>
      <c r="FS183" s="2">
        <v>0</v>
      </c>
      <c r="FT183" s="2"/>
      <c r="FU183" s="2"/>
      <c r="FV183" s="2"/>
      <c r="FW183" s="2"/>
      <c r="FX183" s="2">
        <v>104</v>
      </c>
      <c r="FY183" s="2">
        <v>70</v>
      </c>
      <c r="FZ183" s="2"/>
      <c r="GA183" s="2" t="s">
        <v>3</v>
      </c>
      <c r="GB183" s="2"/>
      <c r="GC183" s="2"/>
      <c r="GD183" s="2">
        <v>0</v>
      </c>
      <c r="GE183" s="2"/>
      <c r="GF183" s="2">
        <v>-816984196</v>
      </c>
      <c r="GG183" s="2">
        <v>2</v>
      </c>
      <c r="GH183" s="2">
        <v>1</v>
      </c>
      <c r="GI183" s="2">
        <v>3</v>
      </c>
      <c r="GJ183" s="2">
        <v>0</v>
      </c>
      <c r="GK183" s="2">
        <f>ROUND(R183*(R12)/100,2)</f>
        <v>0.04</v>
      </c>
      <c r="GL183" s="2">
        <f t="shared" ref="GL183:GL214" si="177">ROUND(IF(AND(BH183=3,BI183=3,FS183&lt;&gt;0),P183,0),2)</f>
        <v>0</v>
      </c>
      <c r="GM183" s="2">
        <f t="shared" ref="GM183:GM214" si="178">ROUND(O183+X183+Y183+GK183,2)+GX183</f>
        <v>16.34</v>
      </c>
      <c r="GN183" s="2">
        <f t="shared" ref="GN183:GN214" si="179">IF(OR(BI183=0,BI183=1),ROUND(O183+X183+Y183+GK183,2),0)</f>
        <v>16.34</v>
      </c>
      <c r="GO183" s="2">
        <f t="shared" ref="GO183:GO214" si="180">IF(BI183=2,ROUND(O183+X183+Y183+GK183,2),0)</f>
        <v>0</v>
      </c>
      <c r="GP183" s="2">
        <f t="shared" ref="GP183:GP214" si="181">IF(BI183=4,ROUND(O183+X183+Y183+GK183,2)+GX183,0)</f>
        <v>0</v>
      </c>
      <c r="GQ183" s="2"/>
      <c r="GR183" s="2">
        <v>0</v>
      </c>
      <c r="GS183" s="2">
        <v>3</v>
      </c>
      <c r="GT183" s="2">
        <v>0</v>
      </c>
      <c r="GU183" s="2" t="s">
        <v>3</v>
      </c>
      <c r="GV183" s="2">
        <f t="shared" ref="GV183:GV214" si="182">ROUND(GT183,6)</f>
        <v>0</v>
      </c>
      <c r="GW183" s="2">
        <v>1</v>
      </c>
      <c r="GX183" s="2">
        <f t="shared" ref="GX183:GX214" si="183">ROUND(GV183*GW183*I183,2)</f>
        <v>0</v>
      </c>
      <c r="GY183" s="2"/>
      <c r="GZ183" s="2"/>
      <c r="HA183" s="2">
        <v>0</v>
      </c>
      <c r="HB183" s="2">
        <v>0</v>
      </c>
      <c r="HC183" s="2"/>
      <c r="HD183" s="2"/>
      <c r="HE183" s="2"/>
      <c r="HF183" s="2"/>
      <c r="HG183" s="2"/>
      <c r="HH183" s="2"/>
      <c r="HI183" s="2"/>
      <c r="HJ183" s="2"/>
      <c r="HK183" s="2"/>
      <c r="HL183" s="2"/>
      <c r="HM183" s="2"/>
      <c r="HN183" s="2"/>
      <c r="HO183" s="2"/>
      <c r="HP183" s="2"/>
      <c r="HQ183" s="2"/>
      <c r="HR183" s="2"/>
      <c r="HS183" s="2"/>
      <c r="HT183" s="2"/>
      <c r="HU183" s="2"/>
      <c r="HV183" s="2"/>
      <c r="HW183" s="2"/>
      <c r="HX183" s="2"/>
      <c r="HY183" s="2"/>
      <c r="HZ183" s="2"/>
      <c r="IA183" s="2"/>
      <c r="IB183" s="2"/>
      <c r="IC183" s="2"/>
      <c r="ID183" s="2"/>
      <c r="IE183" s="2"/>
      <c r="IF183" s="2"/>
      <c r="IG183" s="2"/>
      <c r="IH183" s="2"/>
      <c r="II183" s="2"/>
      <c r="IJ183" s="2"/>
      <c r="IK183" s="2">
        <v>0</v>
      </c>
      <c r="IL183" s="2"/>
      <c r="IM183" s="2"/>
      <c r="IN183" s="2"/>
      <c r="IO183" s="2"/>
      <c r="IP183" s="2"/>
      <c r="IQ183" s="2"/>
      <c r="IR183" s="2"/>
      <c r="IS183" s="2"/>
      <c r="IT183" s="2"/>
      <c r="IU183" s="2"/>
    </row>
    <row r="184" spans="1:255" x14ac:dyDescent="0.2">
      <c r="A184">
        <v>17</v>
      </c>
      <c r="B184">
        <v>1</v>
      </c>
      <c r="C184">
        <f>ROW(SmtRes!A118)</f>
        <v>118</v>
      </c>
      <c r="D184">
        <f>ROW(EtalonRes!A118)</f>
        <v>118</v>
      </c>
      <c r="E184" t="s">
        <v>206</v>
      </c>
      <c r="F184" t="s">
        <v>207</v>
      </c>
      <c r="G184" t="s">
        <v>208</v>
      </c>
      <c r="H184" t="s">
        <v>209</v>
      </c>
      <c r="I184">
        <f>ROUND(5.1/100,9)</f>
        <v>5.0999999999999997E-2</v>
      </c>
      <c r="J184">
        <v>0</v>
      </c>
      <c r="O184">
        <f t="shared" si="150"/>
        <v>297.02999999999997</v>
      </c>
      <c r="P184">
        <f t="shared" si="151"/>
        <v>5.35</v>
      </c>
      <c r="Q184">
        <f t="shared" si="152"/>
        <v>1.1000000000000001</v>
      </c>
      <c r="R184">
        <f t="shared" si="153"/>
        <v>0.4</v>
      </c>
      <c r="S184">
        <f t="shared" si="154"/>
        <v>290.58</v>
      </c>
      <c r="T184">
        <f t="shared" si="155"/>
        <v>0</v>
      </c>
      <c r="U184">
        <f t="shared" si="156"/>
        <v>1.3683044999999998</v>
      </c>
      <c r="V184">
        <f t="shared" si="157"/>
        <v>0</v>
      </c>
      <c r="W184">
        <f t="shared" si="158"/>
        <v>0</v>
      </c>
      <c r="X184">
        <f t="shared" si="159"/>
        <v>246.99</v>
      </c>
      <c r="Y184">
        <f t="shared" si="160"/>
        <v>119.14</v>
      </c>
      <c r="AA184">
        <v>45037307</v>
      </c>
      <c r="AB184">
        <f t="shared" si="161"/>
        <v>319.78800000000001</v>
      </c>
      <c r="AC184">
        <f t="shared" si="162"/>
        <v>24.75</v>
      </c>
      <c r="AD184">
        <f>ROUND(((ET184*1.25)),6)</f>
        <v>15.737500000000001</v>
      </c>
      <c r="AE184">
        <f>ROUND(((EU184*1.25)),6)</f>
        <v>0.38750000000000001</v>
      </c>
      <c r="AF184">
        <f>ROUND(((EV184*1.15)),6)</f>
        <v>279.3005</v>
      </c>
      <c r="AG184">
        <f t="shared" si="163"/>
        <v>0</v>
      </c>
      <c r="AH184">
        <f>((EW184*1.15))</f>
        <v>26.829499999999996</v>
      </c>
      <c r="AI184">
        <f>((EX184*1.25))</f>
        <v>0</v>
      </c>
      <c r="AJ184">
        <f t="shared" si="164"/>
        <v>0</v>
      </c>
      <c r="AK184">
        <v>280.20999999999998</v>
      </c>
      <c r="AL184">
        <v>24.75</v>
      </c>
      <c r="AM184">
        <v>12.59</v>
      </c>
      <c r="AN184">
        <v>0.31</v>
      </c>
      <c r="AO184">
        <v>242.87</v>
      </c>
      <c r="AP184">
        <v>0</v>
      </c>
      <c r="AQ184">
        <v>23.33</v>
      </c>
      <c r="AR184">
        <v>0</v>
      </c>
      <c r="AS184">
        <v>0</v>
      </c>
      <c r="AT184">
        <v>85</v>
      </c>
      <c r="AU184">
        <v>41</v>
      </c>
      <c r="AV184">
        <v>1</v>
      </c>
      <c r="AW184">
        <v>1</v>
      </c>
      <c r="AZ184">
        <v>1</v>
      </c>
      <c r="BA184">
        <v>20.399999999999999</v>
      </c>
      <c r="BB184">
        <v>1.37</v>
      </c>
      <c r="BC184">
        <v>4.24</v>
      </c>
      <c r="BD184" t="s">
        <v>3</v>
      </c>
      <c r="BE184" t="s">
        <v>3</v>
      </c>
      <c r="BF184" t="s">
        <v>3</v>
      </c>
      <c r="BG184" t="s">
        <v>3</v>
      </c>
      <c r="BH184">
        <v>0</v>
      </c>
      <c r="BI184">
        <v>1</v>
      </c>
      <c r="BJ184" t="s">
        <v>210</v>
      </c>
      <c r="BM184">
        <v>89</v>
      </c>
      <c r="BN184">
        <v>7156650</v>
      </c>
      <c r="BO184" t="s">
        <v>207</v>
      </c>
      <c r="BP184">
        <v>1</v>
      </c>
      <c r="BQ184">
        <v>30</v>
      </c>
      <c r="BR184">
        <v>0</v>
      </c>
      <c r="BS184">
        <v>20.399999999999999</v>
      </c>
      <c r="BT184">
        <v>1</v>
      </c>
      <c r="BU184">
        <v>1</v>
      </c>
      <c r="BV184">
        <v>1</v>
      </c>
      <c r="BW184">
        <v>1</v>
      </c>
      <c r="BX184">
        <v>1</v>
      </c>
      <c r="BY184" t="s">
        <v>3</v>
      </c>
      <c r="BZ184">
        <v>85</v>
      </c>
      <c r="CA184">
        <v>41</v>
      </c>
      <c r="CF184">
        <v>0</v>
      </c>
      <c r="CG184">
        <v>0</v>
      </c>
      <c r="CM184">
        <v>0</v>
      </c>
      <c r="CN184" t="s">
        <v>3</v>
      </c>
      <c r="CO184">
        <v>0</v>
      </c>
      <c r="CP184">
        <f t="shared" si="165"/>
        <v>297.02999999999997</v>
      </c>
      <c r="CQ184">
        <f t="shared" si="166"/>
        <v>104.94000000000001</v>
      </c>
      <c r="CR184">
        <f t="shared" si="167"/>
        <v>21.560375000000004</v>
      </c>
      <c r="CS184">
        <f t="shared" si="168"/>
        <v>7.9049999999999994</v>
      </c>
      <c r="CT184">
        <f t="shared" si="169"/>
        <v>5697.7302</v>
      </c>
      <c r="CU184">
        <f t="shared" si="170"/>
        <v>0</v>
      </c>
      <c r="CV184">
        <f t="shared" si="171"/>
        <v>26.829499999999996</v>
      </c>
      <c r="CW184">
        <f t="shared" si="172"/>
        <v>0</v>
      </c>
      <c r="CX184">
        <f t="shared" si="173"/>
        <v>0</v>
      </c>
      <c r="CY184">
        <f t="shared" si="174"/>
        <v>246.99299999999997</v>
      </c>
      <c r="CZ184">
        <f t="shared" si="175"/>
        <v>119.13779999999998</v>
      </c>
      <c r="DC184" t="s">
        <v>3</v>
      </c>
      <c r="DD184" t="s">
        <v>3</v>
      </c>
      <c r="DE184" t="s">
        <v>36</v>
      </c>
      <c r="DF184" t="s">
        <v>36</v>
      </c>
      <c r="DG184" t="s">
        <v>37</v>
      </c>
      <c r="DH184" t="s">
        <v>3</v>
      </c>
      <c r="DI184" t="s">
        <v>37</v>
      </c>
      <c r="DJ184" t="s">
        <v>36</v>
      </c>
      <c r="DK184" t="s">
        <v>3</v>
      </c>
      <c r="DL184" t="s">
        <v>3</v>
      </c>
      <c r="DM184" t="s">
        <v>3</v>
      </c>
      <c r="DN184">
        <v>104</v>
      </c>
      <c r="DO184">
        <v>70</v>
      </c>
      <c r="DP184">
        <v>1.0469999999999999</v>
      </c>
      <c r="DQ184">
        <v>1</v>
      </c>
      <c r="DU184">
        <v>1013</v>
      </c>
      <c r="DV184" t="s">
        <v>209</v>
      </c>
      <c r="DW184" t="s">
        <v>209</v>
      </c>
      <c r="DX184">
        <v>1</v>
      </c>
      <c r="EE184">
        <v>44846596</v>
      </c>
      <c r="EF184">
        <v>30</v>
      </c>
      <c r="EG184" t="s">
        <v>38</v>
      </c>
      <c r="EH184">
        <v>0</v>
      </c>
      <c r="EI184" t="s">
        <v>3</v>
      </c>
      <c r="EJ184">
        <v>1</v>
      </c>
      <c r="EK184">
        <v>89</v>
      </c>
      <c r="EL184" t="s">
        <v>211</v>
      </c>
      <c r="EM184" t="s">
        <v>212</v>
      </c>
      <c r="EO184" t="s">
        <v>3</v>
      </c>
      <c r="EQ184">
        <v>131072</v>
      </c>
      <c r="ER184">
        <v>280.20999999999998</v>
      </c>
      <c r="ES184">
        <v>24.75</v>
      </c>
      <c r="ET184">
        <v>12.59</v>
      </c>
      <c r="EU184">
        <v>0.31</v>
      </c>
      <c r="EV184">
        <v>242.87</v>
      </c>
      <c r="EW184">
        <v>23.33</v>
      </c>
      <c r="EX184">
        <v>0</v>
      </c>
      <c r="EY184">
        <v>0</v>
      </c>
      <c r="FQ184">
        <v>0</v>
      </c>
      <c r="FR184">
        <f t="shared" si="176"/>
        <v>0</v>
      </c>
      <c r="FS184">
        <v>0</v>
      </c>
      <c r="FX184">
        <v>104</v>
      </c>
      <c r="FY184">
        <v>70</v>
      </c>
      <c r="GA184" t="s">
        <v>3</v>
      </c>
      <c r="GD184">
        <v>0</v>
      </c>
      <c r="GF184">
        <v>-816984196</v>
      </c>
      <c r="GG184">
        <v>2</v>
      </c>
      <c r="GH184">
        <v>1</v>
      </c>
      <c r="GI184">
        <v>3</v>
      </c>
      <c r="GJ184">
        <v>0</v>
      </c>
      <c r="GK184">
        <f>ROUND(R184*(S12)/100,2)</f>
        <v>0.67</v>
      </c>
      <c r="GL184">
        <f t="shared" si="177"/>
        <v>0</v>
      </c>
      <c r="GM184">
        <f t="shared" si="178"/>
        <v>663.83</v>
      </c>
      <c r="GN184">
        <f t="shared" si="179"/>
        <v>663.83</v>
      </c>
      <c r="GO184">
        <f t="shared" si="180"/>
        <v>0</v>
      </c>
      <c r="GP184">
        <f t="shared" si="181"/>
        <v>0</v>
      </c>
      <c r="GR184">
        <v>0</v>
      </c>
      <c r="GS184">
        <v>3</v>
      </c>
      <c r="GT184">
        <v>0</v>
      </c>
      <c r="GU184" t="s">
        <v>3</v>
      </c>
      <c r="GV184">
        <f t="shared" si="182"/>
        <v>0</v>
      </c>
      <c r="GW184">
        <v>1</v>
      </c>
      <c r="GX184">
        <f t="shared" si="183"/>
        <v>0</v>
      </c>
      <c r="HA184">
        <v>0</v>
      </c>
      <c r="HB184">
        <v>0</v>
      </c>
      <c r="IK184">
        <v>0</v>
      </c>
    </row>
    <row r="185" spans="1:255" x14ac:dyDescent="0.2">
      <c r="A185" s="2">
        <v>18</v>
      </c>
      <c r="B185" s="2">
        <v>1</v>
      </c>
      <c r="C185" s="2">
        <v>114</v>
      </c>
      <c r="D185" s="2"/>
      <c r="E185" s="2" t="s">
        <v>213</v>
      </c>
      <c r="F185" s="2" t="s">
        <v>214</v>
      </c>
      <c r="G185" s="2" t="s">
        <v>215</v>
      </c>
      <c r="H185" s="2" t="s">
        <v>80</v>
      </c>
      <c r="I185" s="2">
        <f>I183*J185</f>
        <v>0.10403999999999999</v>
      </c>
      <c r="J185" s="2">
        <v>2.04</v>
      </c>
      <c r="K185" s="2"/>
      <c r="L185" s="2"/>
      <c r="M185" s="2"/>
      <c r="N185" s="2"/>
      <c r="O185" s="2">
        <f t="shared" si="150"/>
        <v>49.83</v>
      </c>
      <c r="P185" s="2">
        <f t="shared" si="151"/>
        <v>49.83</v>
      </c>
      <c r="Q185" s="2">
        <f t="shared" si="152"/>
        <v>0</v>
      </c>
      <c r="R185" s="2">
        <f t="shared" si="153"/>
        <v>0</v>
      </c>
      <c r="S185" s="2">
        <f t="shared" si="154"/>
        <v>0</v>
      </c>
      <c r="T185" s="2">
        <f t="shared" si="155"/>
        <v>0</v>
      </c>
      <c r="U185" s="2">
        <f t="shared" si="156"/>
        <v>0</v>
      </c>
      <c r="V185" s="2">
        <f t="shared" si="157"/>
        <v>0</v>
      </c>
      <c r="W185" s="2">
        <f t="shared" si="158"/>
        <v>0</v>
      </c>
      <c r="X185" s="2">
        <f t="shared" si="159"/>
        <v>0</v>
      </c>
      <c r="Y185" s="2">
        <f t="shared" si="160"/>
        <v>0</v>
      </c>
      <c r="Z185" s="2"/>
      <c r="AA185" s="2">
        <v>45037306</v>
      </c>
      <c r="AB185" s="2">
        <f t="shared" si="161"/>
        <v>478.96</v>
      </c>
      <c r="AC185" s="2">
        <f t="shared" si="162"/>
        <v>478.96</v>
      </c>
      <c r="AD185" s="2">
        <f t="shared" ref="AD185:AF186" si="184">ROUND((ET185),6)</f>
        <v>0</v>
      </c>
      <c r="AE185" s="2">
        <f t="shared" si="184"/>
        <v>0</v>
      </c>
      <c r="AF185" s="2">
        <f t="shared" si="184"/>
        <v>0</v>
      </c>
      <c r="AG185" s="2">
        <f t="shared" si="163"/>
        <v>0</v>
      </c>
      <c r="AH185" s="2">
        <f>(EW185)</f>
        <v>0</v>
      </c>
      <c r="AI185" s="2">
        <f>(EX185)</f>
        <v>0</v>
      </c>
      <c r="AJ185" s="2">
        <f t="shared" si="164"/>
        <v>0</v>
      </c>
      <c r="AK185" s="2">
        <v>478.96</v>
      </c>
      <c r="AL185" s="2">
        <v>478.96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0</v>
      </c>
      <c r="AS185" s="2">
        <v>0</v>
      </c>
      <c r="AT185" s="2">
        <v>0</v>
      </c>
      <c r="AU185" s="2">
        <v>0</v>
      </c>
      <c r="AV185" s="2">
        <v>1</v>
      </c>
      <c r="AW185" s="2">
        <v>1</v>
      </c>
      <c r="AX185" s="2"/>
      <c r="AY185" s="2"/>
      <c r="AZ185" s="2">
        <v>1</v>
      </c>
      <c r="BA185" s="2">
        <v>1</v>
      </c>
      <c r="BB185" s="2">
        <v>1</v>
      </c>
      <c r="BC185" s="2">
        <v>1</v>
      </c>
      <c r="BD185" s="2" t="s">
        <v>3</v>
      </c>
      <c r="BE185" s="2" t="s">
        <v>3</v>
      </c>
      <c r="BF185" s="2" t="s">
        <v>3</v>
      </c>
      <c r="BG185" s="2" t="s">
        <v>3</v>
      </c>
      <c r="BH185" s="2">
        <v>3</v>
      </c>
      <c r="BI185" s="2">
        <v>1</v>
      </c>
      <c r="BJ185" s="2" t="s">
        <v>216</v>
      </c>
      <c r="BK185" s="2"/>
      <c r="BL185" s="2"/>
      <c r="BM185" s="2">
        <v>89</v>
      </c>
      <c r="BN185" s="2">
        <v>7156650</v>
      </c>
      <c r="BO185" s="2" t="s">
        <v>3</v>
      </c>
      <c r="BP185" s="2">
        <v>0</v>
      </c>
      <c r="BQ185" s="2">
        <v>30</v>
      </c>
      <c r="BR185" s="2">
        <v>0</v>
      </c>
      <c r="BS185" s="2">
        <v>1</v>
      </c>
      <c r="BT185" s="2">
        <v>1</v>
      </c>
      <c r="BU185" s="2">
        <v>1</v>
      </c>
      <c r="BV185" s="2">
        <v>1</v>
      </c>
      <c r="BW185" s="2">
        <v>1</v>
      </c>
      <c r="BX185" s="2">
        <v>1</v>
      </c>
      <c r="BY185" s="2" t="s">
        <v>3</v>
      </c>
      <c r="BZ185" s="2">
        <v>0</v>
      </c>
      <c r="CA185" s="2">
        <v>0</v>
      </c>
      <c r="CB185" s="2"/>
      <c r="CC185" s="2"/>
      <c r="CD185" s="2"/>
      <c r="CE185" s="2"/>
      <c r="CF185" s="2">
        <v>0</v>
      </c>
      <c r="CG185" s="2">
        <v>0</v>
      </c>
      <c r="CH185" s="2"/>
      <c r="CI185" s="2"/>
      <c r="CJ185" s="2"/>
      <c r="CK185" s="2"/>
      <c r="CL185" s="2"/>
      <c r="CM185" s="2">
        <v>0</v>
      </c>
      <c r="CN185" s="2" t="s">
        <v>3</v>
      </c>
      <c r="CO185" s="2">
        <v>0</v>
      </c>
      <c r="CP185" s="2">
        <f t="shared" si="165"/>
        <v>49.83</v>
      </c>
      <c r="CQ185" s="2">
        <f t="shared" si="166"/>
        <v>478.96</v>
      </c>
      <c r="CR185" s="2">
        <f t="shared" si="167"/>
        <v>0</v>
      </c>
      <c r="CS185" s="2">
        <f t="shared" si="168"/>
        <v>0</v>
      </c>
      <c r="CT185" s="2">
        <f t="shared" si="169"/>
        <v>0</v>
      </c>
      <c r="CU185" s="2">
        <f t="shared" si="170"/>
        <v>0</v>
      </c>
      <c r="CV185" s="2">
        <f t="shared" si="171"/>
        <v>0</v>
      </c>
      <c r="CW185" s="2">
        <f t="shared" si="172"/>
        <v>0</v>
      </c>
      <c r="CX185" s="2">
        <f t="shared" si="173"/>
        <v>0</v>
      </c>
      <c r="CY185" s="2">
        <f t="shared" si="174"/>
        <v>0</v>
      </c>
      <c r="CZ185" s="2">
        <f t="shared" si="175"/>
        <v>0</v>
      </c>
      <c r="DA185" s="2"/>
      <c r="DB185" s="2"/>
      <c r="DC185" s="2" t="s">
        <v>3</v>
      </c>
      <c r="DD185" s="2" t="s">
        <v>3</v>
      </c>
      <c r="DE185" s="2" t="s">
        <v>3</v>
      </c>
      <c r="DF185" s="2" t="s">
        <v>3</v>
      </c>
      <c r="DG185" s="2" t="s">
        <v>3</v>
      </c>
      <c r="DH185" s="2" t="s">
        <v>3</v>
      </c>
      <c r="DI185" s="2" t="s">
        <v>3</v>
      </c>
      <c r="DJ185" s="2" t="s">
        <v>3</v>
      </c>
      <c r="DK185" s="2" t="s">
        <v>3</v>
      </c>
      <c r="DL185" s="2" t="s">
        <v>3</v>
      </c>
      <c r="DM185" s="2" t="s">
        <v>3</v>
      </c>
      <c r="DN185" s="2">
        <v>104</v>
      </c>
      <c r="DO185" s="2">
        <v>70</v>
      </c>
      <c r="DP185" s="2">
        <v>1.0469999999999999</v>
      </c>
      <c r="DQ185" s="2">
        <v>1</v>
      </c>
      <c r="DR185" s="2"/>
      <c r="DS185" s="2"/>
      <c r="DT185" s="2"/>
      <c r="DU185" s="2">
        <v>1007</v>
      </c>
      <c r="DV185" s="2" t="s">
        <v>80</v>
      </c>
      <c r="DW185" s="2" t="s">
        <v>80</v>
      </c>
      <c r="DX185" s="2">
        <v>1</v>
      </c>
      <c r="DY185" s="2"/>
      <c r="DZ185" s="2"/>
      <c r="EA185" s="2"/>
      <c r="EB185" s="2"/>
      <c r="EC185" s="2"/>
      <c r="ED185" s="2"/>
      <c r="EE185" s="2">
        <v>44846596</v>
      </c>
      <c r="EF185" s="2">
        <v>30</v>
      </c>
      <c r="EG185" s="2" t="s">
        <v>38</v>
      </c>
      <c r="EH185" s="2">
        <v>0</v>
      </c>
      <c r="EI185" s="2" t="s">
        <v>3</v>
      </c>
      <c r="EJ185" s="2">
        <v>1</v>
      </c>
      <c r="EK185" s="2">
        <v>89</v>
      </c>
      <c r="EL185" s="2" t="s">
        <v>211</v>
      </c>
      <c r="EM185" s="2" t="s">
        <v>212</v>
      </c>
      <c r="EN185" s="2"/>
      <c r="EO185" s="2" t="s">
        <v>3</v>
      </c>
      <c r="EP185" s="2"/>
      <c r="EQ185" s="2">
        <v>0</v>
      </c>
      <c r="ER185" s="2">
        <v>478.96</v>
      </c>
      <c r="ES185" s="2">
        <v>478.96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/>
      <c r="EZ185" s="2"/>
      <c r="FA185" s="2"/>
      <c r="FB185" s="2"/>
      <c r="FC185" s="2"/>
      <c r="FD185" s="2"/>
      <c r="FE185" s="2"/>
      <c r="FF185" s="2"/>
      <c r="FG185" s="2"/>
      <c r="FH185" s="2"/>
      <c r="FI185" s="2"/>
      <c r="FJ185" s="2"/>
      <c r="FK185" s="2"/>
      <c r="FL185" s="2"/>
      <c r="FM185" s="2"/>
      <c r="FN185" s="2"/>
      <c r="FO185" s="2"/>
      <c r="FP185" s="2"/>
      <c r="FQ185" s="2">
        <v>0</v>
      </c>
      <c r="FR185" s="2">
        <f t="shared" si="176"/>
        <v>0</v>
      </c>
      <c r="FS185" s="2">
        <v>0</v>
      </c>
      <c r="FT185" s="2"/>
      <c r="FU185" s="2"/>
      <c r="FV185" s="2"/>
      <c r="FW185" s="2"/>
      <c r="FX185" s="2">
        <v>104</v>
      </c>
      <c r="FY185" s="2">
        <v>70</v>
      </c>
      <c r="FZ185" s="2"/>
      <c r="GA185" s="2" t="s">
        <v>3</v>
      </c>
      <c r="GB185" s="2"/>
      <c r="GC185" s="2"/>
      <c r="GD185" s="2">
        <v>0</v>
      </c>
      <c r="GE185" s="2"/>
      <c r="GF185" s="2">
        <v>-1161195218</v>
      </c>
      <c r="GG185" s="2">
        <v>2</v>
      </c>
      <c r="GH185" s="2">
        <v>1</v>
      </c>
      <c r="GI185" s="2">
        <v>3</v>
      </c>
      <c r="GJ185" s="2">
        <v>0</v>
      </c>
      <c r="GK185" s="2">
        <f>ROUND(R185*(R12)/100,2)</f>
        <v>0</v>
      </c>
      <c r="GL185" s="2">
        <f t="shared" si="177"/>
        <v>0</v>
      </c>
      <c r="GM185" s="2">
        <f t="shared" si="178"/>
        <v>49.83</v>
      </c>
      <c r="GN185" s="2">
        <f t="shared" si="179"/>
        <v>49.83</v>
      </c>
      <c r="GO185" s="2">
        <f t="shared" si="180"/>
        <v>0</v>
      </c>
      <c r="GP185" s="2">
        <f t="shared" si="181"/>
        <v>0</v>
      </c>
      <c r="GQ185" s="2"/>
      <c r="GR185" s="2">
        <v>0</v>
      </c>
      <c r="GS185" s="2">
        <v>3</v>
      </c>
      <c r="GT185" s="2">
        <v>0</v>
      </c>
      <c r="GU185" s="2" t="s">
        <v>3</v>
      </c>
      <c r="GV185" s="2">
        <f t="shared" si="182"/>
        <v>0</v>
      </c>
      <c r="GW185" s="2">
        <v>1</v>
      </c>
      <c r="GX185" s="2">
        <f t="shared" si="183"/>
        <v>0</v>
      </c>
      <c r="GY185" s="2"/>
      <c r="GZ185" s="2"/>
      <c r="HA185" s="2">
        <v>0</v>
      </c>
      <c r="HB185" s="2">
        <v>0</v>
      </c>
      <c r="HC185" s="2"/>
      <c r="HD185" s="2"/>
      <c r="HE185" s="2"/>
      <c r="HF185" s="2"/>
      <c r="HG185" s="2"/>
      <c r="HH185" s="2"/>
      <c r="HI185" s="2"/>
      <c r="HJ185" s="2"/>
      <c r="HK185" s="2"/>
      <c r="HL185" s="2"/>
      <c r="HM185" s="2"/>
      <c r="HN185" s="2"/>
      <c r="HO185" s="2"/>
      <c r="HP185" s="2"/>
      <c r="HQ185" s="2"/>
      <c r="HR185" s="2"/>
      <c r="HS185" s="2"/>
      <c r="HT185" s="2"/>
      <c r="HU185" s="2"/>
      <c r="HV185" s="2"/>
      <c r="HW185" s="2"/>
      <c r="HX185" s="2"/>
      <c r="HY185" s="2"/>
      <c r="HZ185" s="2"/>
      <c r="IA185" s="2"/>
      <c r="IB185" s="2"/>
      <c r="IC185" s="2"/>
      <c r="ID185" s="2"/>
      <c r="IE185" s="2"/>
      <c r="IF185" s="2"/>
      <c r="IG185" s="2"/>
      <c r="IH185" s="2"/>
      <c r="II185" s="2"/>
      <c r="IJ185" s="2"/>
      <c r="IK185" s="2">
        <v>0</v>
      </c>
      <c r="IL185" s="2"/>
      <c r="IM185" s="2"/>
      <c r="IN185" s="2"/>
      <c r="IO185" s="2"/>
      <c r="IP185" s="2"/>
      <c r="IQ185" s="2"/>
      <c r="IR185" s="2"/>
      <c r="IS185" s="2"/>
      <c r="IT185" s="2"/>
      <c r="IU185" s="2"/>
    </row>
    <row r="186" spans="1:255" x14ac:dyDescent="0.2">
      <c r="A186">
        <v>18</v>
      </c>
      <c r="B186">
        <v>1</v>
      </c>
      <c r="C186">
        <v>118</v>
      </c>
      <c r="E186" t="s">
        <v>213</v>
      </c>
      <c r="F186" t="s">
        <v>214</v>
      </c>
      <c r="G186" t="s">
        <v>215</v>
      </c>
      <c r="H186" t="s">
        <v>80</v>
      </c>
      <c r="I186">
        <f>I184*J186</f>
        <v>0.10403999999999999</v>
      </c>
      <c r="J186">
        <v>2.04</v>
      </c>
      <c r="O186">
        <f t="shared" si="150"/>
        <v>302.97000000000003</v>
      </c>
      <c r="P186">
        <f t="shared" si="151"/>
        <v>302.97000000000003</v>
      </c>
      <c r="Q186">
        <f t="shared" si="152"/>
        <v>0</v>
      </c>
      <c r="R186">
        <f t="shared" si="153"/>
        <v>0</v>
      </c>
      <c r="S186">
        <f t="shared" si="154"/>
        <v>0</v>
      </c>
      <c r="T186">
        <f t="shared" si="155"/>
        <v>0</v>
      </c>
      <c r="U186">
        <f t="shared" si="156"/>
        <v>0</v>
      </c>
      <c r="V186">
        <f t="shared" si="157"/>
        <v>0</v>
      </c>
      <c r="W186">
        <f t="shared" si="158"/>
        <v>0</v>
      </c>
      <c r="X186">
        <f t="shared" si="159"/>
        <v>0</v>
      </c>
      <c r="Y186">
        <f t="shared" si="160"/>
        <v>0</v>
      </c>
      <c r="AA186">
        <v>45037307</v>
      </c>
      <c r="AB186">
        <f t="shared" si="161"/>
        <v>478.96</v>
      </c>
      <c r="AC186">
        <f t="shared" si="162"/>
        <v>478.96</v>
      </c>
      <c r="AD186">
        <f t="shared" si="184"/>
        <v>0</v>
      </c>
      <c r="AE186">
        <f t="shared" si="184"/>
        <v>0</v>
      </c>
      <c r="AF186">
        <f t="shared" si="184"/>
        <v>0</v>
      </c>
      <c r="AG186">
        <f t="shared" si="163"/>
        <v>0</v>
      </c>
      <c r="AH186">
        <f>(EW186)</f>
        <v>0</v>
      </c>
      <c r="AI186">
        <f>(EX186)</f>
        <v>0</v>
      </c>
      <c r="AJ186">
        <f t="shared" si="164"/>
        <v>0</v>
      </c>
      <c r="AK186">
        <v>478.96</v>
      </c>
      <c r="AL186">
        <v>478.96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  <c r="AS186">
        <v>0</v>
      </c>
      <c r="AT186">
        <v>0</v>
      </c>
      <c r="AU186">
        <v>0</v>
      </c>
      <c r="AV186">
        <v>1</v>
      </c>
      <c r="AW186">
        <v>1</v>
      </c>
      <c r="AZ186">
        <v>1</v>
      </c>
      <c r="BA186">
        <v>1</v>
      </c>
      <c r="BB186">
        <v>1</v>
      </c>
      <c r="BC186">
        <v>6.08</v>
      </c>
      <c r="BD186" t="s">
        <v>3</v>
      </c>
      <c r="BE186" t="s">
        <v>3</v>
      </c>
      <c r="BF186" t="s">
        <v>3</v>
      </c>
      <c r="BG186" t="s">
        <v>3</v>
      </c>
      <c r="BH186">
        <v>3</v>
      </c>
      <c r="BI186">
        <v>1</v>
      </c>
      <c r="BJ186" t="s">
        <v>216</v>
      </c>
      <c r="BM186">
        <v>89</v>
      </c>
      <c r="BN186">
        <v>7156650</v>
      </c>
      <c r="BO186" t="s">
        <v>214</v>
      </c>
      <c r="BP186">
        <v>1</v>
      </c>
      <c r="BQ186">
        <v>30</v>
      </c>
      <c r="BR186">
        <v>0</v>
      </c>
      <c r="BS186">
        <v>1</v>
      </c>
      <c r="BT186">
        <v>1</v>
      </c>
      <c r="BU186">
        <v>1</v>
      </c>
      <c r="BV186">
        <v>1</v>
      </c>
      <c r="BW186">
        <v>1</v>
      </c>
      <c r="BX186">
        <v>1</v>
      </c>
      <c r="BY186" t="s">
        <v>3</v>
      </c>
      <c r="BZ186">
        <v>0</v>
      </c>
      <c r="CA186">
        <v>0</v>
      </c>
      <c r="CF186">
        <v>0</v>
      </c>
      <c r="CG186">
        <v>0</v>
      </c>
      <c r="CM186">
        <v>0</v>
      </c>
      <c r="CN186" t="s">
        <v>3</v>
      </c>
      <c r="CO186">
        <v>0</v>
      </c>
      <c r="CP186">
        <f t="shared" si="165"/>
        <v>302.97000000000003</v>
      </c>
      <c r="CQ186">
        <f t="shared" si="166"/>
        <v>2912.0767999999998</v>
      </c>
      <c r="CR186">
        <f t="shared" si="167"/>
        <v>0</v>
      </c>
      <c r="CS186">
        <f t="shared" si="168"/>
        <v>0</v>
      </c>
      <c r="CT186">
        <f t="shared" si="169"/>
        <v>0</v>
      </c>
      <c r="CU186">
        <f t="shared" si="170"/>
        <v>0</v>
      </c>
      <c r="CV186">
        <f t="shared" si="171"/>
        <v>0</v>
      </c>
      <c r="CW186">
        <f t="shared" si="172"/>
        <v>0</v>
      </c>
      <c r="CX186">
        <f t="shared" si="173"/>
        <v>0</v>
      </c>
      <c r="CY186">
        <f t="shared" si="174"/>
        <v>0</v>
      </c>
      <c r="CZ186">
        <f t="shared" si="175"/>
        <v>0</v>
      </c>
      <c r="DC186" t="s">
        <v>3</v>
      </c>
      <c r="DD186" t="s">
        <v>3</v>
      </c>
      <c r="DE186" t="s">
        <v>3</v>
      </c>
      <c r="DF186" t="s">
        <v>3</v>
      </c>
      <c r="DG186" t="s">
        <v>3</v>
      </c>
      <c r="DH186" t="s">
        <v>3</v>
      </c>
      <c r="DI186" t="s">
        <v>3</v>
      </c>
      <c r="DJ186" t="s">
        <v>3</v>
      </c>
      <c r="DK186" t="s">
        <v>3</v>
      </c>
      <c r="DL186" t="s">
        <v>3</v>
      </c>
      <c r="DM186" t="s">
        <v>3</v>
      </c>
      <c r="DN186">
        <v>104</v>
      </c>
      <c r="DO186">
        <v>70</v>
      </c>
      <c r="DP186">
        <v>1.0469999999999999</v>
      </c>
      <c r="DQ186">
        <v>1</v>
      </c>
      <c r="DU186">
        <v>1007</v>
      </c>
      <c r="DV186" t="s">
        <v>80</v>
      </c>
      <c r="DW186" t="s">
        <v>80</v>
      </c>
      <c r="DX186">
        <v>1</v>
      </c>
      <c r="EE186">
        <v>44846596</v>
      </c>
      <c r="EF186">
        <v>30</v>
      </c>
      <c r="EG186" t="s">
        <v>38</v>
      </c>
      <c r="EH186">
        <v>0</v>
      </c>
      <c r="EI186" t="s">
        <v>3</v>
      </c>
      <c r="EJ186">
        <v>1</v>
      </c>
      <c r="EK186">
        <v>89</v>
      </c>
      <c r="EL186" t="s">
        <v>211</v>
      </c>
      <c r="EM186" t="s">
        <v>212</v>
      </c>
      <c r="EO186" t="s">
        <v>3</v>
      </c>
      <c r="EQ186">
        <v>0</v>
      </c>
      <c r="ER186">
        <v>478.96</v>
      </c>
      <c r="ES186">
        <v>478.96</v>
      </c>
      <c r="ET186">
        <v>0</v>
      </c>
      <c r="EU186">
        <v>0</v>
      </c>
      <c r="EV186">
        <v>0</v>
      </c>
      <c r="EW186">
        <v>0</v>
      </c>
      <c r="EX186">
        <v>0</v>
      </c>
      <c r="FQ186">
        <v>0</v>
      </c>
      <c r="FR186">
        <f t="shared" si="176"/>
        <v>0</v>
      </c>
      <c r="FS186">
        <v>0</v>
      </c>
      <c r="FX186">
        <v>104</v>
      </c>
      <c r="FY186">
        <v>70</v>
      </c>
      <c r="GA186" t="s">
        <v>3</v>
      </c>
      <c r="GD186">
        <v>0</v>
      </c>
      <c r="GF186">
        <v>-1161195218</v>
      </c>
      <c r="GG186">
        <v>2</v>
      </c>
      <c r="GH186">
        <v>1</v>
      </c>
      <c r="GI186">
        <v>3</v>
      </c>
      <c r="GJ186">
        <v>0</v>
      </c>
      <c r="GK186">
        <f>ROUND(R186*(S12)/100,2)</f>
        <v>0</v>
      </c>
      <c r="GL186">
        <f t="shared" si="177"/>
        <v>0</v>
      </c>
      <c r="GM186">
        <f t="shared" si="178"/>
        <v>302.97000000000003</v>
      </c>
      <c r="GN186">
        <f t="shared" si="179"/>
        <v>302.97000000000003</v>
      </c>
      <c r="GO186">
        <f t="shared" si="180"/>
        <v>0</v>
      </c>
      <c r="GP186">
        <f t="shared" si="181"/>
        <v>0</v>
      </c>
      <c r="GR186">
        <v>0</v>
      </c>
      <c r="GS186">
        <v>3</v>
      </c>
      <c r="GT186">
        <v>0</v>
      </c>
      <c r="GU186" t="s">
        <v>3</v>
      </c>
      <c r="GV186">
        <f t="shared" si="182"/>
        <v>0</v>
      </c>
      <c r="GW186">
        <v>1</v>
      </c>
      <c r="GX186">
        <f t="shared" si="183"/>
        <v>0</v>
      </c>
      <c r="HA186">
        <v>0</v>
      </c>
      <c r="HB186">
        <v>0</v>
      </c>
      <c r="IK186">
        <v>0</v>
      </c>
    </row>
    <row r="187" spans="1:255" x14ac:dyDescent="0.2">
      <c r="A187" s="2">
        <v>17</v>
      </c>
      <c r="B187" s="2">
        <v>1</v>
      </c>
      <c r="C187" s="2">
        <f>ROW(SmtRes!A123)</f>
        <v>123</v>
      </c>
      <c r="D187" s="2">
        <f>ROW(EtalonRes!A123)</f>
        <v>123</v>
      </c>
      <c r="E187" s="2" t="s">
        <v>217</v>
      </c>
      <c r="F187" s="2" t="s">
        <v>218</v>
      </c>
      <c r="G187" s="2" t="s">
        <v>219</v>
      </c>
      <c r="H187" s="2" t="s">
        <v>54</v>
      </c>
      <c r="I187" s="2">
        <f>ROUND(5.1/100,9)</f>
        <v>5.0999999999999997E-2</v>
      </c>
      <c r="J187" s="2">
        <v>0</v>
      </c>
      <c r="K187" s="2"/>
      <c r="L187" s="2"/>
      <c r="M187" s="2"/>
      <c r="N187" s="2"/>
      <c r="O187" s="2">
        <f t="shared" si="150"/>
        <v>112.77</v>
      </c>
      <c r="P187" s="2">
        <f t="shared" si="151"/>
        <v>51.83</v>
      </c>
      <c r="Q187" s="2">
        <f t="shared" si="152"/>
        <v>14.57</v>
      </c>
      <c r="R187" s="2">
        <f t="shared" si="153"/>
        <v>3.54</v>
      </c>
      <c r="S187" s="2">
        <f t="shared" si="154"/>
        <v>46.37</v>
      </c>
      <c r="T187" s="2">
        <f t="shared" si="155"/>
        <v>0</v>
      </c>
      <c r="U187" s="2">
        <f t="shared" si="156"/>
        <v>4.2579899999999986</v>
      </c>
      <c r="V187" s="2">
        <f t="shared" si="157"/>
        <v>0</v>
      </c>
      <c r="W187" s="2">
        <f t="shared" si="158"/>
        <v>0</v>
      </c>
      <c r="X187" s="2">
        <f t="shared" si="159"/>
        <v>0</v>
      </c>
      <c r="Y187" s="2">
        <f t="shared" si="160"/>
        <v>0</v>
      </c>
      <c r="Z187" s="2"/>
      <c r="AA187" s="2">
        <v>45037306</v>
      </c>
      <c r="AB187" s="2">
        <f t="shared" si="161"/>
        <v>2211.2565</v>
      </c>
      <c r="AC187" s="2">
        <f t="shared" si="162"/>
        <v>1016.28</v>
      </c>
      <c r="AD187" s="2">
        <f>ROUND(((ET187*1.25)),6)</f>
        <v>285.77499999999998</v>
      </c>
      <c r="AE187" s="2">
        <f>ROUND(((EU187*1.25)),6)</f>
        <v>69.349999999999994</v>
      </c>
      <c r="AF187" s="2">
        <f>ROUND(((EV187*1.15)),6)</f>
        <v>909.20150000000001</v>
      </c>
      <c r="AG187" s="2">
        <f t="shared" si="163"/>
        <v>0</v>
      </c>
      <c r="AH187" s="2">
        <f>((EW187*1.15))</f>
        <v>83.489999999999981</v>
      </c>
      <c r="AI187" s="2">
        <f>((EX187*1.25))</f>
        <v>0</v>
      </c>
      <c r="AJ187" s="2">
        <f t="shared" si="164"/>
        <v>0</v>
      </c>
      <c r="AK187" s="2">
        <v>2035.51</v>
      </c>
      <c r="AL187" s="2">
        <v>1016.28</v>
      </c>
      <c r="AM187" s="2">
        <v>228.62</v>
      </c>
      <c r="AN187" s="2">
        <v>55.48</v>
      </c>
      <c r="AO187" s="2">
        <v>790.61</v>
      </c>
      <c r="AP187" s="2">
        <v>0</v>
      </c>
      <c r="AQ187" s="2">
        <v>72.599999999999994</v>
      </c>
      <c r="AR187" s="2">
        <v>0</v>
      </c>
      <c r="AS187" s="2">
        <v>0</v>
      </c>
      <c r="AT187" s="2">
        <v>0</v>
      </c>
      <c r="AU187" s="2">
        <v>0</v>
      </c>
      <c r="AV187" s="2">
        <v>1</v>
      </c>
      <c r="AW187" s="2">
        <v>1</v>
      </c>
      <c r="AX187" s="2"/>
      <c r="AY187" s="2"/>
      <c r="AZ187" s="2">
        <v>1</v>
      </c>
      <c r="BA187" s="2">
        <v>1</v>
      </c>
      <c r="BB187" s="2">
        <v>1</v>
      </c>
      <c r="BC187" s="2">
        <v>1</v>
      </c>
      <c r="BD187" s="2" t="s">
        <v>3</v>
      </c>
      <c r="BE187" s="2" t="s">
        <v>3</v>
      </c>
      <c r="BF187" s="2" t="s">
        <v>3</v>
      </c>
      <c r="BG187" s="2" t="s">
        <v>3</v>
      </c>
      <c r="BH187" s="2">
        <v>0</v>
      </c>
      <c r="BI187" s="2">
        <v>1</v>
      </c>
      <c r="BJ187" s="2" t="s">
        <v>220</v>
      </c>
      <c r="BK187" s="2"/>
      <c r="BL187" s="2"/>
      <c r="BM187" s="2">
        <v>91</v>
      </c>
      <c r="BN187" s="2">
        <v>7156650</v>
      </c>
      <c r="BO187" s="2" t="s">
        <v>3</v>
      </c>
      <c r="BP187" s="2">
        <v>0</v>
      </c>
      <c r="BQ187" s="2">
        <v>30</v>
      </c>
      <c r="BR187" s="2">
        <v>0</v>
      </c>
      <c r="BS187" s="2">
        <v>1</v>
      </c>
      <c r="BT187" s="2">
        <v>1</v>
      </c>
      <c r="BU187" s="2">
        <v>1</v>
      </c>
      <c r="BV187" s="2">
        <v>1</v>
      </c>
      <c r="BW187" s="2">
        <v>1</v>
      </c>
      <c r="BX187" s="2">
        <v>1</v>
      </c>
      <c r="BY187" s="2" t="s">
        <v>3</v>
      </c>
      <c r="BZ187" s="2">
        <v>0</v>
      </c>
      <c r="CA187" s="2">
        <v>0</v>
      </c>
      <c r="CB187" s="2"/>
      <c r="CC187" s="2"/>
      <c r="CD187" s="2"/>
      <c r="CE187" s="2"/>
      <c r="CF187" s="2">
        <v>0</v>
      </c>
      <c r="CG187" s="2">
        <v>0</v>
      </c>
      <c r="CH187" s="2"/>
      <c r="CI187" s="2"/>
      <c r="CJ187" s="2"/>
      <c r="CK187" s="2"/>
      <c r="CL187" s="2"/>
      <c r="CM187" s="2">
        <v>0</v>
      </c>
      <c r="CN187" s="2" t="s">
        <v>3</v>
      </c>
      <c r="CO187" s="2">
        <v>0</v>
      </c>
      <c r="CP187" s="2">
        <f t="shared" si="165"/>
        <v>112.77000000000001</v>
      </c>
      <c r="CQ187" s="2">
        <f t="shared" si="166"/>
        <v>1016.28</v>
      </c>
      <c r="CR187" s="2">
        <f t="shared" si="167"/>
        <v>285.77499999999998</v>
      </c>
      <c r="CS187" s="2">
        <f t="shared" si="168"/>
        <v>69.349999999999994</v>
      </c>
      <c r="CT187" s="2">
        <f t="shared" si="169"/>
        <v>909.20150000000001</v>
      </c>
      <c r="CU187" s="2">
        <f t="shared" si="170"/>
        <v>0</v>
      </c>
      <c r="CV187" s="2">
        <f t="shared" si="171"/>
        <v>83.489999999999981</v>
      </c>
      <c r="CW187" s="2">
        <f t="shared" si="172"/>
        <v>0</v>
      </c>
      <c r="CX187" s="2">
        <f t="shared" si="173"/>
        <v>0</v>
      </c>
      <c r="CY187" s="2">
        <f t="shared" si="174"/>
        <v>0</v>
      </c>
      <c r="CZ187" s="2">
        <f t="shared" si="175"/>
        <v>0</v>
      </c>
      <c r="DA187" s="2"/>
      <c r="DB187" s="2"/>
      <c r="DC187" s="2" t="s">
        <v>3</v>
      </c>
      <c r="DD187" s="2" t="s">
        <v>3</v>
      </c>
      <c r="DE187" s="2" t="s">
        <v>36</v>
      </c>
      <c r="DF187" s="2" t="s">
        <v>36</v>
      </c>
      <c r="DG187" s="2" t="s">
        <v>37</v>
      </c>
      <c r="DH187" s="2" t="s">
        <v>3</v>
      </c>
      <c r="DI187" s="2" t="s">
        <v>37</v>
      </c>
      <c r="DJ187" s="2" t="s">
        <v>36</v>
      </c>
      <c r="DK187" s="2" t="s">
        <v>3</v>
      </c>
      <c r="DL187" s="2" t="s">
        <v>3</v>
      </c>
      <c r="DM187" s="2" t="s">
        <v>3</v>
      </c>
      <c r="DN187" s="2">
        <v>104</v>
      </c>
      <c r="DO187" s="2">
        <v>70</v>
      </c>
      <c r="DP187" s="2">
        <v>1.0469999999999999</v>
      </c>
      <c r="DQ187" s="2">
        <v>1</v>
      </c>
      <c r="DR187" s="2"/>
      <c r="DS187" s="2"/>
      <c r="DT187" s="2"/>
      <c r="DU187" s="2">
        <v>1013</v>
      </c>
      <c r="DV187" s="2" t="s">
        <v>54</v>
      </c>
      <c r="DW187" s="2" t="s">
        <v>54</v>
      </c>
      <c r="DX187" s="2">
        <v>1</v>
      </c>
      <c r="DY187" s="2"/>
      <c r="DZ187" s="2"/>
      <c r="EA187" s="2"/>
      <c r="EB187" s="2"/>
      <c r="EC187" s="2"/>
      <c r="ED187" s="2"/>
      <c r="EE187" s="2">
        <v>44846598</v>
      </c>
      <c r="EF187" s="2">
        <v>30</v>
      </c>
      <c r="EG187" s="2" t="s">
        <v>38</v>
      </c>
      <c r="EH187" s="2">
        <v>0</v>
      </c>
      <c r="EI187" s="2" t="s">
        <v>3</v>
      </c>
      <c r="EJ187" s="2">
        <v>1</v>
      </c>
      <c r="EK187" s="2">
        <v>91</v>
      </c>
      <c r="EL187" s="2" t="s">
        <v>221</v>
      </c>
      <c r="EM187" s="2" t="s">
        <v>222</v>
      </c>
      <c r="EN187" s="2"/>
      <c r="EO187" s="2" t="s">
        <v>3</v>
      </c>
      <c r="EP187" s="2"/>
      <c r="EQ187" s="2">
        <v>131072</v>
      </c>
      <c r="ER187" s="2">
        <v>2035.51</v>
      </c>
      <c r="ES187" s="2">
        <v>1016.28</v>
      </c>
      <c r="ET187" s="2">
        <v>228.62</v>
      </c>
      <c r="EU187" s="2">
        <v>55.48</v>
      </c>
      <c r="EV187" s="2">
        <v>790.61</v>
      </c>
      <c r="EW187" s="2">
        <v>72.599999999999994</v>
      </c>
      <c r="EX187" s="2">
        <v>0</v>
      </c>
      <c r="EY187" s="2">
        <v>0</v>
      </c>
      <c r="EZ187" s="2"/>
      <c r="FA187" s="2"/>
      <c r="FB187" s="2"/>
      <c r="FC187" s="2"/>
      <c r="FD187" s="2"/>
      <c r="FE187" s="2"/>
      <c r="FF187" s="2"/>
      <c r="FG187" s="2"/>
      <c r="FH187" s="2"/>
      <c r="FI187" s="2"/>
      <c r="FJ187" s="2"/>
      <c r="FK187" s="2"/>
      <c r="FL187" s="2"/>
      <c r="FM187" s="2"/>
      <c r="FN187" s="2"/>
      <c r="FO187" s="2"/>
      <c r="FP187" s="2"/>
      <c r="FQ187" s="2">
        <v>0</v>
      </c>
      <c r="FR187" s="2">
        <f t="shared" si="176"/>
        <v>0</v>
      </c>
      <c r="FS187" s="2">
        <v>0</v>
      </c>
      <c r="FT187" s="2"/>
      <c r="FU187" s="2"/>
      <c r="FV187" s="2"/>
      <c r="FW187" s="2"/>
      <c r="FX187" s="2">
        <v>104</v>
      </c>
      <c r="FY187" s="2">
        <v>70</v>
      </c>
      <c r="FZ187" s="2"/>
      <c r="GA187" s="2" t="s">
        <v>3</v>
      </c>
      <c r="GB187" s="2"/>
      <c r="GC187" s="2"/>
      <c r="GD187" s="2">
        <v>0</v>
      </c>
      <c r="GE187" s="2"/>
      <c r="GF187" s="2">
        <v>300004536</v>
      </c>
      <c r="GG187" s="2">
        <v>2</v>
      </c>
      <c r="GH187" s="2">
        <v>1</v>
      </c>
      <c r="GI187" s="2">
        <v>3</v>
      </c>
      <c r="GJ187" s="2">
        <v>0</v>
      </c>
      <c r="GK187" s="2">
        <f>ROUND(R187*(R12)/100,2)</f>
        <v>6.37</v>
      </c>
      <c r="GL187" s="2">
        <f t="shared" si="177"/>
        <v>0</v>
      </c>
      <c r="GM187" s="2">
        <f t="shared" si="178"/>
        <v>119.14</v>
      </c>
      <c r="GN187" s="2">
        <f t="shared" si="179"/>
        <v>119.14</v>
      </c>
      <c r="GO187" s="2">
        <f t="shared" si="180"/>
        <v>0</v>
      </c>
      <c r="GP187" s="2">
        <f t="shared" si="181"/>
        <v>0</v>
      </c>
      <c r="GQ187" s="2"/>
      <c r="GR187" s="2">
        <v>0</v>
      </c>
      <c r="GS187" s="2">
        <v>3</v>
      </c>
      <c r="GT187" s="2">
        <v>0</v>
      </c>
      <c r="GU187" s="2" t="s">
        <v>3</v>
      </c>
      <c r="GV187" s="2">
        <f t="shared" si="182"/>
        <v>0</v>
      </c>
      <c r="GW187" s="2">
        <v>1</v>
      </c>
      <c r="GX187" s="2">
        <f t="shared" si="183"/>
        <v>0</v>
      </c>
      <c r="GY187" s="2"/>
      <c r="GZ187" s="2"/>
      <c r="HA187" s="2">
        <v>0</v>
      </c>
      <c r="HB187" s="2">
        <v>0</v>
      </c>
      <c r="HC187" s="2"/>
      <c r="HD187" s="2"/>
      <c r="HE187" s="2"/>
      <c r="HF187" s="2"/>
      <c r="HG187" s="2"/>
      <c r="HH187" s="2"/>
      <c r="HI187" s="2"/>
      <c r="HJ187" s="2"/>
      <c r="HK187" s="2"/>
      <c r="HL187" s="2"/>
      <c r="HM187" s="2"/>
      <c r="HN187" s="2"/>
      <c r="HO187" s="2"/>
      <c r="HP187" s="2"/>
      <c r="HQ187" s="2"/>
      <c r="HR187" s="2"/>
      <c r="HS187" s="2"/>
      <c r="HT187" s="2"/>
      <c r="HU187" s="2"/>
      <c r="HV187" s="2"/>
      <c r="HW187" s="2"/>
      <c r="HX187" s="2"/>
      <c r="HY187" s="2"/>
      <c r="HZ187" s="2"/>
      <c r="IA187" s="2"/>
      <c r="IB187" s="2"/>
      <c r="IC187" s="2"/>
      <c r="ID187" s="2"/>
      <c r="IE187" s="2"/>
      <c r="IF187" s="2"/>
      <c r="IG187" s="2"/>
      <c r="IH187" s="2"/>
      <c r="II187" s="2"/>
      <c r="IJ187" s="2"/>
      <c r="IK187" s="2">
        <v>0</v>
      </c>
      <c r="IL187" s="2"/>
      <c r="IM187" s="2"/>
      <c r="IN187" s="2"/>
      <c r="IO187" s="2"/>
      <c r="IP187" s="2"/>
      <c r="IQ187" s="2"/>
      <c r="IR187" s="2"/>
      <c r="IS187" s="2"/>
      <c r="IT187" s="2"/>
      <c r="IU187" s="2"/>
    </row>
    <row r="188" spans="1:255" x14ac:dyDescent="0.2">
      <c r="A188">
        <v>17</v>
      </c>
      <c r="B188">
        <v>1</v>
      </c>
      <c r="C188">
        <f>ROW(SmtRes!A128)</f>
        <v>128</v>
      </c>
      <c r="D188">
        <f>ROW(EtalonRes!A128)</f>
        <v>128</v>
      </c>
      <c r="E188" t="s">
        <v>217</v>
      </c>
      <c r="F188" t="s">
        <v>218</v>
      </c>
      <c r="G188" t="s">
        <v>219</v>
      </c>
      <c r="H188" t="s">
        <v>54</v>
      </c>
      <c r="I188">
        <f>ROUND(5.1/100,9)</f>
        <v>5.0999999999999997E-2</v>
      </c>
      <c r="J188">
        <v>0</v>
      </c>
      <c r="O188">
        <f t="shared" si="150"/>
        <v>1392.96</v>
      </c>
      <c r="P188">
        <f t="shared" si="151"/>
        <v>315.13</v>
      </c>
      <c r="Q188">
        <f t="shared" si="152"/>
        <v>131.9</v>
      </c>
      <c r="R188">
        <f t="shared" si="153"/>
        <v>72.150000000000006</v>
      </c>
      <c r="S188">
        <f t="shared" si="154"/>
        <v>945.93</v>
      </c>
      <c r="T188">
        <f t="shared" si="155"/>
        <v>0</v>
      </c>
      <c r="U188">
        <f t="shared" si="156"/>
        <v>4.2579899999999986</v>
      </c>
      <c r="V188">
        <f t="shared" si="157"/>
        <v>0</v>
      </c>
      <c r="W188">
        <f t="shared" si="158"/>
        <v>0</v>
      </c>
      <c r="X188">
        <f t="shared" si="159"/>
        <v>804.04</v>
      </c>
      <c r="Y188">
        <f t="shared" si="160"/>
        <v>387.83</v>
      </c>
      <c r="AA188">
        <v>45037307</v>
      </c>
      <c r="AB188">
        <f t="shared" si="161"/>
        <v>2211.2565</v>
      </c>
      <c r="AC188">
        <f t="shared" si="162"/>
        <v>1016.28</v>
      </c>
      <c r="AD188">
        <f>ROUND(((ET188*1.25)),6)</f>
        <v>285.77499999999998</v>
      </c>
      <c r="AE188">
        <f>ROUND(((EU188*1.25)),6)</f>
        <v>69.349999999999994</v>
      </c>
      <c r="AF188">
        <f>ROUND(((EV188*1.15)),6)</f>
        <v>909.20150000000001</v>
      </c>
      <c r="AG188">
        <f t="shared" si="163"/>
        <v>0</v>
      </c>
      <c r="AH188">
        <f>((EW188*1.15))</f>
        <v>83.489999999999981</v>
      </c>
      <c r="AI188">
        <f>((EX188*1.25))</f>
        <v>0</v>
      </c>
      <c r="AJ188">
        <f t="shared" si="164"/>
        <v>0</v>
      </c>
      <c r="AK188">
        <v>2035.51</v>
      </c>
      <c r="AL188">
        <v>1016.28</v>
      </c>
      <c r="AM188">
        <v>228.62</v>
      </c>
      <c r="AN188">
        <v>55.48</v>
      </c>
      <c r="AO188">
        <v>790.61</v>
      </c>
      <c r="AP188">
        <v>0</v>
      </c>
      <c r="AQ188">
        <v>72.599999999999994</v>
      </c>
      <c r="AR188">
        <v>0</v>
      </c>
      <c r="AS188">
        <v>0</v>
      </c>
      <c r="AT188">
        <v>85</v>
      </c>
      <c r="AU188">
        <v>41</v>
      </c>
      <c r="AV188">
        <v>1</v>
      </c>
      <c r="AW188">
        <v>1</v>
      </c>
      <c r="AZ188">
        <v>1</v>
      </c>
      <c r="BA188">
        <v>20.399999999999999</v>
      </c>
      <c r="BB188">
        <v>9.0500000000000007</v>
      </c>
      <c r="BC188">
        <v>6.08</v>
      </c>
      <c r="BD188" t="s">
        <v>3</v>
      </c>
      <c r="BE188" t="s">
        <v>3</v>
      </c>
      <c r="BF188" t="s">
        <v>3</v>
      </c>
      <c r="BG188" t="s">
        <v>3</v>
      </c>
      <c r="BH188">
        <v>0</v>
      </c>
      <c r="BI188">
        <v>1</v>
      </c>
      <c r="BJ188" t="s">
        <v>220</v>
      </c>
      <c r="BM188">
        <v>91</v>
      </c>
      <c r="BN188">
        <v>7156650</v>
      </c>
      <c r="BO188" t="s">
        <v>218</v>
      </c>
      <c r="BP188">
        <v>1</v>
      </c>
      <c r="BQ188">
        <v>30</v>
      </c>
      <c r="BR188">
        <v>0</v>
      </c>
      <c r="BS188">
        <v>20.399999999999999</v>
      </c>
      <c r="BT188">
        <v>1</v>
      </c>
      <c r="BU188">
        <v>1</v>
      </c>
      <c r="BV188">
        <v>1</v>
      </c>
      <c r="BW188">
        <v>1</v>
      </c>
      <c r="BX188">
        <v>1</v>
      </c>
      <c r="BY188" t="s">
        <v>3</v>
      </c>
      <c r="BZ188">
        <v>85</v>
      </c>
      <c r="CA188">
        <v>41</v>
      </c>
      <c r="CF188">
        <v>0</v>
      </c>
      <c r="CG188">
        <v>0</v>
      </c>
      <c r="CM188">
        <v>0</v>
      </c>
      <c r="CN188" t="s">
        <v>3</v>
      </c>
      <c r="CO188">
        <v>0</v>
      </c>
      <c r="CP188">
        <f t="shared" si="165"/>
        <v>1392.96</v>
      </c>
      <c r="CQ188">
        <f t="shared" si="166"/>
        <v>6178.9823999999999</v>
      </c>
      <c r="CR188">
        <f t="shared" si="167"/>
        <v>2586.2637500000001</v>
      </c>
      <c r="CS188">
        <f t="shared" si="168"/>
        <v>1414.7399999999998</v>
      </c>
      <c r="CT188">
        <f t="shared" si="169"/>
        <v>18547.710599999999</v>
      </c>
      <c r="CU188">
        <f t="shared" si="170"/>
        <v>0</v>
      </c>
      <c r="CV188">
        <f t="shared" si="171"/>
        <v>83.489999999999981</v>
      </c>
      <c r="CW188">
        <f t="shared" si="172"/>
        <v>0</v>
      </c>
      <c r="CX188">
        <f t="shared" si="173"/>
        <v>0</v>
      </c>
      <c r="CY188">
        <f t="shared" si="174"/>
        <v>804.04049999999995</v>
      </c>
      <c r="CZ188">
        <f t="shared" si="175"/>
        <v>387.83129999999994</v>
      </c>
      <c r="DC188" t="s">
        <v>3</v>
      </c>
      <c r="DD188" t="s">
        <v>3</v>
      </c>
      <c r="DE188" t="s">
        <v>36</v>
      </c>
      <c r="DF188" t="s">
        <v>36</v>
      </c>
      <c r="DG188" t="s">
        <v>37</v>
      </c>
      <c r="DH188" t="s">
        <v>3</v>
      </c>
      <c r="DI188" t="s">
        <v>37</v>
      </c>
      <c r="DJ188" t="s">
        <v>36</v>
      </c>
      <c r="DK188" t="s">
        <v>3</v>
      </c>
      <c r="DL188" t="s">
        <v>3</v>
      </c>
      <c r="DM188" t="s">
        <v>3</v>
      </c>
      <c r="DN188">
        <v>104</v>
      </c>
      <c r="DO188">
        <v>70</v>
      </c>
      <c r="DP188">
        <v>1.0469999999999999</v>
      </c>
      <c r="DQ188">
        <v>1</v>
      </c>
      <c r="DU188">
        <v>1013</v>
      </c>
      <c r="DV188" t="s">
        <v>54</v>
      </c>
      <c r="DW188" t="s">
        <v>54</v>
      </c>
      <c r="DX188">
        <v>1</v>
      </c>
      <c r="EE188">
        <v>44846598</v>
      </c>
      <c r="EF188">
        <v>30</v>
      </c>
      <c r="EG188" t="s">
        <v>38</v>
      </c>
      <c r="EH188">
        <v>0</v>
      </c>
      <c r="EI188" t="s">
        <v>3</v>
      </c>
      <c r="EJ188">
        <v>1</v>
      </c>
      <c r="EK188">
        <v>91</v>
      </c>
      <c r="EL188" t="s">
        <v>221</v>
      </c>
      <c r="EM188" t="s">
        <v>222</v>
      </c>
      <c r="EO188" t="s">
        <v>3</v>
      </c>
      <c r="EQ188">
        <v>131072</v>
      </c>
      <c r="ER188">
        <v>2035.51</v>
      </c>
      <c r="ES188">
        <v>1016.28</v>
      </c>
      <c r="ET188">
        <v>228.62</v>
      </c>
      <c r="EU188">
        <v>55.48</v>
      </c>
      <c r="EV188">
        <v>790.61</v>
      </c>
      <c r="EW188">
        <v>72.599999999999994</v>
      </c>
      <c r="EX188">
        <v>0</v>
      </c>
      <c r="EY188">
        <v>0</v>
      </c>
      <c r="FQ188">
        <v>0</v>
      </c>
      <c r="FR188">
        <f t="shared" si="176"/>
        <v>0</v>
      </c>
      <c r="FS188">
        <v>0</v>
      </c>
      <c r="FX188">
        <v>104</v>
      </c>
      <c r="FY188">
        <v>70</v>
      </c>
      <c r="GA188" t="s">
        <v>3</v>
      </c>
      <c r="GD188">
        <v>0</v>
      </c>
      <c r="GF188">
        <v>300004536</v>
      </c>
      <c r="GG188">
        <v>2</v>
      </c>
      <c r="GH188">
        <v>1</v>
      </c>
      <c r="GI188">
        <v>3</v>
      </c>
      <c r="GJ188">
        <v>0</v>
      </c>
      <c r="GK188">
        <f>ROUND(R188*(S12)/100,2)</f>
        <v>121.21</v>
      </c>
      <c r="GL188">
        <f t="shared" si="177"/>
        <v>0</v>
      </c>
      <c r="GM188">
        <f t="shared" si="178"/>
        <v>2706.04</v>
      </c>
      <c r="GN188">
        <f t="shared" si="179"/>
        <v>2706.04</v>
      </c>
      <c r="GO188">
        <f t="shared" si="180"/>
        <v>0</v>
      </c>
      <c r="GP188">
        <f t="shared" si="181"/>
        <v>0</v>
      </c>
      <c r="GR188">
        <v>0</v>
      </c>
      <c r="GS188">
        <v>3</v>
      </c>
      <c r="GT188">
        <v>0</v>
      </c>
      <c r="GU188" t="s">
        <v>3</v>
      </c>
      <c r="GV188">
        <f t="shared" si="182"/>
        <v>0</v>
      </c>
      <c r="GW188">
        <v>1</v>
      </c>
      <c r="GX188">
        <f t="shared" si="183"/>
        <v>0</v>
      </c>
      <c r="HA188">
        <v>0</v>
      </c>
      <c r="HB188">
        <v>0</v>
      </c>
      <c r="IK188">
        <v>0</v>
      </c>
    </row>
    <row r="189" spans="1:255" x14ac:dyDescent="0.2">
      <c r="A189" s="2">
        <v>18</v>
      </c>
      <c r="B189" s="2">
        <v>1</v>
      </c>
      <c r="C189" s="2">
        <v>122</v>
      </c>
      <c r="D189" s="2"/>
      <c r="E189" s="2" t="s">
        <v>223</v>
      </c>
      <c r="F189" s="2" t="s">
        <v>224</v>
      </c>
      <c r="G189" s="2" t="s">
        <v>225</v>
      </c>
      <c r="H189" s="2" t="s">
        <v>101</v>
      </c>
      <c r="I189" s="2">
        <f>I187*J189</f>
        <v>5.202</v>
      </c>
      <c r="J189" s="2">
        <v>102</v>
      </c>
      <c r="K189" s="2"/>
      <c r="L189" s="2"/>
      <c r="M189" s="2"/>
      <c r="N189" s="2"/>
      <c r="O189" s="2">
        <f t="shared" si="150"/>
        <v>613.52</v>
      </c>
      <c r="P189" s="2">
        <f t="shared" si="151"/>
        <v>613.52</v>
      </c>
      <c r="Q189" s="2">
        <f t="shared" si="152"/>
        <v>0</v>
      </c>
      <c r="R189" s="2">
        <f t="shared" si="153"/>
        <v>0</v>
      </c>
      <c r="S189" s="2">
        <f t="shared" si="154"/>
        <v>0</v>
      </c>
      <c r="T189" s="2">
        <f t="shared" si="155"/>
        <v>0</v>
      </c>
      <c r="U189" s="2">
        <f t="shared" si="156"/>
        <v>0</v>
      </c>
      <c r="V189" s="2">
        <f t="shared" si="157"/>
        <v>0</v>
      </c>
      <c r="W189" s="2">
        <f t="shared" si="158"/>
        <v>0</v>
      </c>
      <c r="X189" s="2">
        <f t="shared" si="159"/>
        <v>0</v>
      </c>
      <c r="Y189" s="2">
        <f t="shared" si="160"/>
        <v>0</v>
      </c>
      <c r="Z189" s="2"/>
      <c r="AA189" s="2">
        <v>45037306</v>
      </c>
      <c r="AB189" s="2">
        <f t="shared" si="161"/>
        <v>117.94</v>
      </c>
      <c r="AC189" s="2">
        <f t="shared" si="162"/>
        <v>117.94</v>
      </c>
      <c r="AD189" s="2">
        <f t="shared" ref="AD189:AF190" si="185">ROUND((ET189),6)</f>
        <v>0</v>
      </c>
      <c r="AE189" s="2">
        <f t="shared" si="185"/>
        <v>0</v>
      </c>
      <c r="AF189" s="2">
        <f t="shared" si="185"/>
        <v>0</v>
      </c>
      <c r="AG189" s="2">
        <f t="shared" si="163"/>
        <v>0</v>
      </c>
      <c r="AH189" s="2">
        <f>(EW189)</f>
        <v>0</v>
      </c>
      <c r="AI189" s="2">
        <f>(EX189)</f>
        <v>0</v>
      </c>
      <c r="AJ189" s="2">
        <f t="shared" si="164"/>
        <v>0</v>
      </c>
      <c r="AK189" s="2">
        <v>117.94</v>
      </c>
      <c r="AL189" s="2">
        <v>117.94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1</v>
      </c>
      <c r="AW189" s="2">
        <v>1</v>
      </c>
      <c r="AX189" s="2"/>
      <c r="AY189" s="2"/>
      <c r="AZ189" s="2">
        <v>1</v>
      </c>
      <c r="BA189" s="2">
        <v>1</v>
      </c>
      <c r="BB189" s="2">
        <v>1</v>
      </c>
      <c r="BC189" s="2">
        <v>1</v>
      </c>
      <c r="BD189" s="2" t="s">
        <v>3</v>
      </c>
      <c r="BE189" s="2" t="s">
        <v>3</v>
      </c>
      <c r="BF189" s="2" t="s">
        <v>3</v>
      </c>
      <c r="BG189" s="2" t="s">
        <v>3</v>
      </c>
      <c r="BH189" s="2">
        <v>3</v>
      </c>
      <c r="BI189" s="2">
        <v>1</v>
      </c>
      <c r="BJ189" s="2" t="s">
        <v>226</v>
      </c>
      <c r="BK189" s="2"/>
      <c r="BL189" s="2"/>
      <c r="BM189" s="2">
        <v>91</v>
      </c>
      <c r="BN189" s="2">
        <v>7156650</v>
      </c>
      <c r="BO189" s="2" t="s">
        <v>3</v>
      </c>
      <c r="BP189" s="2">
        <v>0</v>
      </c>
      <c r="BQ189" s="2">
        <v>30</v>
      </c>
      <c r="BR189" s="2">
        <v>0</v>
      </c>
      <c r="BS189" s="2">
        <v>1</v>
      </c>
      <c r="BT189" s="2">
        <v>1</v>
      </c>
      <c r="BU189" s="2">
        <v>1</v>
      </c>
      <c r="BV189" s="2">
        <v>1</v>
      </c>
      <c r="BW189" s="2">
        <v>1</v>
      </c>
      <c r="BX189" s="2">
        <v>1</v>
      </c>
      <c r="BY189" s="2" t="s">
        <v>3</v>
      </c>
      <c r="BZ189" s="2">
        <v>0</v>
      </c>
      <c r="CA189" s="2">
        <v>0</v>
      </c>
      <c r="CB189" s="2"/>
      <c r="CC189" s="2"/>
      <c r="CD189" s="2"/>
      <c r="CE189" s="2"/>
      <c r="CF189" s="2">
        <v>0</v>
      </c>
      <c r="CG189" s="2">
        <v>0</v>
      </c>
      <c r="CH189" s="2"/>
      <c r="CI189" s="2"/>
      <c r="CJ189" s="2"/>
      <c r="CK189" s="2"/>
      <c r="CL189" s="2"/>
      <c r="CM189" s="2">
        <v>0</v>
      </c>
      <c r="CN189" s="2" t="s">
        <v>3</v>
      </c>
      <c r="CO189" s="2">
        <v>0</v>
      </c>
      <c r="CP189" s="2">
        <f t="shared" si="165"/>
        <v>613.52</v>
      </c>
      <c r="CQ189" s="2">
        <f t="shared" si="166"/>
        <v>117.94</v>
      </c>
      <c r="CR189" s="2">
        <f t="shared" si="167"/>
        <v>0</v>
      </c>
      <c r="CS189" s="2">
        <f t="shared" si="168"/>
        <v>0</v>
      </c>
      <c r="CT189" s="2">
        <f t="shared" si="169"/>
        <v>0</v>
      </c>
      <c r="CU189" s="2">
        <f t="shared" si="170"/>
        <v>0</v>
      </c>
      <c r="CV189" s="2">
        <f t="shared" si="171"/>
        <v>0</v>
      </c>
      <c r="CW189" s="2">
        <f t="shared" si="172"/>
        <v>0</v>
      </c>
      <c r="CX189" s="2">
        <f t="shared" si="173"/>
        <v>0</v>
      </c>
      <c r="CY189" s="2">
        <f t="shared" si="174"/>
        <v>0</v>
      </c>
      <c r="CZ189" s="2">
        <f t="shared" si="175"/>
        <v>0</v>
      </c>
      <c r="DA189" s="2"/>
      <c r="DB189" s="2"/>
      <c r="DC189" s="2" t="s">
        <v>3</v>
      </c>
      <c r="DD189" s="2" t="s">
        <v>3</v>
      </c>
      <c r="DE189" s="2" t="s">
        <v>3</v>
      </c>
      <c r="DF189" s="2" t="s">
        <v>3</v>
      </c>
      <c r="DG189" s="2" t="s">
        <v>3</v>
      </c>
      <c r="DH189" s="2" t="s">
        <v>3</v>
      </c>
      <c r="DI189" s="2" t="s">
        <v>3</v>
      </c>
      <c r="DJ189" s="2" t="s">
        <v>3</v>
      </c>
      <c r="DK189" s="2" t="s">
        <v>3</v>
      </c>
      <c r="DL189" s="2" t="s">
        <v>3</v>
      </c>
      <c r="DM189" s="2" t="s">
        <v>3</v>
      </c>
      <c r="DN189" s="2">
        <v>104</v>
      </c>
      <c r="DO189" s="2">
        <v>70</v>
      </c>
      <c r="DP189" s="2">
        <v>1.0469999999999999</v>
      </c>
      <c r="DQ189" s="2">
        <v>1</v>
      </c>
      <c r="DR189" s="2"/>
      <c r="DS189" s="2"/>
      <c r="DT189" s="2"/>
      <c r="DU189" s="2">
        <v>1005</v>
      </c>
      <c r="DV189" s="2" t="s">
        <v>101</v>
      </c>
      <c r="DW189" s="2" t="s">
        <v>101</v>
      </c>
      <c r="DX189" s="2">
        <v>1</v>
      </c>
      <c r="DY189" s="2"/>
      <c r="DZ189" s="2"/>
      <c r="EA189" s="2"/>
      <c r="EB189" s="2"/>
      <c r="EC189" s="2"/>
      <c r="ED189" s="2"/>
      <c r="EE189" s="2">
        <v>44846598</v>
      </c>
      <c r="EF189" s="2">
        <v>30</v>
      </c>
      <c r="EG189" s="2" t="s">
        <v>38</v>
      </c>
      <c r="EH189" s="2">
        <v>0</v>
      </c>
      <c r="EI189" s="2" t="s">
        <v>3</v>
      </c>
      <c r="EJ189" s="2">
        <v>1</v>
      </c>
      <c r="EK189" s="2">
        <v>91</v>
      </c>
      <c r="EL189" s="2" t="s">
        <v>221</v>
      </c>
      <c r="EM189" s="2" t="s">
        <v>222</v>
      </c>
      <c r="EN189" s="2"/>
      <c r="EO189" s="2" t="s">
        <v>3</v>
      </c>
      <c r="EP189" s="2"/>
      <c r="EQ189" s="2">
        <v>0</v>
      </c>
      <c r="ER189" s="2">
        <v>117.94</v>
      </c>
      <c r="ES189" s="2">
        <v>117.94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/>
      <c r="EZ189" s="2"/>
      <c r="FA189" s="2"/>
      <c r="FB189" s="2"/>
      <c r="FC189" s="2"/>
      <c r="FD189" s="2"/>
      <c r="FE189" s="2"/>
      <c r="FF189" s="2"/>
      <c r="FG189" s="2"/>
      <c r="FH189" s="2"/>
      <c r="FI189" s="2"/>
      <c r="FJ189" s="2"/>
      <c r="FK189" s="2"/>
      <c r="FL189" s="2"/>
      <c r="FM189" s="2"/>
      <c r="FN189" s="2"/>
      <c r="FO189" s="2"/>
      <c r="FP189" s="2"/>
      <c r="FQ189" s="2">
        <v>0</v>
      </c>
      <c r="FR189" s="2">
        <f t="shared" si="176"/>
        <v>0</v>
      </c>
      <c r="FS189" s="2">
        <v>0</v>
      </c>
      <c r="FT189" s="2"/>
      <c r="FU189" s="2"/>
      <c r="FV189" s="2"/>
      <c r="FW189" s="2"/>
      <c r="FX189" s="2">
        <v>104</v>
      </c>
      <c r="FY189" s="2">
        <v>70</v>
      </c>
      <c r="FZ189" s="2"/>
      <c r="GA189" s="2" t="s">
        <v>3</v>
      </c>
      <c r="GB189" s="2"/>
      <c r="GC189" s="2"/>
      <c r="GD189" s="2">
        <v>0</v>
      </c>
      <c r="GE189" s="2"/>
      <c r="GF189" s="2">
        <v>1313026270</v>
      </c>
      <c r="GG189" s="2">
        <v>2</v>
      </c>
      <c r="GH189" s="2">
        <v>1</v>
      </c>
      <c r="GI189" s="2">
        <v>3</v>
      </c>
      <c r="GJ189" s="2">
        <v>0</v>
      </c>
      <c r="GK189" s="2">
        <f>ROUND(R189*(R12)/100,2)</f>
        <v>0</v>
      </c>
      <c r="GL189" s="2">
        <f t="shared" si="177"/>
        <v>0</v>
      </c>
      <c r="GM189" s="2">
        <f t="shared" si="178"/>
        <v>613.52</v>
      </c>
      <c r="GN189" s="2">
        <f t="shared" si="179"/>
        <v>613.52</v>
      </c>
      <c r="GO189" s="2">
        <f t="shared" si="180"/>
        <v>0</v>
      </c>
      <c r="GP189" s="2">
        <f t="shared" si="181"/>
        <v>0</v>
      </c>
      <c r="GQ189" s="2"/>
      <c r="GR189" s="2">
        <v>0</v>
      </c>
      <c r="GS189" s="2">
        <v>3</v>
      </c>
      <c r="GT189" s="2">
        <v>0</v>
      </c>
      <c r="GU189" s="2" t="s">
        <v>3</v>
      </c>
      <c r="GV189" s="2">
        <f t="shared" si="182"/>
        <v>0</v>
      </c>
      <c r="GW189" s="2">
        <v>1</v>
      </c>
      <c r="GX189" s="2">
        <f t="shared" si="183"/>
        <v>0</v>
      </c>
      <c r="GY189" s="2"/>
      <c r="GZ189" s="2"/>
      <c r="HA189" s="2">
        <v>0</v>
      </c>
      <c r="HB189" s="2">
        <v>0</v>
      </c>
      <c r="HC189" s="2"/>
      <c r="HD189" s="2"/>
      <c r="HE189" s="2"/>
      <c r="HF189" s="2"/>
      <c r="HG189" s="2"/>
      <c r="HH189" s="2"/>
      <c r="HI189" s="2"/>
      <c r="HJ189" s="2"/>
      <c r="HK189" s="2"/>
      <c r="HL189" s="2"/>
      <c r="HM189" s="2"/>
      <c r="HN189" s="2"/>
      <c r="HO189" s="2"/>
      <c r="HP189" s="2"/>
      <c r="HQ189" s="2"/>
      <c r="HR189" s="2"/>
      <c r="HS189" s="2"/>
      <c r="HT189" s="2"/>
      <c r="HU189" s="2"/>
      <c r="HV189" s="2"/>
      <c r="HW189" s="2"/>
      <c r="HX189" s="2"/>
      <c r="HY189" s="2"/>
      <c r="HZ189" s="2"/>
      <c r="IA189" s="2"/>
      <c r="IB189" s="2"/>
      <c r="IC189" s="2"/>
      <c r="ID189" s="2"/>
      <c r="IE189" s="2"/>
      <c r="IF189" s="2"/>
      <c r="IG189" s="2"/>
      <c r="IH189" s="2"/>
      <c r="II189" s="2"/>
      <c r="IJ189" s="2"/>
      <c r="IK189" s="2">
        <v>0</v>
      </c>
      <c r="IL189" s="2"/>
      <c r="IM189" s="2"/>
      <c r="IN189" s="2"/>
      <c r="IO189" s="2"/>
      <c r="IP189" s="2"/>
      <c r="IQ189" s="2"/>
      <c r="IR189" s="2"/>
      <c r="IS189" s="2"/>
      <c r="IT189" s="2"/>
      <c r="IU189" s="2"/>
    </row>
    <row r="190" spans="1:255" x14ac:dyDescent="0.2">
      <c r="A190">
        <v>18</v>
      </c>
      <c r="B190">
        <v>1</v>
      </c>
      <c r="C190">
        <v>127</v>
      </c>
      <c r="E190" t="s">
        <v>223</v>
      </c>
      <c r="F190" t="s">
        <v>224</v>
      </c>
      <c r="G190" t="s">
        <v>225</v>
      </c>
      <c r="H190" t="s">
        <v>101</v>
      </c>
      <c r="I190">
        <f>I188*J190</f>
        <v>5.202</v>
      </c>
      <c r="J190">
        <v>102</v>
      </c>
      <c r="O190">
        <f t="shared" si="150"/>
        <v>2392.7399999999998</v>
      </c>
      <c r="P190">
        <f t="shared" si="151"/>
        <v>2392.7399999999998</v>
      </c>
      <c r="Q190">
        <f t="shared" si="152"/>
        <v>0</v>
      </c>
      <c r="R190">
        <f t="shared" si="153"/>
        <v>0</v>
      </c>
      <c r="S190">
        <f t="shared" si="154"/>
        <v>0</v>
      </c>
      <c r="T190">
        <f t="shared" si="155"/>
        <v>0</v>
      </c>
      <c r="U190">
        <f t="shared" si="156"/>
        <v>0</v>
      </c>
      <c r="V190">
        <f t="shared" si="157"/>
        <v>0</v>
      </c>
      <c r="W190">
        <f t="shared" si="158"/>
        <v>0</v>
      </c>
      <c r="X190">
        <f t="shared" si="159"/>
        <v>0</v>
      </c>
      <c r="Y190">
        <f t="shared" si="160"/>
        <v>0</v>
      </c>
      <c r="AA190">
        <v>45037307</v>
      </c>
      <c r="AB190">
        <f t="shared" si="161"/>
        <v>117.94</v>
      </c>
      <c r="AC190">
        <f t="shared" si="162"/>
        <v>117.94</v>
      </c>
      <c r="AD190">
        <f t="shared" si="185"/>
        <v>0</v>
      </c>
      <c r="AE190">
        <f t="shared" si="185"/>
        <v>0</v>
      </c>
      <c r="AF190">
        <f t="shared" si="185"/>
        <v>0</v>
      </c>
      <c r="AG190">
        <f t="shared" si="163"/>
        <v>0</v>
      </c>
      <c r="AH190">
        <f>(EW190)</f>
        <v>0</v>
      </c>
      <c r="AI190">
        <f>(EX190)</f>
        <v>0</v>
      </c>
      <c r="AJ190">
        <f t="shared" si="164"/>
        <v>0</v>
      </c>
      <c r="AK190">
        <v>117.94</v>
      </c>
      <c r="AL190">
        <v>117.94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1</v>
      </c>
      <c r="AW190">
        <v>1</v>
      </c>
      <c r="AZ190">
        <v>1</v>
      </c>
      <c r="BA190">
        <v>1</v>
      </c>
      <c r="BB190">
        <v>1</v>
      </c>
      <c r="BC190">
        <v>3.9</v>
      </c>
      <c r="BD190" t="s">
        <v>3</v>
      </c>
      <c r="BE190" t="s">
        <v>3</v>
      </c>
      <c r="BF190" t="s">
        <v>3</v>
      </c>
      <c r="BG190" t="s">
        <v>3</v>
      </c>
      <c r="BH190">
        <v>3</v>
      </c>
      <c r="BI190">
        <v>1</v>
      </c>
      <c r="BJ190" t="s">
        <v>226</v>
      </c>
      <c r="BM190">
        <v>91</v>
      </c>
      <c r="BN190">
        <v>7156650</v>
      </c>
      <c r="BO190" t="s">
        <v>224</v>
      </c>
      <c r="BP190">
        <v>1</v>
      </c>
      <c r="BQ190">
        <v>30</v>
      </c>
      <c r="BR190">
        <v>0</v>
      </c>
      <c r="BS190">
        <v>1</v>
      </c>
      <c r="BT190">
        <v>1</v>
      </c>
      <c r="BU190">
        <v>1</v>
      </c>
      <c r="BV190">
        <v>1</v>
      </c>
      <c r="BW190">
        <v>1</v>
      </c>
      <c r="BX190">
        <v>1</v>
      </c>
      <c r="BY190" t="s">
        <v>3</v>
      </c>
      <c r="BZ190">
        <v>0</v>
      </c>
      <c r="CA190">
        <v>0</v>
      </c>
      <c r="CF190">
        <v>0</v>
      </c>
      <c r="CG190">
        <v>0</v>
      </c>
      <c r="CM190">
        <v>0</v>
      </c>
      <c r="CN190" t="s">
        <v>3</v>
      </c>
      <c r="CO190">
        <v>0</v>
      </c>
      <c r="CP190">
        <f t="shared" si="165"/>
        <v>2392.7399999999998</v>
      </c>
      <c r="CQ190">
        <f t="shared" si="166"/>
        <v>459.96600000000001</v>
      </c>
      <c r="CR190">
        <f t="shared" si="167"/>
        <v>0</v>
      </c>
      <c r="CS190">
        <f t="shared" si="168"/>
        <v>0</v>
      </c>
      <c r="CT190">
        <f t="shared" si="169"/>
        <v>0</v>
      </c>
      <c r="CU190">
        <f t="shared" si="170"/>
        <v>0</v>
      </c>
      <c r="CV190">
        <f t="shared" si="171"/>
        <v>0</v>
      </c>
      <c r="CW190">
        <f t="shared" si="172"/>
        <v>0</v>
      </c>
      <c r="CX190">
        <f t="shared" si="173"/>
        <v>0</v>
      </c>
      <c r="CY190">
        <f t="shared" si="174"/>
        <v>0</v>
      </c>
      <c r="CZ190">
        <f t="shared" si="175"/>
        <v>0</v>
      </c>
      <c r="DC190" t="s">
        <v>3</v>
      </c>
      <c r="DD190" t="s">
        <v>3</v>
      </c>
      <c r="DE190" t="s">
        <v>3</v>
      </c>
      <c r="DF190" t="s">
        <v>3</v>
      </c>
      <c r="DG190" t="s">
        <v>3</v>
      </c>
      <c r="DH190" t="s">
        <v>3</v>
      </c>
      <c r="DI190" t="s">
        <v>3</v>
      </c>
      <c r="DJ190" t="s">
        <v>3</v>
      </c>
      <c r="DK190" t="s">
        <v>3</v>
      </c>
      <c r="DL190" t="s">
        <v>3</v>
      </c>
      <c r="DM190" t="s">
        <v>3</v>
      </c>
      <c r="DN190">
        <v>104</v>
      </c>
      <c r="DO190">
        <v>70</v>
      </c>
      <c r="DP190">
        <v>1.0469999999999999</v>
      </c>
      <c r="DQ190">
        <v>1</v>
      </c>
      <c r="DU190">
        <v>1005</v>
      </c>
      <c r="DV190" t="s">
        <v>101</v>
      </c>
      <c r="DW190" t="s">
        <v>101</v>
      </c>
      <c r="DX190">
        <v>1</v>
      </c>
      <c r="EE190">
        <v>44846598</v>
      </c>
      <c r="EF190">
        <v>30</v>
      </c>
      <c r="EG190" t="s">
        <v>38</v>
      </c>
      <c r="EH190">
        <v>0</v>
      </c>
      <c r="EI190" t="s">
        <v>3</v>
      </c>
      <c r="EJ190">
        <v>1</v>
      </c>
      <c r="EK190">
        <v>91</v>
      </c>
      <c r="EL190" t="s">
        <v>221</v>
      </c>
      <c r="EM190" t="s">
        <v>222</v>
      </c>
      <c r="EO190" t="s">
        <v>3</v>
      </c>
      <c r="EQ190">
        <v>0</v>
      </c>
      <c r="ER190">
        <v>117.94</v>
      </c>
      <c r="ES190">
        <v>117.94</v>
      </c>
      <c r="ET190">
        <v>0</v>
      </c>
      <c r="EU190">
        <v>0</v>
      </c>
      <c r="EV190">
        <v>0</v>
      </c>
      <c r="EW190">
        <v>0</v>
      </c>
      <c r="EX190">
        <v>0</v>
      </c>
      <c r="FQ190">
        <v>0</v>
      </c>
      <c r="FR190">
        <f t="shared" si="176"/>
        <v>0</v>
      </c>
      <c r="FS190">
        <v>0</v>
      </c>
      <c r="FX190">
        <v>104</v>
      </c>
      <c r="FY190">
        <v>70</v>
      </c>
      <c r="GA190" t="s">
        <v>3</v>
      </c>
      <c r="GD190">
        <v>0</v>
      </c>
      <c r="GF190">
        <v>1313026270</v>
      </c>
      <c r="GG190">
        <v>2</v>
      </c>
      <c r="GH190">
        <v>1</v>
      </c>
      <c r="GI190">
        <v>3</v>
      </c>
      <c r="GJ190">
        <v>0</v>
      </c>
      <c r="GK190">
        <f>ROUND(R190*(S12)/100,2)</f>
        <v>0</v>
      </c>
      <c r="GL190">
        <f t="shared" si="177"/>
        <v>0</v>
      </c>
      <c r="GM190">
        <f t="shared" si="178"/>
        <v>2392.7399999999998</v>
      </c>
      <c r="GN190">
        <f t="shared" si="179"/>
        <v>2392.7399999999998</v>
      </c>
      <c r="GO190">
        <f t="shared" si="180"/>
        <v>0</v>
      </c>
      <c r="GP190">
        <f t="shared" si="181"/>
        <v>0</v>
      </c>
      <c r="GR190">
        <v>0</v>
      </c>
      <c r="GS190">
        <v>3</v>
      </c>
      <c r="GT190">
        <v>0</v>
      </c>
      <c r="GU190" t="s">
        <v>3</v>
      </c>
      <c r="GV190">
        <f t="shared" si="182"/>
        <v>0</v>
      </c>
      <c r="GW190">
        <v>1</v>
      </c>
      <c r="GX190">
        <f t="shared" si="183"/>
        <v>0</v>
      </c>
      <c r="HA190">
        <v>0</v>
      </c>
      <c r="HB190">
        <v>0</v>
      </c>
      <c r="IK190">
        <v>0</v>
      </c>
    </row>
    <row r="191" spans="1:255" x14ac:dyDescent="0.2">
      <c r="A191" s="2">
        <v>17</v>
      </c>
      <c r="B191" s="2">
        <v>1</v>
      </c>
      <c r="C191" s="2">
        <f>ROW(SmtRes!A137)</f>
        <v>137</v>
      </c>
      <c r="D191" s="2">
        <f>ROW(EtalonRes!A137)</f>
        <v>137</v>
      </c>
      <c r="E191" s="2" t="s">
        <v>227</v>
      </c>
      <c r="F191" s="2" t="s">
        <v>228</v>
      </c>
      <c r="G191" s="2" t="s">
        <v>229</v>
      </c>
      <c r="H191" s="2" t="s">
        <v>230</v>
      </c>
      <c r="I191" s="2">
        <f>ROUND(1.8/100,9)</f>
        <v>1.7999999999999999E-2</v>
      </c>
      <c r="J191" s="2">
        <v>0</v>
      </c>
      <c r="K191" s="2"/>
      <c r="L191" s="2"/>
      <c r="M191" s="2"/>
      <c r="N191" s="2"/>
      <c r="O191" s="2">
        <f t="shared" si="150"/>
        <v>35.270000000000003</v>
      </c>
      <c r="P191" s="2">
        <f t="shared" si="151"/>
        <v>12.6</v>
      </c>
      <c r="Q191" s="2">
        <f t="shared" si="152"/>
        <v>2.2400000000000002</v>
      </c>
      <c r="R191" s="2">
        <f t="shared" si="153"/>
        <v>0.28000000000000003</v>
      </c>
      <c r="S191" s="2">
        <f t="shared" si="154"/>
        <v>20.43</v>
      </c>
      <c r="T191" s="2">
        <f t="shared" si="155"/>
        <v>0</v>
      </c>
      <c r="U191" s="2">
        <f t="shared" si="156"/>
        <v>1.7404559999999998</v>
      </c>
      <c r="V191" s="2">
        <f t="shared" si="157"/>
        <v>0</v>
      </c>
      <c r="W191" s="2">
        <f t="shared" si="158"/>
        <v>0</v>
      </c>
      <c r="X191" s="2">
        <f t="shared" si="159"/>
        <v>0</v>
      </c>
      <c r="Y191" s="2">
        <f t="shared" si="160"/>
        <v>0</v>
      </c>
      <c r="Z191" s="2"/>
      <c r="AA191" s="2">
        <v>45037306</v>
      </c>
      <c r="AB191" s="2">
        <f t="shared" si="161"/>
        <v>1959.5195000000001</v>
      </c>
      <c r="AC191" s="2">
        <f t="shared" si="162"/>
        <v>699.78</v>
      </c>
      <c r="AD191" s="2">
        <f>ROUND(((ET191*1.25)),6)</f>
        <v>124.71250000000001</v>
      </c>
      <c r="AE191" s="2">
        <f>ROUND(((EU191*1.25)),6)</f>
        <v>15.637499999999999</v>
      </c>
      <c r="AF191" s="2">
        <f>ROUND(((EV191*1.15)),6)</f>
        <v>1135.027</v>
      </c>
      <c r="AG191" s="2">
        <f t="shared" si="163"/>
        <v>0</v>
      </c>
      <c r="AH191" s="2">
        <f>((EW191*1.15))</f>
        <v>96.691999999999993</v>
      </c>
      <c r="AI191" s="2">
        <f>((EX191*1.25))</f>
        <v>0</v>
      </c>
      <c r="AJ191" s="2">
        <f t="shared" si="164"/>
        <v>0</v>
      </c>
      <c r="AK191" s="2">
        <v>1786.53</v>
      </c>
      <c r="AL191" s="2">
        <v>699.78</v>
      </c>
      <c r="AM191" s="2">
        <v>99.77</v>
      </c>
      <c r="AN191" s="2">
        <v>12.51</v>
      </c>
      <c r="AO191" s="2">
        <v>986.98</v>
      </c>
      <c r="AP191" s="2">
        <v>0</v>
      </c>
      <c r="AQ191" s="2">
        <v>84.08</v>
      </c>
      <c r="AR191" s="2">
        <v>0</v>
      </c>
      <c r="AS191" s="2">
        <v>0</v>
      </c>
      <c r="AT191" s="2">
        <v>0</v>
      </c>
      <c r="AU191" s="2">
        <v>0</v>
      </c>
      <c r="AV191" s="2">
        <v>1</v>
      </c>
      <c r="AW191" s="2">
        <v>1</v>
      </c>
      <c r="AX191" s="2"/>
      <c r="AY191" s="2"/>
      <c r="AZ191" s="2">
        <v>1</v>
      </c>
      <c r="BA191" s="2">
        <v>1</v>
      </c>
      <c r="BB191" s="2">
        <v>1</v>
      </c>
      <c r="BC191" s="2">
        <v>1</v>
      </c>
      <c r="BD191" s="2" t="s">
        <v>3</v>
      </c>
      <c r="BE191" s="2" t="s">
        <v>3</v>
      </c>
      <c r="BF191" s="2" t="s">
        <v>3</v>
      </c>
      <c r="BG191" s="2" t="s">
        <v>3</v>
      </c>
      <c r="BH191" s="2">
        <v>0</v>
      </c>
      <c r="BI191" s="2">
        <v>1</v>
      </c>
      <c r="BJ191" s="2" t="s">
        <v>231</v>
      </c>
      <c r="BK191" s="2"/>
      <c r="BL191" s="2"/>
      <c r="BM191" s="2">
        <v>92</v>
      </c>
      <c r="BN191" s="2">
        <v>7156650</v>
      </c>
      <c r="BO191" s="2" t="s">
        <v>3</v>
      </c>
      <c r="BP191" s="2">
        <v>0</v>
      </c>
      <c r="BQ191" s="2">
        <v>30</v>
      </c>
      <c r="BR191" s="2">
        <v>0</v>
      </c>
      <c r="BS191" s="2">
        <v>1</v>
      </c>
      <c r="BT191" s="2">
        <v>1</v>
      </c>
      <c r="BU191" s="2">
        <v>1</v>
      </c>
      <c r="BV191" s="2">
        <v>1</v>
      </c>
      <c r="BW191" s="2">
        <v>1</v>
      </c>
      <c r="BX191" s="2">
        <v>1</v>
      </c>
      <c r="BY191" s="2" t="s">
        <v>3</v>
      </c>
      <c r="BZ191" s="2">
        <v>0</v>
      </c>
      <c r="CA191" s="2">
        <v>0</v>
      </c>
      <c r="CB191" s="2"/>
      <c r="CC191" s="2"/>
      <c r="CD191" s="2"/>
      <c r="CE191" s="2"/>
      <c r="CF191" s="2">
        <v>0</v>
      </c>
      <c r="CG191" s="2">
        <v>0</v>
      </c>
      <c r="CH191" s="2"/>
      <c r="CI191" s="2"/>
      <c r="CJ191" s="2"/>
      <c r="CK191" s="2"/>
      <c r="CL191" s="2"/>
      <c r="CM191" s="2">
        <v>0</v>
      </c>
      <c r="CN191" s="2" t="s">
        <v>3</v>
      </c>
      <c r="CO191" s="2">
        <v>0</v>
      </c>
      <c r="CP191" s="2">
        <f t="shared" si="165"/>
        <v>35.269999999999996</v>
      </c>
      <c r="CQ191" s="2">
        <f t="shared" si="166"/>
        <v>699.78</v>
      </c>
      <c r="CR191" s="2">
        <f t="shared" si="167"/>
        <v>124.71250000000001</v>
      </c>
      <c r="CS191" s="2">
        <f t="shared" si="168"/>
        <v>15.637499999999999</v>
      </c>
      <c r="CT191" s="2">
        <f t="shared" si="169"/>
        <v>1135.027</v>
      </c>
      <c r="CU191" s="2">
        <f t="shared" si="170"/>
        <v>0</v>
      </c>
      <c r="CV191" s="2">
        <f t="shared" si="171"/>
        <v>96.691999999999993</v>
      </c>
      <c r="CW191" s="2">
        <f t="shared" si="172"/>
        <v>0</v>
      </c>
      <c r="CX191" s="2">
        <f t="shared" si="173"/>
        <v>0</v>
      </c>
      <c r="CY191" s="2">
        <f t="shared" si="174"/>
        <v>0</v>
      </c>
      <c r="CZ191" s="2">
        <f t="shared" si="175"/>
        <v>0</v>
      </c>
      <c r="DA191" s="2"/>
      <c r="DB191" s="2"/>
      <c r="DC191" s="2" t="s">
        <v>3</v>
      </c>
      <c r="DD191" s="2" t="s">
        <v>3</v>
      </c>
      <c r="DE191" s="2" t="s">
        <v>36</v>
      </c>
      <c r="DF191" s="2" t="s">
        <v>36</v>
      </c>
      <c r="DG191" s="2" t="s">
        <v>37</v>
      </c>
      <c r="DH191" s="2" t="s">
        <v>3</v>
      </c>
      <c r="DI191" s="2" t="s">
        <v>37</v>
      </c>
      <c r="DJ191" s="2" t="s">
        <v>36</v>
      </c>
      <c r="DK191" s="2" t="s">
        <v>3</v>
      </c>
      <c r="DL191" s="2" t="s">
        <v>3</v>
      </c>
      <c r="DM191" s="2" t="s">
        <v>3</v>
      </c>
      <c r="DN191" s="2">
        <v>104</v>
      </c>
      <c r="DO191" s="2">
        <v>70</v>
      </c>
      <c r="DP191" s="2">
        <v>1.0469999999999999</v>
      </c>
      <c r="DQ191" s="2">
        <v>1</v>
      </c>
      <c r="DR191" s="2"/>
      <c r="DS191" s="2"/>
      <c r="DT191" s="2"/>
      <c r="DU191" s="2">
        <v>1013</v>
      </c>
      <c r="DV191" s="2" t="s">
        <v>230</v>
      </c>
      <c r="DW191" s="2" t="s">
        <v>230</v>
      </c>
      <c r="DX191" s="2">
        <v>1</v>
      </c>
      <c r="DY191" s="2"/>
      <c r="DZ191" s="2"/>
      <c r="EA191" s="2"/>
      <c r="EB191" s="2"/>
      <c r="EC191" s="2"/>
      <c r="ED191" s="2"/>
      <c r="EE191" s="2">
        <v>44846599</v>
      </c>
      <c r="EF191" s="2">
        <v>30</v>
      </c>
      <c r="EG191" s="2" t="s">
        <v>38</v>
      </c>
      <c r="EH191" s="2">
        <v>0</v>
      </c>
      <c r="EI191" s="2" t="s">
        <v>3</v>
      </c>
      <c r="EJ191" s="2">
        <v>1</v>
      </c>
      <c r="EK191" s="2">
        <v>92</v>
      </c>
      <c r="EL191" s="2" t="s">
        <v>232</v>
      </c>
      <c r="EM191" s="2" t="s">
        <v>233</v>
      </c>
      <c r="EN191" s="2"/>
      <c r="EO191" s="2" t="s">
        <v>3</v>
      </c>
      <c r="EP191" s="2"/>
      <c r="EQ191" s="2">
        <v>131072</v>
      </c>
      <c r="ER191" s="2">
        <v>1786.53</v>
      </c>
      <c r="ES191" s="2">
        <v>699.78</v>
      </c>
      <c r="ET191" s="2">
        <v>99.77</v>
      </c>
      <c r="EU191" s="2">
        <v>12.51</v>
      </c>
      <c r="EV191" s="2">
        <v>986.98</v>
      </c>
      <c r="EW191" s="2">
        <v>84.08</v>
      </c>
      <c r="EX191" s="2">
        <v>0</v>
      </c>
      <c r="EY191" s="2">
        <v>0</v>
      </c>
      <c r="EZ191" s="2"/>
      <c r="FA191" s="2"/>
      <c r="FB191" s="2"/>
      <c r="FC191" s="2"/>
      <c r="FD191" s="2"/>
      <c r="FE191" s="2"/>
      <c r="FF191" s="2"/>
      <c r="FG191" s="2"/>
      <c r="FH191" s="2"/>
      <c r="FI191" s="2"/>
      <c r="FJ191" s="2"/>
      <c r="FK191" s="2"/>
      <c r="FL191" s="2"/>
      <c r="FM191" s="2"/>
      <c r="FN191" s="2"/>
      <c r="FO191" s="2"/>
      <c r="FP191" s="2"/>
      <c r="FQ191" s="2">
        <v>0</v>
      </c>
      <c r="FR191" s="2">
        <f t="shared" si="176"/>
        <v>0</v>
      </c>
      <c r="FS191" s="2">
        <v>0</v>
      </c>
      <c r="FT191" s="2"/>
      <c r="FU191" s="2"/>
      <c r="FV191" s="2"/>
      <c r="FW191" s="2"/>
      <c r="FX191" s="2">
        <v>104</v>
      </c>
      <c r="FY191" s="2">
        <v>70</v>
      </c>
      <c r="FZ191" s="2"/>
      <c r="GA191" s="2" t="s">
        <v>3</v>
      </c>
      <c r="GB191" s="2"/>
      <c r="GC191" s="2"/>
      <c r="GD191" s="2">
        <v>0</v>
      </c>
      <c r="GE191" s="2"/>
      <c r="GF191" s="2">
        <v>1813605207</v>
      </c>
      <c r="GG191" s="2">
        <v>2</v>
      </c>
      <c r="GH191" s="2">
        <v>1</v>
      </c>
      <c r="GI191" s="2">
        <v>3</v>
      </c>
      <c r="GJ191" s="2">
        <v>0</v>
      </c>
      <c r="GK191" s="2">
        <f>ROUND(R191*(R12)/100,2)</f>
        <v>0.5</v>
      </c>
      <c r="GL191" s="2">
        <f t="shared" si="177"/>
        <v>0</v>
      </c>
      <c r="GM191" s="2">
        <f t="shared" si="178"/>
        <v>35.770000000000003</v>
      </c>
      <c r="GN191" s="2">
        <f t="shared" si="179"/>
        <v>35.770000000000003</v>
      </c>
      <c r="GO191" s="2">
        <f t="shared" si="180"/>
        <v>0</v>
      </c>
      <c r="GP191" s="2">
        <f t="shared" si="181"/>
        <v>0</v>
      </c>
      <c r="GQ191" s="2"/>
      <c r="GR191" s="2">
        <v>0</v>
      </c>
      <c r="GS191" s="2">
        <v>3</v>
      </c>
      <c r="GT191" s="2">
        <v>0</v>
      </c>
      <c r="GU191" s="2" t="s">
        <v>3</v>
      </c>
      <c r="GV191" s="2">
        <f t="shared" si="182"/>
        <v>0</v>
      </c>
      <c r="GW191" s="2">
        <v>1</v>
      </c>
      <c r="GX191" s="2">
        <f t="shared" si="183"/>
        <v>0</v>
      </c>
      <c r="GY191" s="2"/>
      <c r="GZ191" s="2"/>
      <c r="HA191" s="2">
        <v>0</v>
      </c>
      <c r="HB191" s="2">
        <v>0</v>
      </c>
      <c r="HC191" s="2"/>
      <c r="HD191" s="2"/>
      <c r="HE191" s="2"/>
      <c r="HF191" s="2"/>
      <c r="HG191" s="2"/>
      <c r="HH191" s="2"/>
      <c r="HI191" s="2"/>
      <c r="HJ191" s="2"/>
      <c r="HK191" s="2"/>
      <c r="HL191" s="2"/>
      <c r="HM191" s="2"/>
      <c r="HN191" s="2"/>
      <c r="HO191" s="2"/>
      <c r="HP191" s="2"/>
      <c r="HQ191" s="2"/>
      <c r="HR191" s="2"/>
      <c r="HS191" s="2"/>
      <c r="HT191" s="2"/>
      <c r="HU191" s="2"/>
      <c r="HV191" s="2"/>
      <c r="HW191" s="2"/>
      <c r="HX191" s="2"/>
      <c r="HY191" s="2"/>
      <c r="HZ191" s="2"/>
      <c r="IA191" s="2"/>
      <c r="IB191" s="2"/>
      <c r="IC191" s="2"/>
      <c r="ID191" s="2"/>
      <c r="IE191" s="2"/>
      <c r="IF191" s="2"/>
      <c r="IG191" s="2"/>
      <c r="IH191" s="2"/>
      <c r="II191" s="2"/>
      <c r="IJ191" s="2"/>
      <c r="IK191" s="2">
        <v>0</v>
      </c>
      <c r="IL191" s="2"/>
      <c r="IM191" s="2"/>
      <c r="IN191" s="2"/>
      <c r="IO191" s="2"/>
      <c r="IP191" s="2"/>
      <c r="IQ191" s="2"/>
      <c r="IR191" s="2"/>
      <c r="IS191" s="2"/>
      <c r="IT191" s="2"/>
      <c r="IU191" s="2"/>
    </row>
    <row r="192" spans="1:255" x14ac:dyDescent="0.2">
      <c r="A192">
        <v>17</v>
      </c>
      <c r="B192">
        <v>1</v>
      </c>
      <c r="C192">
        <f>ROW(SmtRes!A146)</f>
        <v>146</v>
      </c>
      <c r="D192">
        <f>ROW(EtalonRes!A146)</f>
        <v>146</v>
      </c>
      <c r="E192" t="s">
        <v>227</v>
      </c>
      <c r="F192" t="s">
        <v>228</v>
      </c>
      <c r="G192" t="s">
        <v>229</v>
      </c>
      <c r="H192" t="s">
        <v>230</v>
      </c>
      <c r="I192">
        <f>ROUND(1.8/100,9)</f>
        <v>1.7999999999999999E-2</v>
      </c>
      <c r="J192">
        <v>0</v>
      </c>
      <c r="O192">
        <f t="shared" si="150"/>
        <v>459.23</v>
      </c>
      <c r="P192">
        <f t="shared" si="151"/>
        <v>19.149999999999999</v>
      </c>
      <c r="Q192">
        <f t="shared" si="152"/>
        <v>23.3</v>
      </c>
      <c r="R192">
        <f t="shared" si="153"/>
        <v>5.74</v>
      </c>
      <c r="S192">
        <f t="shared" si="154"/>
        <v>416.78</v>
      </c>
      <c r="T192">
        <f t="shared" si="155"/>
        <v>0</v>
      </c>
      <c r="U192">
        <f t="shared" si="156"/>
        <v>1.7404559999999998</v>
      </c>
      <c r="V192">
        <f t="shared" si="157"/>
        <v>0</v>
      </c>
      <c r="W192">
        <f t="shared" si="158"/>
        <v>0</v>
      </c>
      <c r="X192">
        <f t="shared" si="159"/>
        <v>354.26</v>
      </c>
      <c r="Y192">
        <f t="shared" si="160"/>
        <v>170.88</v>
      </c>
      <c r="AA192">
        <v>45037307</v>
      </c>
      <c r="AB192">
        <f t="shared" si="161"/>
        <v>1959.5195000000001</v>
      </c>
      <c r="AC192">
        <f t="shared" si="162"/>
        <v>699.78</v>
      </c>
      <c r="AD192">
        <f>ROUND(((ET192*1.25)),6)</f>
        <v>124.71250000000001</v>
      </c>
      <c r="AE192">
        <f>ROUND(((EU192*1.25)),6)</f>
        <v>15.637499999999999</v>
      </c>
      <c r="AF192">
        <f>ROUND(((EV192*1.15)),6)</f>
        <v>1135.027</v>
      </c>
      <c r="AG192">
        <f t="shared" si="163"/>
        <v>0</v>
      </c>
      <c r="AH192">
        <f>((EW192*1.15))</f>
        <v>96.691999999999993</v>
      </c>
      <c r="AI192">
        <f>((EX192*1.25))</f>
        <v>0</v>
      </c>
      <c r="AJ192">
        <f t="shared" si="164"/>
        <v>0</v>
      </c>
      <c r="AK192">
        <v>1786.53</v>
      </c>
      <c r="AL192">
        <v>699.78</v>
      </c>
      <c r="AM192">
        <v>99.77</v>
      </c>
      <c r="AN192">
        <v>12.51</v>
      </c>
      <c r="AO192">
        <v>986.98</v>
      </c>
      <c r="AP192">
        <v>0</v>
      </c>
      <c r="AQ192">
        <v>84.08</v>
      </c>
      <c r="AR192">
        <v>0</v>
      </c>
      <c r="AS192">
        <v>0</v>
      </c>
      <c r="AT192">
        <v>85</v>
      </c>
      <c r="AU192">
        <v>41</v>
      </c>
      <c r="AV192">
        <v>1</v>
      </c>
      <c r="AW192">
        <v>1</v>
      </c>
      <c r="AZ192">
        <v>1</v>
      </c>
      <c r="BA192">
        <v>20.399999999999999</v>
      </c>
      <c r="BB192">
        <v>10.38</v>
      </c>
      <c r="BC192">
        <v>1.52</v>
      </c>
      <c r="BD192" t="s">
        <v>3</v>
      </c>
      <c r="BE192" t="s">
        <v>3</v>
      </c>
      <c r="BF192" t="s">
        <v>3</v>
      </c>
      <c r="BG192" t="s">
        <v>3</v>
      </c>
      <c r="BH192">
        <v>0</v>
      </c>
      <c r="BI192">
        <v>1</v>
      </c>
      <c r="BJ192" t="s">
        <v>231</v>
      </c>
      <c r="BM192">
        <v>92</v>
      </c>
      <c r="BN192">
        <v>7156650</v>
      </c>
      <c r="BO192" t="s">
        <v>228</v>
      </c>
      <c r="BP192">
        <v>1</v>
      </c>
      <c r="BQ192">
        <v>30</v>
      </c>
      <c r="BR192">
        <v>0</v>
      </c>
      <c r="BS192">
        <v>20.399999999999999</v>
      </c>
      <c r="BT192">
        <v>1</v>
      </c>
      <c r="BU192">
        <v>1</v>
      </c>
      <c r="BV192">
        <v>1</v>
      </c>
      <c r="BW192">
        <v>1</v>
      </c>
      <c r="BX192">
        <v>1</v>
      </c>
      <c r="BY192" t="s">
        <v>3</v>
      </c>
      <c r="BZ192">
        <v>85</v>
      </c>
      <c r="CA192">
        <v>41</v>
      </c>
      <c r="CF192">
        <v>0</v>
      </c>
      <c r="CG192">
        <v>0</v>
      </c>
      <c r="CM192">
        <v>0</v>
      </c>
      <c r="CN192" t="s">
        <v>3</v>
      </c>
      <c r="CO192">
        <v>0</v>
      </c>
      <c r="CP192">
        <f t="shared" si="165"/>
        <v>459.22999999999996</v>
      </c>
      <c r="CQ192">
        <f t="shared" si="166"/>
        <v>1063.6656</v>
      </c>
      <c r="CR192">
        <f t="shared" si="167"/>
        <v>1294.5157500000003</v>
      </c>
      <c r="CS192">
        <f t="shared" si="168"/>
        <v>319.00499999999994</v>
      </c>
      <c r="CT192">
        <f t="shared" si="169"/>
        <v>23154.550800000001</v>
      </c>
      <c r="CU192">
        <f t="shared" si="170"/>
        <v>0</v>
      </c>
      <c r="CV192">
        <f t="shared" si="171"/>
        <v>96.691999999999993</v>
      </c>
      <c r="CW192">
        <f t="shared" si="172"/>
        <v>0</v>
      </c>
      <c r="CX192">
        <f t="shared" si="173"/>
        <v>0</v>
      </c>
      <c r="CY192">
        <f t="shared" si="174"/>
        <v>354.26299999999998</v>
      </c>
      <c r="CZ192">
        <f t="shared" si="175"/>
        <v>170.87979999999999</v>
      </c>
      <c r="DC192" t="s">
        <v>3</v>
      </c>
      <c r="DD192" t="s">
        <v>3</v>
      </c>
      <c r="DE192" t="s">
        <v>36</v>
      </c>
      <c r="DF192" t="s">
        <v>36</v>
      </c>
      <c r="DG192" t="s">
        <v>37</v>
      </c>
      <c r="DH192" t="s">
        <v>3</v>
      </c>
      <c r="DI192" t="s">
        <v>37</v>
      </c>
      <c r="DJ192" t="s">
        <v>36</v>
      </c>
      <c r="DK192" t="s">
        <v>3</v>
      </c>
      <c r="DL192" t="s">
        <v>3</v>
      </c>
      <c r="DM192" t="s">
        <v>3</v>
      </c>
      <c r="DN192">
        <v>104</v>
      </c>
      <c r="DO192">
        <v>70</v>
      </c>
      <c r="DP192">
        <v>1.0469999999999999</v>
      </c>
      <c r="DQ192">
        <v>1</v>
      </c>
      <c r="DU192">
        <v>1013</v>
      </c>
      <c r="DV192" t="s">
        <v>230</v>
      </c>
      <c r="DW192" t="s">
        <v>230</v>
      </c>
      <c r="DX192">
        <v>1</v>
      </c>
      <c r="EE192">
        <v>44846599</v>
      </c>
      <c r="EF192">
        <v>30</v>
      </c>
      <c r="EG192" t="s">
        <v>38</v>
      </c>
      <c r="EH192">
        <v>0</v>
      </c>
      <c r="EI192" t="s">
        <v>3</v>
      </c>
      <c r="EJ192">
        <v>1</v>
      </c>
      <c r="EK192">
        <v>92</v>
      </c>
      <c r="EL192" t="s">
        <v>232</v>
      </c>
      <c r="EM192" t="s">
        <v>233</v>
      </c>
      <c r="EO192" t="s">
        <v>3</v>
      </c>
      <c r="EQ192">
        <v>131072</v>
      </c>
      <c r="ER192">
        <v>1786.53</v>
      </c>
      <c r="ES192">
        <v>699.78</v>
      </c>
      <c r="ET192">
        <v>99.77</v>
      </c>
      <c r="EU192">
        <v>12.51</v>
      </c>
      <c r="EV192">
        <v>986.98</v>
      </c>
      <c r="EW192">
        <v>84.08</v>
      </c>
      <c r="EX192">
        <v>0</v>
      </c>
      <c r="EY192">
        <v>0</v>
      </c>
      <c r="FQ192">
        <v>0</v>
      </c>
      <c r="FR192">
        <f t="shared" si="176"/>
        <v>0</v>
      </c>
      <c r="FS192">
        <v>0</v>
      </c>
      <c r="FX192">
        <v>104</v>
      </c>
      <c r="FY192">
        <v>70</v>
      </c>
      <c r="GA192" t="s">
        <v>3</v>
      </c>
      <c r="GD192">
        <v>0</v>
      </c>
      <c r="GF192">
        <v>1813605207</v>
      </c>
      <c r="GG192">
        <v>2</v>
      </c>
      <c r="GH192">
        <v>1</v>
      </c>
      <c r="GI192">
        <v>3</v>
      </c>
      <c r="GJ192">
        <v>0</v>
      </c>
      <c r="GK192">
        <f>ROUND(R192*(S12)/100,2)</f>
        <v>9.64</v>
      </c>
      <c r="GL192">
        <f t="shared" si="177"/>
        <v>0</v>
      </c>
      <c r="GM192">
        <f t="shared" si="178"/>
        <v>994.01</v>
      </c>
      <c r="GN192">
        <f t="shared" si="179"/>
        <v>994.01</v>
      </c>
      <c r="GO192">
        <f t="shared" si="180"/>
        <v>0</v>
      </c>
      <c r="GP192">
        <f t="shared" si="181"/>
        <v>0</v>
      </c>
      <c r="GR192">
        <v>0</v>
      </c>
      <c r="GS192">
        <v>3</v>
      </c>
      <c r="GT192">
        <v>0</v>
      </c>
      <c r="GU192" t="s">
        <v>3</v>
      </c>
      <c r="GV192">
        <f t="shared" si="182"/>
        <v>0</v>
      </c>
      <c r="GW192">
        <v>1</v>
      </c>
      <c r="GX192">
        <f t="shared" si="183"/>
        <v>0</v>
      </c>
      <c r="HA192">
        <v>0</v>
      </c>
      <c r="HB192">
        <v>0</v>
      </c>
      <c r="IK192">
        <v>0</v>
      </c>
    </row>
    <row r="193" spans="1:255" x14ac:dyDescent="0.2">
      <c r="A193" s="2">
        <v>18</v>
      </c>
      <c r="B193" s="2">
        <v>1</v>
      </c>
      <c r="C193" s="2">
        <v>136</v>
      </c>
      <c r="D193" s="2"/>
      <c r="E193" s="2" t="s">
        <v>234</v>
      </c>
      <c r="F193" s="2" t="s">
        <v>235</v>
      </c>
      <c r="G193" s="2" t="s">
        <v>236</v>
      </c>
      <c r="H193" s="2" t="s">
        <v>29</v>
      </c>
      <c r="I193" s="2">
        <f>I191*J193</f>
        <v>2E-3</v>
      </c>
      <c r="J193" s="2">
        <v>0.11111111111111112</v>
      </c>
      <c r="K193" s="2"/>
      <c r="L193" s="2"/>
      <c r="M193" s="2"/>
      <c r="N193" s="2"/>
      <c r="O193" s="2">
        <f t="shared" si="150"/>
        <v>54.73</v>
      </c>
      <c r="P193" s="2">
        <f t="shared" si="151"/>
        <v>54.73</v>
      </c>
      <c r="Q193" s="2">
        <f t="shared" si="152"/>
        <v>0</v>
      </c>
      <c r="R193" s="2">
        <f t="shared" si="153"/>
        <v>0</v>
      </c>
      <c r="S193" s="2">
        <f t="shared" si="154"/>
        <v>0</v>
      </c>
      <c r="T193" s="2">
        <f t="shared" si="155"/>
        <v>0</v>
      </c>
      <c r="U193" s="2">
        <f t="shared" si="156"/>
        <v>0</v>
      </c>
      <c r="V193" s="2">
        <f t="shared" si="157"/>
        <v>0</v>
      </c>
      <c r="W193" s="2">
        <f t="shared" si="158"/>
        <v>0</v>
      </c>
      <c r="X193" s="2">
        <f t="shared" si="159"/>
        <v>0</v>
      </c>
      <c r="Y193" s="2">
        <f t="shared" si="160"/>
        <v>0</v>
      </c>
      <c r="Z193" s="2"/>
      <c r="AA193" s="2">
        <v>45037306</v>
      </c>
      <c r="AB193" s="2">
        <f t="shared" si="161"/>
        <v>27362.67</v>
      </c>
      <c r="AC193" s="2">
        <f t="shared" si="162"/>
        <v>27362.67</v>
      </c>
      <c r="AD193" s="2">
        <f t="shared" ref="AD193:AF198" si="186">ROUND((ET193),6)</f>
        <v>0</v>
      </c>
      <c r="AE193" s="2">
        <f t="shared" si="186"/>
        <v>0</v>
      </c>
      <c r="AF193" s="2">
        <f t="shared" si="186"/>
        <v>0</v>
      </c>
      <c r="AG193" s="2">
        <f t="shared" si="163"/>
        <v>0</v>
      </c>
      <c r="AH193" s="2">
        <f t="shared" ref="AH193:AI198" si="187">(EW193)</f>
        <v>0</v>
      </c>
      <c r="AI193" s="2">
        <f t="shared" si="187"/>
        <v>0</v>
      </c>
      <c r="AJ193" s="2">
        <f t="shared" si="164"/>
        <v>0</v>
      </c>
      <c r="AK193" s="2">
        <v>27362.67</v>
      </c>
      <c r="AL193" s="2">
        <v>27362.67</v>
      </c>
      <c r="AM193" s="2">
        <v>0</v>
      </c>
      <c r="AN193" s="2">
        <v>0</v>
      </c>
      <c r="AO193" s="2">
        <v>0</v>
      </c>
      <c r="AP193" s="2">
        <v>0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1</v>
      </c>
      <c r="AW193" s="2">
        <v>1</v>
      </c>
      <c r="AX193" s="2"/>
      <c r="AY193" s="2"/>
      <c r="AZ193" s="2">
        <v>1</v>
      </c>
      <c r="BA193" s="2">
        <v>1</v>
      </c>
      <c r="BB193" s="2">
        <v>1</v>
      </c>
      <c r="BC193" s="2">
        <v>1</v>
      </c>
      <c r="BD193" s="2" t="s">
        <v>3</v>
      </c>
      <c r="BE193" s="2" t="s">
        <v>3</v>
      </c>
      <c r="BF193" s="2" t="s">
        <v>3</v>
      </c>
      <c r="BG193" s="2" t="s">
        <v>3</v>
      </c>
      <c r="BH193" s="2">
        <v>3</v>
      </c>
      <c r="BI193" s="2">
        <v>1</v>
      </c>
      <c r="BJ193" s="2" t="s">
        <v>237</v>
      </c>
      <c r="BK193" s="2"/>
      <c r="BL193" s="2"/>
      <c r="BM193" s="2">
        <v>92</v>
      </c>
      <c r="BN193" s="2">
        <v>7156650</v>
      </c>
      <c r="BO193" s="2" t="s">
        <v>3</v>
      </c>
      <c r="BP193" s="2">
        <v>0</v>
      </c>
      <c r="BQ193" s="2">
        <v>30</v>
      </c>
      <c r="BR193" s="2">
        <v>0</v>
      </c>
      <c r="BS193" s="2">
        <v>1</v>
      </c>
      <c r="BT193" s="2">
        <v>1</v>
      </c>
      <c r="BU193" s="2">
        <v>1</v>
      </c>
      <c r="BV193" s="2">
        <v>1</v>
      </c>
      <c r="BW193" s="2">
        <v>1</v>
      </c>
      <c r="BX193" s="2">
        <v>1</v>
      </c>
      <c r="BY193" s="2" t="s">
        <v>3</v>
      </c>
      <c r="BZ193" s="2">
        <v>0</v>
      </c>
      <c r="CA193" s="2">
        <v>0</v>
      </c>
      <c r="CB193" s="2"/>
      <c r="CC193" s="2"/>
      <c r="CD193" s="2"/>
      <c r="CE193" s="2"/>
      <c r="CF193" s="2">
        <v>0</v>
      </c>
      <c r="CG193" s="2">
        <v>0</v>
      </c>
      <c r="CH193" s="2"/>
      <c r="CI193" s="2"/>
      <c r="CJ193" s="2"/>
      <c r="CK193" s="2"/>
      <c r="CL193" s="2"/>
      <c r="CM193" s="2">
        <v>0</v>
      </c>
      <c r="CN193" s="2" t="s">
        <v>3</v>
      </c>
      <c r="CO193" s="2">
        <v>0</v>
      </c>
      <c r="CP193" s="2">
        <f t="shared" si="165"/>
        <v>54.73</v>
      </c>
      <c r="CQ193" s="2">
        <f t="shared" si="166"/>
        <v>27362.67</v>
      </c>
      <c r="CR193" s="2">
        <f t="shared" si="167"/>
        <v>0</v>
      </c>
      <c r="CS193" s="2">
        <f t="shared" si="168"/>
        <v>0</v>
      </c>
      <c r="CT193" s="2">
        <f t="shared" si="169"/>
        <v>0</v>
      </c>
      <c r="CU193" s="2">
        <f t="shared" si="170"/>
        <v>0</v>
      </c>
      <c r="CV193" s="2">
        <f t="shared" si="171"/>
        <v>0</v>
      </c>
      <c r="CW193" s="2">
        <f t="shared" si="172"/>
        <v>0</v>
      </c>
      <c r="CX193" s="2">
        <f t="shared" si="173"/>
        <v>0</v>
      </c>
      <c r="CY193" s="2">
        <f t="shared" si="174"/>
        <v>0</v>
      </c>
      <c r="CZ193" s="2">
        <f t="shared" si="175"/>
        <v>0</v>
      </c>
      <c r="DA193" s="2"/>
      <c r="DB193" s="2"/>
      <c r="DC193" s="2" t="s">
        <v>3</v>
      </c>
      <c r="DD193" s="2" t="s">
        <v>3</v>
      </c>
      <c r="DE193" s="2" t="s">
        <v>3</v>
      </c>
      <c r="DF193" s="2" t="s">
        <v>3</v>
      </c>
      <c r="DG193" s="2" t="s">
        <v>3</v>
      </c>
      <c r="DH193" s="2" t="s">
        <v>3</v>
      </c>
      <c r="DI193" s="2" t="s">
        <v>3</v>
      </c>
      <c r="DJ193" s="2" t="s">
        <v>3</v>
      </c>
      <c r="DK193" s="2" t="s">
        <v>3</v>
      </c>
      <c r="DL193" s="2" t="s">
        <v>3</v>
      </c>
      <c r="DM193" s="2" t="s">
        <v>3</v>
      </c>
      <c r="DN193" s="2">
        <v>104</v>
      </c>
      <c r="DO193" s="2">
        <v>70</v>
      </c>
      <c r="DP193" s="2">
        <v>1.0469999999999999</v>
      </c>
      <c r="DQ193" s="2">
        <v>1</v>
      </c>
      <c r="DR193" s="2"/>
      <c r="DS193" s="2"/>
      <c r="DT193" s="2"/>
      <c r="DU193" s="2">
        <v>1009</v>
      </c>
      <c r="DV193" s="2" t="s">
        <v>29</v>
      </c>
      <c r="DW193" s="2" t="s">
        <v>29</v>
      </c>
      <c r="DX193" s="2">
        <v>1000</v>
      </c>
      <c r="DY193" s="2"/>
      <c r="DZ193" s="2"/>
      <c r="EA193" s="2"/>
      <c r="EB193" s="2"/>
      <c r="EC193" s="2"/>
      <c r="ED193" s="2"/>
      <c r="EE193" s="2">
        <v>44846599</v>
      </c>
      <c r="EF193" s="2">
        <v>30</v>
      </c>
      <c r="EG193" s="2" t="s">
        <v>38</v>
      </c>
      <c r="EH193" s="2">
        <v>0</v>
      </c>
      <c r="EI193" s="2" t="s">
        <v>3</v>
      </c>
      <c r="EJ193" s="2">
        <v>1</v>
      </c>
      <c r="EK193" s="2">
        <v>92</v>
      </c>
      <c r="EL193" s="2" t="s">
        <v>232</v>
      </c>
      <c r="EM193" s="2" t="s">
        <v>233</v>
      </c>
      <c r="EN193" s="2"/>
      <c r="EO193" s="2" t="s">
        <v>3</v>
      </c>
      <c r="EP193" s="2"/>
      <c r="EQ193" s="2">
        <v>0</v>
      </c>
      <c r="ER193" s="2">
        <v>27362.67</v>
      </c>
      <c r="ES193" s="2">
        <v>27362.67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/>
      <c r="EZ193" s="2"/>
      <c r="FA193" s="2"/>
      <c r="FB193" s="2"/>
      <c r="FC193" s="2"/>
      <c r="FD193" s="2"/>
      <c r="FE193" s="2"/>
      <c r="FF193" s="2"/>
      <c r="FG193" s="2"/>
      <c r="FH193" s="2"/>
      <c r="FI193" s="2"/>
      <c r="FJ193" s="2"/>
      <c r="FK193" s="2"/>
      <c r="FL193" s="2"/>
      <c r="FM193" s="2"/>
      <c r="FN193" s="2"/>
      <c r="FO193" s="2"/>
      <c r="FP193" s="2"/>
      <c r="FQ193" s="2">
        <v>0</v>
      </c>
      <c r="FR193" s="2">
        <f t="shared" si="176"/>
        <v>0</v>
      </c>
      <c r="FS193" s="2">
        <v>0</v>
      </c>
      <c r="FT193" s="2"/>
      <c r="FU193" s="2"/>
      <c r="FV193" s="2"/>
      <c r="FW193" s="2"/>
      <c r="FX193" s="2">
        <v>104</v>
      </c>
      <c r="FY193" s="2">
        <v>70</v>
      </c>
      <c r="FZ193" s="2"/>
      <c r="GA193" s="2" t="s">
        <v>3</v>
      </c>
      <c r="GB193" s="2"/>
      <c r="GC193" s="2"/>
      <c r="GD193" s="2">
        <v>0</v>
      </c>
      <c r="GE193" s="2"/>
      <c r="GF193" s="2">
        <v>1389983172</v>
      </c>
      <c r="GG193" s="2">
        <v>2</v>
      </c>
      <c r="GH193" s="2">
        <v>1</v>
      </c>
      <c r="GI193" s="2">
        <v>3</v>
      </c>
      <c r="GJ193" s="2">
        <v>0</v>
      </c>
      <c r="GK193" s="2">
        <f>ROUND(R193*(R12)/100,2)</f>
        <v>0</v>
      </c>
      <c r="GL193" s="2">
        <f t="shared" si="177"/>
        <v>0</v>
      </c>
      <c r="GM193" s="2">
        <f t="shared" si="178"/>
        <v>54.73</v>
      </c>
      <c r="GN193" s="2">
        <f t="shared" si="179"/>
        <v>54.73</v>
      </c>
      <c r="GO193" s="2">
        <f t="shared" si="180"/>
        <v>0</v>
      </c>
      <c r="GP193" s="2">
        <f t="shared" si="181"/>
        <v>0</v>
      </c>
      <c r="GQ193" s="2"/>
      <c r="GR193" s="2">
        <v>0</v>
      </c>
      <c r="GS193" s="2">
        <v>3</v>
      </c>
      <c r="GT193" s="2">
        <v>0</v>
      </c>
      <c r="GU193" s="2" t="s">
        <v>3</v>
      </c>
      <c r="GV193" s="2">
        <f t="shared" si="182"/>
        <v>0</v>
      </c>
      <c r="GW193" s="2">
        <v>1</v>
      </c>
      <c r="GX193" s="2">
        <f t="shared" si="183"/>
        <v>0</v>
      </c>
      <c r="GY193" s="2"/>
      <c r="GZ193" s="2"/>
      <c r="HA193" s="2">
        <v>0</v>
      </c>
      <c r="HB193" s="2">
        <v>0</v>
      </c>
      <c r="HC193" s="2"/>
      <c r="HD193" s="2"/>
      <c r="HE193" s="2"/>
      <c r="HF193" s="2"/>
      <c r="HG193" s="2"/>
      <c r="HH193" s="2"/>
      <c r="HI193" s="2"/>
      <c r="HJ193" s="2"/>
      <c r="HK193" s="2"/>
      <c r="HL193" s="2"/>
      <c r="HM193" s="2"/>
      <c r="HN193" s="2"/>
      <c r="HO193" s="2"/>
      <c r="HP193" s="2"/>
      <c r="HQ193" s="2"/>
      <c r="HR193" s="2"/>
      <c r="HS193" s="2"/>
      <c r="HT193" s="2"/>
      <c r="HU193" s="2"/>
      <c r="HV193" s="2"/>
      <c r="HW193" s="2"/>
      <c r="HX193" s="2"/>
      <c r="HY193" s="2"/>
      <c r="HZ193" s="2"/>
      <c r="IA193" s="2"/>
      <c r="IB193" s="2"/>
      <c r="IC193" s="2"/>
      <c r="ID193" s="2"/>
      <c r="IE193" s="2"/>
      <c r="IF193" s="2"/>
      <c r="IG193" s="2"/>
      <c r="IH193" s="2"/>
      <c r="II193" s="2"/>
      <c r="IJ193" s="2"/>
      <c r="IK193" s="2">
        <v>0</v>
      </c>
      <c r="IL193" s="2"/>
      <c r="IM193" s="2"/>
      <c r="IN193" s="2"/>
      <c r="IO193" s="2"/>
      <c r="IP193" s="2"/>
      <c r="IQ193" s="2"/>
      <c r="IR193" s="2"/>
      <c r="IS193" s="2"/>
      <c r="IT193" s="2"/>
      <c r="IU193" s="2"/>
    </row>
    <row r="194" spans="1:255" x14ac:dyDescent="0.2">
      <c r="A194">
        <v>18</v>
      </c>
      <c r="B194">
        <v>1</v>
      </c>
      <c r="C194">
        <v>145</v>
      </c>
      <c r="E194" t="s">
        <v>234</v>
      </c>
      <c r="F194" t="s">
        <v>235</v>
      </c>
      <c r="G194" t="s">
        <v>236</v>
      </c>
      <c r="H194" t="s">
        <v>29</v>
      </c>
      <c r="I194">
        <f>I192*J194</f>
        <v>2E-3</v>
      </c>
      <c r="J194">
        <v>0.11111111111111112</v>
      </c>
      <c r="O194">
        <f t="shared" si="150"/>
        <v>51.99</v>
      </c>
      <c r="P194">
        <f t="shared" si="151"/>
        <v>51.99</v>
      </c>
      <c r="Q194">
        <f t="shared" si="152"/>
        <v>0</v>
      </c>
      <c r="R194">
        <f t="shared" si="153"/>
        <v>0</v>
      </c>
      <c r="S194">
        <f t="shared" si="154"/>
        <v>0</v>
      </c>
      <c r="T194">
        <f t="shared" si="155"/>
        <v>0</v>
      </c>
      <c r="U194">
        <f t="shared" si="156"/>
        <v>0</v>
      </c>
      <c r="V194">
        <f t="shared" si="157"/>
        <v>0</v>
      </c>
      <c r="W194">
        <f t="shared" si="158"/>
        <v>0</v>
      </c>
      <c r="X194">
        <f t="shared" si="159"/>
        <v>0</v>
      </c>
      <c r="Y194">
        <f t="shared" si="160"/>
        <v>0</v>
      </c>
      <c r="AA194">
        <v>45037307</v>
      </c>
      <c r="AB194">
        <f t="shared" si="161"/>
        <v>27362.67</v>
      </c>
      <c r="AC194">
        <f t="shared" si="162"/>
        <v>27362.67</v>
      </c>
      <c r="AD194">
        <f t="shared" si="186"/>
        <v>0</v>
      </c>
      <c r="AE194">
        <f t="shared" si="186"/>
        <v>0</v>
      </c>
      <c r="AF194">
        <f t="shared" si="186"/>
        <v>0</v>
      </c>
      <c r="AG194">
        <f t="shared" si="163"/>
        <v>0</v>
      </c>
      <c r="AH194">
        <f t="shared" si="187"/>
        <v>0</v>
      </c>
      <c r="AI194">
        <f t="shared" si="187"/>
        <v>0</v>
      </c>
      <c r="AJ194">
        <f t="shared" si="164"/>
        <v>0</v>
      </c>
      <c r="AK194">
        <v>27362.67</v>
      </c>
      <c r="AL194">
        <v>27362.67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0</v>
      </c>
      <c r="AU194">
        <v>0</v>
      </c>
      <c r="AV194">
        <v>1</v>
      </c>
      <c r="AW194">
        <v>1</v>
      </c>
      <c r="AZ194">
        <v>1</v>
      </c>
      <c r="BA194">
        <v>1</v>
      </c>
      <c r="BB194">
        <v>1</v>
      </c>
      <c r="BC194">
        <v>0.95</v>
      </c>
      <c r="BD194" t="s">
        <v>3</v>
      </c>
      <c r="BE194" t="s">
        <v>3</v>
      </c>
      <c r="BF194" t="s">
        <v>3</v>
      </c>
      <c r="BG194" t="s">
        <v>3</v>
      </c>
      <c r="BH194">
        <v>3</v>
      </c>
      <c r="BI194">
        <v>1</v>
      </c>
      <c r="BJ194" t="s">
        <v>237</v>
      </c>
      <c r="BM194">
        <v>92</v>
      </c>
      <c r="BN194">
        <v>7156650</v>
      </c>
      <c r="BO194" t="s">
        <v>235</v>
      </c>
      <c r="BP194">
        <v>1</v>
      </c>
      <c r="BQ194">
        <v>30</v>
      </c>
      <c r="BR194">
        <v>0</v>
      </c>
      <c r="BS194">
        <v>1</v>
      </c>
      <c r="BT194">
        <v>1</v>
      </c>
      <c r="BU194">
        <v>1</v>
      </c>
      <c r="BV194">
        <v>1</v>
      </c>
      <c r="BW194">
        <v>1</v>
      </c>
      <c r="BX194">
        <v>1</v>
      </c>
      <c r="BY194" t="s">
        <v>3</v>
      </c>
      <c r="BZ194">
        <v>0</v>
      </c>
      <c r="CA194">
        <v>0</v>
      </c>
      <c r="CF194">
        <v>0</v>
      </c>
      <c r="CG194">
        <v>0</v>
      </c>
      <c r="CM194">
        <v>0</v>
      </c>
      <c r="CN194" t="s">
        <v>3</v>
      </c>
      <c r="CO194">
        <v>0</v>
      </c>
      <c r="CP194">
        <f t="shared" si="165"/>
        <v>51.99</v>
      </c>
      <c r="CQ194">
        <f t="shared" si="166"/>
        <v>25994.536499999998</v>
      </c>
      <c r="CR194">
        <f t="shared" si="167"/>
        <v>0</v>
      </c>
      <c r="CS194">
        <f t="shared" si="168"/>
        <v>0</v>
      </c>
      <c r="CT194">
        <f t="shared" si="169"/>
        <v>0</v>
      </c>
      <c r="CU194">
        <f t="shared" si="170"/>
        <v>0</v>
      </c>
      <c r="CV194">
        <f t="shared" si="171"/>
        <v>0</v>
      </c>
      <c r="CW194">
        <f t="shared" si="172"/>
        <v>0</v>
      </c>
      <c r="CX194">
        <f t="shared" si="173"/>
        <v>0</v>
      </c>
      <c r="CY194">
        <f t="shared" si="174"/>
        <v>0</v>
      </c>
      <c r="CZ194">
        <f t="shared" si="175"/>
        <v>0</v>
      </c>
      <c r="DC194" t="s">
        <v>3</v>
      </c>
      <c r="DD194" t="s">
        <v>3</v>
      </c>
      <c r="DE194" t="s">
        <v>3</v>
      </c>
      <c r="DF194" t="s">
        <v>3</v>
      </c>
      <c r="DG194" t="s">
        <v>3</v>
      </c>
      <c r="DH194" t="s">
        <v>3</v>
      </c>
      <c r="DI194" t="s">
        <v>3</v>
      </c>
      <c r="DJ194" t="s">
        <v>3</v>
      </c>
      <c r="DK194" t="s">
        <v>3</v>
      </c>
      <c r="DL194" t="s">
        <v>3</v>
      </c>
      <c r="DM194" t="s">
        <v>3</v>
      </c>
      <c r="DN194">
        <v>104</v>
      </c>
      <c r="DO194">
        <v>70</v>
      </c>
      <c r="DP194">
        <v>1.0469999999999999</v>
      </c>
      <c r="DQ194">
        <v>1</v>
      </c>
      <c r="DU194">
        <v>1009</v>
      </c>
      <c r="DV194" t="s">
        <v>29</v>
      </c>
      <c r="DW194" t="s">
        <v>29</v>
      </c>
      <c r="DX194">
        <v>1000</v>
      </c>
      <c r="EE194">
        <v>44846599</v>
      </c>
      <c r="EF194">
        <v>30</v>
      </c>
      <c r="EG194" t="s">
        <v>38</v>
      </c>
      <c r="EH194">
        <v>0</v>
      </c>
      <c r="EI194" t="s">
        <v>3</v>
      </c>
      <c r="EJ194">
        <v>1</v>
      </c>
      <c r="EK194">
        <v>92</v>
      </c>
      <c r="EL194" t="s">
        <v>232</v>
      </c>
      <c r="EM194" t="s">
        <v>233</v>
      </c>
      <c r="EO194" t="s">
        <v>3</v>
      </c>
      <c r="EQ194">
        <v>0</v>
      </c>
      <c r="ER194">
        <v>27362.67</v>
      </c>
      <c r="ES194">
        <v>27362.67</v>
      </c>
      <c r="ET194">
        <v>0</v>
      </c>
      <c r="EU194">
        <v>0</v>
      </c>
      <c r="EV194">
        <v>0</v>
      </c>
      <c r="EW194">
        <v>0</v>
      </c>
      <c r="EX194">
        <v>0</v>
      </c>
      <c r="FQ194">
        <v>0</v>
      </c>
      <c r="FR194">
        <f t="shared" si="176"/>
        <v>0</v>
      </c>
      <c r="FS194">
        <v>0</v>
      </c>
      <c r="FX194">
        <v>104</v>
      </c>
      <c r="FY194">
        <v>70</v>
      </c>
      <c r="GA194" t="s">
        <v>3</v>
      </c>
      <c r="GD194">
        <v>0</v>
      </c>
      <c r="GF194">
        <v>1389983172</v>
      </c>
      <c r="GG194">
        <v>2</v>
      </c>
      <c r="GH194">
        <v>1</v>
      </c>
      <c r="GI194">
        <v>3</v>
      </c>
      <c r="GJ194">
        <v>0</v>
      </c>
      <c r="GK194">
        <f>ROUND(R194*(S12)/100,2)</f>
        <v>0</v>
      </c>
      <c r="GL194">
        <f t="shared" si="177"/>
        <v>0</v>
      </c>
      <c r="GM194">
        <f t="shared" si="178"/>
        <v>51.99</v>
      </c>
      <c r="GN194">
        <f t="shared" si="179"/>
        <v>51.99</v>
      </c>
      <c r="GO194">
        <f t="shared" si="180"/>
        <v>0</v>
      </c>
      <c r="GP194">
        <f t="shared" si="181"/>
        <v>0</v>
      </c>
      <c r="GR194">
        <v>0</v>
      </c>
      <c r="GS194">
        <v>3</v>
      </c>
      <c r="GT194">
        <v>0</v>
      </c>
      <c r="GU194" t="s">
        <v>3</v>
      </c>
      <c r="GV194">
        <f t="shared" si="182"/>
        <v>0</v>
      </c>
      <c r="GW194">
        <v>1</v>
      </c>
      <c r="GX194">
        <f t="shared" si="183"/>
        <v>0</v>
      </c>
      <c r="HA194">
        <v>0</v>
      </c>
      <c r="HB194">
        <v>0</v>
      </c>
      <c r="IK194">
        <v>0</v>
      </c>
    </row>
    <row r="195" spans="1:255" x14ac:dyDescent="0.2">
      <c r="A195" s="2">
        <v>18</v>
      </c>
      <c r="B195" s="2">
        <v>1</v>
      </c>
      <c r="C195" s="2">
        <v>137</v>
      </c>
      <c r="D195" s="2"/>
      <c r="E195" s="2" t="s">
        <v>238</v>
      </c>
      <c r="F195" s="2" t="s">
        <v>239</v>
      </c>
      <c r="G195" s="2" t="s">
        <v>240</v>
      </c>
      <c r="H195" s="2" t="s">
        <v>29</v>
      </c>
      <c r="I195" s="2">
        <f>I191*J195</f>
        <v>8.4600000000000005E-3</v>
      </c>
      <c r="J195" s="2">
        <v>0.47000000000000008</v>
      </c>
      <c r="K195" s="2"/>
      <c r="L195" s="2"/>
      <c r="M195" s="2"/>
      <c r="N195" s="2"/>
      <c r="O195" s="2">
        <f t="shared" si="150"/>
        <v>55.24</v>
      </c>
      <c r="P195" s="2">
        <f t="shared" si="151"/>
        <v>55.24</v>
      </c>
      <c r="Q195" s="2">
        <f t="shared" si="152"/>
        <v>0</v>
      </c>
      <c r="R195" s="2">
        <f t="shared" si="153"/>
        <v>0</v>
      </c>
      <c r="S195" s="2">
        <f t="shared" si="154"/>
        <v>0</v>
      </c>
      <c r="T195" s="2">
        <f t="shared" si="155"/>
        <v>0</v>
      </c>
      <c r="U195" s="2">
        <f t="shared" si="156"/>
        <v>0</v>
      </c>
      <c r="V195" s="2">
        <f t="shared" si="157"/>
        <v>0</v>
      </c>
      <c r="W195" s="2">
        <f t="shared" si="158"/>
        <v>0</v>
      </c>
      <c r="X195" s="2">
        <f t="shared" si="159"/>
        <v>0</v>
      </c>
      <c r="Y195" s="2">
        <f t="shared" si="160"/>
        <v>0</v>
      </c>
      <c r="Z195" s="2"/>
      <c r="AA195" s="2">
        <v>45037306</v>
      </c>
      <c r="AB195" s="2">
        <f t="shared" si="161"/>
        <v>6529.05</v>
      </c>
      <c r="AC195" s="2">
        <f t="shared" si="162"/>
        <v>6529.05</v>
      </c>
      <c r="AD195" s="2">
        <f t="shared" si="186"/>
        <v>0</v>
      </c>
      <c r="AE195" s="2">
        <f t="shared" si="186"/>
        <v>0</v>
      </c>
      <c r="AF195" s="2">
        <f t="shared" si="186"/>
        <v>0</v>
      </c>
      <c r="AG195" s="2">
        <f t="shared" si="163"/>
        <v>0</v>
      </c>
      <c r="AH195" s="2">
        <f t="shared" si="187"/>
        <v>0</v>
      </c>
      <c r="AI195" s="2">
        <f t="shared" si="187"/>
        <v>0</v>
      </c>
      <c r="AJ195" s="2">
        <f t="shared" si="164"/>
        <v>0</v>
      </c>
      <c r="AK195" s="2">
        <v>6529.05</v>
      </c>
      <c r="AL195" s="2">
        <v>6529.05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0</v>
      </c>
      <c r="AS195" s="2">
        <v>0</v>
      </c>
      <c r="AT195" s="2">
        <v>0</v>
      </c>
      <c r="AU195" s="2">
        <v>0</v>
      </c>
      <c r="AV195" s="2">
        <v>1</v>
      </c>
      <c r="AW195" s="2">
        <v>1</v>
      </c>
      <c r="AX195" s="2"/>
      <c r="AY195" s="2"/>
      <c r="AZ195" s="2">
        <v>1</v>
      </c>
      <c r="BA195" s="2">
        <v>1</v>
      </c>
      <c r="BB195" s="2">
        <v>1</v>
      </c>
      <c r="BC195" s="2">
        <v>1</v>
      </c>
      <c r="BD195" s="2" t="s">
        <v>3</v>
      </c>
      <c r="BE195" s="2" t="s">
        <v>3</v>
      </c>
      <c r="BF195" s="2" t="s">
        <v>3</v>
      </c>
      <c r="BG195" s="2" t="s">
        <v>3</v>
      </c>
      <c r="BH195" s="2">
        <v>3</v>
      </c>
      <c r="BI195" s="2">
        <v>1</v>
      </c>
      <c r="BJ195" s="2" t="s">
        <v>241</v>
      </c>
      <c r="BK195" s="2"/>
      <c r="BL195" s="2"/>
      <c r="BM195" s="2">
        <v>92</v>
      </c>
      <c r="BN195" s="2">
        <v>7156650</v>
      </c>
      <c r="BO195" s="2" t="s">
        <v>3</v>
      </c>
      <c r="BP195" s="2">
        <v>0</v>
      </c>
      <c r="BQ195" s="2">
        <v>30</v>
      </c>
      <c r="BR195" s="2">
        <v>0</v>
      </c>
      <c r="BS195" s="2">
        <v>1</v>
      </c>
      <c r="BT195" s="2">
        <v>1</v>
      </c>
      <c r="BU195" s="2">
        <v>1</v>
      </c>
      <c r="BV195" s="2">
        <v>1</v>
      </c>
      <c r="BW195" s="2">
        <v>1</v>
      </c>
      <c r="BX195" s="2">
        <v>1</v>
      </c>
      <c r="BY195" s="2" t="s">
        <v>3</v>
      </c>
      <c r="BZ195" s="2">
        <v>0</v>
      </c>
      <c r="CA195" s="2">
        <v>0</v>
      </c>
      <c r="CB195" s="2"/>
      <c r="CC195" s="2"/>
      <c r="CD195" s="2"/>
      <c r="CE195" s="2"/>
      <c r="CF195" s="2">
        <v>0</v>
      </c>
      <c r="CG195" s="2">
        <v>0</v>
      </c>
      <c r="CH195" s="2"/>
      <c r="CI195" s="2"/>
      <c r="CJ195" s="2"/>
      <c r="CK195" s="2"/>
      <c r="CL195" s="2"/>
      <c r="CM195" s="2">
        <v>0</v>
      </c>
      <c r="CN195" s="2" t="s">
        <v>3</v>
      </c>
      <c r="CO195" s="2">
        <v>0</v>
      </c>
      <c r="CP195" s="2">
        <f t="shared" si="165"/>
        <v>55.24</v>
      </c>
      <c r="CQ195" s="2">
        <f t="shared" si="166"/>
        <v>6529.05</v>
      </c>
      <c r="CR195" s="2">
        <f t="shared" si="167"/>
        <v>0</v>
      </c>
      <c r="CS195" s="2">
        <f t="shared" si="168"/>
        <v>0</v>
      </c>
      <c r="CT195" s="2">
        <f t="shared" si="169"/>
        <v>0</v>
      </c>
      <c r="CU195" s="2">
        <f t="shared" si="170"/>
        <v>0</v>
      </c>
      <c r="CV195" s="2">
        <f t="shared" si="171"/>
        <v>0</v>
      </c>
      <c r="CW195" s="2">
        <f t="shared" si="172"/>
        <v>0</v>
      </c>
      <c r="CX195" s="2">
        <f t="shared" si="173"/>
        <v>0</v>
      </c>
      <c r="CY195" s="2">
        <f t="shared" si="174"/>
        <v>0</v>
      </c>
      <c r="CZ195" s="2">
        <f t="shared" si="175"/>
        <v>0</v>
      </c>
      <c r="DA195" s="2"/>
      <c r="DB195" s="2"/>
      <c r="DC195" s="2" t="s">
        <v>3</v>
      </c>
      <c r="DD195" s="2" t="s">
        <v>3</v>
      </c>
      <c r="DE195" s="2" t="s">
        <v>3</v>
      </c>
      <c r="DF195" s="2" t="s">
        <v>3</v>
      </c>
      <c r="DG195" s="2" t="s">
        <v>3</v>
      </c>
      <c r="DH195" s="2" t="s">
        <v>3</v>
      </c>
      <c r="DI195" s="2" t="s">
        <v>3</v>
      </c>
      <c r="DJ195" s="2" t="s">
        <v>3</v>
      </c>
      <c r="DK195" s="2" t="s">
        <v>3</v>
      </c>
      <c r="DL195" s="2" t="s">
        <v>3</v>
      </c>
      <c r="DM195" s="2" t="s">
        <v>3</v>
      </c>
      <c r="DN195" s="2">
        <v>104</v>
      </c>
      <c r="DO195" s="2">
        <v>70</v>
      </c>
      <c r="DP195" s="2">
        <v>1.0469999999999999</v>
      </c>
      <c r="DQ195" s="2">
        <v>1</v>
      </c>
      <c r="DR195" s="2"/>
      <c r="DS195" s="2"/>
      <c r="DT195" s="2"/>
      <c r="DU195" s="2">
        <v>1009</v>
      </c>
      <c r="DV195" s="2" t="s">
        <v>29</v>
      </c>
      <c r="DW195" s="2" t="s">
        <v>29</v>
      </c>
      <c r="DX195" s="2">
        <v>1000</v>
      </c>
      <c r="DY195" s="2"/>
      <c r="DZ195" s="2"/>
      <c r="EA195" s="2"/>
      <c r="EB195" s="2"/>
      <c r="EC195" s="2"/>
      <c r="ED195" s="2"/>
      <c r="EE195" s="2">
        <v>44846599</v>
      </c>
      <c r="EF195" s="2">
        <v>30</v>
      </c>
      <c r="EG195" s="2" t="s">
        <v>38</v>
      </c>
      <c r="EH195" s="2">
        <v>0</v>
      </c>
      <c r="EI195" s="2" t="s">
        <v>3</v>
      </c>
      <c r="EJ195" s="2">
        <v>1</v>
      </c>
      <c r="EK195" s="2">
        <v>92</v>
      </c>
      <c r="EL195" s="2" t="s">
        <v>232</v>
      </c>
      <c r="EM195" s="2" t="s">
        <v>233</v>
      </c>
      <c r="EN195" s="2"/>
      <c r="EO195" s="2" t="s">
        <v>3</v>
      </c>
      <c r="EP195" s="2"/>
      <c r="EQ195" s="2">
        <v>0</v>
      </c>
      <c r="ER195" s="2">
        <v>6529.05</v>
      </c>
      <c r="ES195" s="2">
        <v>6529.05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/>
      <c r="EZ195" s="2"/>
      <c r="FA195" s="2"/>
      <c r="FB195" s="2"/>
      <c r="FC195" s="2"/>
      <c r="FD195" s="2"/>
      <c r="FE195" s="2"/>
      <c r="FF195" s="2"/>
      <c r="FG195" s="2"/>
      <c r="FH195" s="2"/>
      <c r="FI195" s="2"/>
      <c r="FJ195" s="2"/>
      <c r="FK195" s="2"/>
      <c r="FL195" s="2"/>
      <c r="FM195" s="2"/>
      <c r="FN195" s="2"/>
      <c r="FO195" s="2"/>
      <c r="FP195" s="2"/>
      <c r="FQ195" s="2">
        <v>0</v>
      </c>
      <c r="FR195" s="2">
        <f t="shared" si="176"/>
        <v>0</v>
      </c>
      <c r="FS195" s="2">
        <v>0</v>
      </c>
      <c r="FT195" s="2"/>
      <c r="FU195" s="2"/>
      <c r="FV195" s="2"/>
      <c r="FW195" s="2"/>
      <c r="FX195" s="2">
        <v>104</v>
      </c>
      <c r="FY195" s="2">
        <v>70</v>
      </c>
      <c r="FZ195" s="2"/>
      <c r="GA195" s="2" t="s">
        <v>3</v>
      </c>
      <c r="GB195" s="2"/>
      <c r="GC195" s="2"/>
      <c r="GD195" s="2">
        <v>0</v>
      </c>
      <c r="GE195" s="2"/>
      <c r="GF195" s="2">
        <v>-137175376</v>
      </c>
      <c r="GG195" s="2">
        <v>2</v>
      </c>
      <c r="GH195" s="2">
        <v>1</v>
      </c>
      <c r="GI195" s="2">
        <v>3</v>
      </c>
      <c r="GJ195" s="2">
        <v>0</v>
      </c>
      <c r="GK195" s="2">
        <f>ROUND(R195*(R12)/100,2)</f>
        <v>0</v>
      </c>
      <c r="GL195" s="2">
        <f t="shared" si="177"/>
        <v>0</v>
      </c>
      <c r="GM195" s="2">
        <f t="shared" si="178"/>
        <v>55.24</v>
      </c>
      <c r="GN195" s="2">
        <f t="shared" si="179"/>
        <v>55.24</v>
      </c>
      <c r="GO195" s="2">
        <f t="shared" si="180"/>
        <v>0</v>
      </c>
      <c r="GP195" s="2">
        <f t="shared" si="181"/>
        <v>0</v>
      </c>
      <c r="GQ195" s="2"/>
      <c r="GR195" s="2">
        <v>0</v>
      </c>
      <c r="GS195" s="2">
        <v>3</v>
      </c>
      <c r="GT195" s="2">
        <v>0</v>
      </c>
      <c r="GU195" s="2" t="s">
        <v>3</v>
      </c>
      <c r="GV195" s="2">
        <f t="shared" si="182"/>
        <v>0</v>
      </c>
      <c r="GW195" s="2">
        <v>1</v>
      </c>
      <c r="GX195" s="2">
        <f t="shared" si="183"/>
        <v>0</v>
      </c>
      <c r="GY195" s="2"/>
      <c r="GZ195" s="2"/>
      <c r="HA195" s="2">
        <v>0</v>
      </c>
      <c r="HB195" s="2">
        <v>0</v>
      </c>
      <c r="HC195" s="2"/>
      <c r="HD195" s="2"/>
      <c r="HE195" s="2"/>
      <c r="HF195" s="2"/>
      <c r="HG195" s="2"/>
      <c r="HH195" s="2"/>
      <c r="HI195" s="2"/>
      <c r="HJ195" s="2"/>
      <c r="HK195" s="2"/>
      <c r="HL195" s="2"/>
      <c r="HM195" s="2"/>
      <c r="HN195" s="2"/>
      <c r="HO195" s="2"/>
      <c r="HP195" s="2"/>
      <c r="HQ195" s="2"/>
      <c r="HR195" s="2"/>
      <c r="HS195" s="2"/>
      <c r="HT195" s="2"/>
      <c r="HU195" s="2"/>
      <c r="HV195" s="2"/>
      <c r="HW195" s="2"/>
      <c r="HX195" s="2"/>
      <c r="HY195" s="2"/>
      <c r="HZ195" s="2"/>
      <c r="IA195" s="2"/>
      <c r="IB195" s="2"/>
      <c r="IC195" s="2"/>
      <c r="ID195" s="2"/>
      <c r="IE195" s="2"/>
      <c r="IF195" s="2"/>
      <c r="IG195" s="2"/>
      <c r="IH195" s="2"/>
      <c r="II195" s="2"/>
      <c r="IJ195" s="2"/>
      <c r="IK195" s="2">
        <v>0</v>
      </c>
      <c r="IL195" s="2"/>
      <c r="IM195" s="2"/>
      <c r="IN195" s="2"/>
      <c r="IO195" s="2"/>
      <c r="IP195" s="2"/>
      <c r="IQ195" s="2"/>
      <c r="IR195" s="2"/>
      <c r="IS195" s="2"/>
      <c r="IT195" s="2"/>
      <c r="IU195" s="2"/>
    </row>
    <row r="196" spans="1:255" x14ac:dyDescent="0.2">
      <c r="A196">
        <v>18</v>
      </c>
      <c r="B196">
        <v>1</v>
      </c>
      <c r="C196">
        <v>146</v>
      </c>
      <c r="E196" t="s">
        <v>238</v>
      </c>
      <c r="F196" t="s">
        <v>239</v>
      </c>
      <c r="G196" t="s">
        <v>240</v>
      </c>
      <c r="H196" t="s">
        <v>29</v>
      </c>
      <c r="I196">
        <f>I192*J196</f>
        <v>8.4600000000000005E-3</v>
      </c>
      <c r="J196">
        <v>0.47000000000000008</v>
      </c>
      <c r="O196">
        <f t="shared" si="150"/>
        <v>64.63</v>
      </c>
      <c r="P196">
        <f t="shared" si="151"/>
        <v>64.63</v>
      </c>
      <c r="Q196">
        <f t="shared" si="152"/>
        <v>0</v>
      </c>
      <c r="R196">
        <f t="shared" si="153"/>
        <v>0</v>
      </c>
      <c r="S196">
        <f t="shared" si="154"/>
        <v>0</v>
      </c>
      <c r="T196">
        <f t="shared" si="155"/>
        <v>0</v>
      </c>
      <c r="U196">
        <f t="shared" si="156"/>
        <v>0</v>
      </c>
      <c r="V196">
        <f t="shared" si="157"/>
        <v>0</v>
      </c>
      <c r="W196">
        <f t="shared" si="158"/>
        <v>0</v>
      </c>
      <c r="X196">
        <f t="shared" si="159"/>
        <v>0</v>
      </c>
      <c r="Y196">
        <f t="shared" si="160"/>
        <v>0</v>
      </c>
      <c r="AA196">
        <v>45037307</v>
      </c>
      <c r="AB196">
        <f t="shared" si="161"/>
        <v>6529.05</v>
      </c>
      <c r="AC196">
        <f t="shared" si="162"/>
        <v>6529.05</v>
      </c>
      <c r="AD196">
        <f t="shared" si="186"/>
        <v>0</v>
      </c>
      <c r="AE196">
        <f t="shared" si="186"/>
        <v>0</v>
      </c>
      <c r="AF196">
        <f t="shared" si="186"/>
        <v>0</v>
      </c>
      <c r="AG196">
        <f t="shared" si="163"/>
        <v>0</v>
      </c>
      <c r="AH196">
        <f t="shared" si="187"/>
        <v>0</v>
      </c>
      <c r="AI196">
        <f t="shared" si="187"/>
        <v>0</v>
      </c>
      <c r="AJ196">
        <f t="shared" si="164"/>
        <v>0</v>
      </c>
      <c r="AK196">
        <v>6529.05</v>
      </c>
      <c r="AL196">
        <v>6529.05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0</v>
      </c>
      <c r="AU196">
        <v>0</v>
      </c>
      <c r="AV196">
        <v>1</v>
      </c>
      <c r="AW196">
        <v>1</v>
      </c>
      <c r="AZ196">
        <v>1</v>
      </c>
      <c r="BA196">
        <v>1</v>
      </c>
      <c r="BB196">
        <v>1</v>
      </c>
      <c r="BC196">
        <v>1.17</v>
      </c>
      <c r="BD196" t="s">
        <v>3</v>
      </c>
      <c r="BE196" t="s">
        <v>3</v>
      </c>
      <c r="BF196" t="s">
        <v>3</v>
      </c>
      <c r="BG196" t="s">
        <v>3</v>
      </c>
      <c r="BH196">
        <v>3</v>
      </c>
      <c r="BI196">
        <v>1</v>
      </c>
      <c r="BJ196" t="s">
        <v>241</v>
      </c>
      <c r="BM196">
        <v>92</v>
      </c>
      <c r="BN196">
        <v>7156650</v>
      </c>
      <c r="BO196" t="s">
        <v>239</v>
      </c>
      <c r="BP196">
        <v>1</v>
      </c>
      <c r="BQ196">
        <v>30</v>
      </c>
      <c r="BR196">
        <v>0</v>
      </c>
      <c r="BS196">
        <v>1</v>
      </c>
      <c r="BT196">
        <v>1</v>
      </c>
      <c r="BU196">
        <v>1</v>
      </c>
      <c r="BV196">
        <v>1</v>
      </c>
      <c r="BW196">
        <v>1</v>
      </c>
      <c r="BX196">
        <v>1</v>
      </c>
      <c r="BY196" t="s">
        <v>3</v>
      </c>
      <c r="BZ196">
        <v>0</v>
      </c>
      <c r="CA196">
        <v>0</v>
      </c>
      <c r="CF196">
        <v>0</v>
      </c>
      <c r="CG196">
        <v>0</v>
      </c>
      <c r="CM196">
        <v>0</v>
      </c>
      <c r="CN196" t="s">
        <v>3</v>
      </c>
      <c r="CO196">
        <v>0</v>
      </c>
      <c r="CP196">
        <f t="shared" si="165"/>
        <v>64.63</v>
      </c>
      <c r="CQ196">
        <f t="shared" si="166"/>
        <v>7638.9884999999995</v>
      </c>
      <c r="CR196">
        <f t="shared" si="167"/>
        <v>0</v>
      </c>
      <c r="CS196">
        <f t="shared" si="168"/>
        <v>0</v>
      </c>
      <c r="CT196">
        <f t="shared" si="169"/>
        <v>0</v>
      </c>
      <c r="CU196">
        <f t="shared" si="170"/>
        <v>0</v>
      </c>
      <c r="CV196">
        <f t="shared" si="171"/>
        <v>0</v>
      </c>
      <c r="CW196">
        <f t="shared" si="172"/>
        <v>0</v>
      </c>
      <c r="CX196">
        <f t="shared" si="173"/>
        <v>0</v>
      </c>
      <c r="CY196">
        <f t="shared" si="174"/>
        <v>0</v>
      </c>
      <c r="CZ196">
        <f t="shared" si="175"/>
        <v>0</v>
      </c>
      <c r="DC196" t="s">
        <v>3</v>
      </c>
      <c r="DD196" t="s">
        <v>3</v>
      </c>
      <c r="DE196" t="s">
        <v>3</v>
      </c>
      <c r="DF196" t="s">
        <v>3</v>
      </c>
      <c r="DG196" t="s">
        <v>3</v>
      </c>
      <c r="DH196" t="s">
        <v>3</v>
      </c>
      <c r="DI196" t="s">
        <v>3</v>
      </c>
      <c r="DJ196" t="s">
        <v>3</v>
      </c>
      <c r="DK196" t="s">
        <v>3</v>
      </c>
      <c r="DL196" t="s">
        <v>3</v>
      </c>
      <c r="DM196" t="s">
        <v>3</v>
      </c>
      <c r="DN196">
        <v>104</v>
      </c>
      <c r="DO196">
        <v>70</v>
      </c>
      <c r="DP196">
        <v>1.0469999999999999</v>
      </c>
      <c r="DQ196">
        <v>1</v>
      </c>
      <c r="DU196">
        <v>1009</v>
      </c>
      <c r="DV196" t="s">
        <v>29</v>
      </c>
      <c r="DW196" t="s">
        <v>29</v>
      </c>
      <c r="DX196">
        <v>1000</v>
      </c>
      <c r="EE196">
        <v>44846599</v>
      </c>
      <c r="EF196">
        <v>30</v>
      </c>
      <c r="EG196" t="s">
        <v>38</v>
      </c>
      <c r="EH196">
        <v>0</v>
      </c>
      <c r="EI196" t="s">
        <v>3</v>
      </c>
      <c r="EJ196">
        <v>1</v>
      </c>
      <c r="EK196">
        <v>92</v>
      </c>
      <c r="EL196" t="s">
        <v>232</v>
      </c>
      <c r="EM196" t="s">
        <v>233</v>
      </c>
      <c r="EO196" t="s">
        <v>3</v>
      </c>
      <c r="EQ196">
        <v>0</v>
      </c>
      <c r="ER196">
        <v>6529.05</v>
      </c>
      <c r="ES196">
        <v>6529.05</v>
      </c>
      <c r="ET196">
        <v>0</v>
      </c>
      <c r="EU196">
        <v>0</v>
      </c>
      <c r="EV196">
        <v>0</v>
      </c>
      <c r="EW196">
        <v>0</v>
      </c>
      <c r="EX196">
        <v>0</v>
      </c>
      <c r="FQ196">
        <v>0</v>
      </c>
      <c r="FR196">
        <f t="shared" si="176"/>
        <v>0</v>
      </c>
      <c r="FS196">
        <v>0</v>
      </c>
      <c r="FX196">
        <v>104</v>
      </c>
      <c r="FY196">
        <v>70</v>
      </c>
      <c r="GA196" t="s">
        <v>3</v>
      </c>
      <c r="GD196">
        <v>0</v>
      </c>
      <c r="GF196">
        <v>-137175376</v>
      </c>
      <c r="GG196">
        <v>2</v>
      </c>
      <c r="GH196">
        <v>1</v>
      </c>
      <c r="GI196">
        <v>3</v>
      </c>
      <c r="GJ196">
        <v>0</v>
      </c>
      <c r="GK196">
        <f>ROUND(R196*(S12)/100,2)</f>
        <v>0</v>
      </c>
      <c r="GL196">
        <f t="shared" si="177"/>
        <v>0</v>
      </c>
      <c r="GM196">
        <f t="shared" si="178"/>
        <v>64.63</v>
      </c>
      <c r="GN196">
        <f t="shared" si="179"/>
        <v>64.63</v>
      </c>
      <c r="GO196">
        <f t="shared" si="180"/>
        <v>0</v>
      </c>
      <c r="GP196">
        <f t="shared" si="181"/>
        <v>0</v>
      </c>
      <c r="GR196">
        <v>0</v>
      </c>
      <c r="GS196">
        <v>3</v>
      </c>
      <c r="GT196">
        <v>0</v>
      </c>
      <c r="GU196" t="s">
        <v>3</v>
      </c>
      <c r="GV196">
        <f t="shared" si="182"/>
        <v>0</v>
      </c>
      <c r="GW196">
        <v>1</v>
      </c>
      <c r="GX196">
        <f t="shared" si="183"/>
        <v>0</v>
      </c>
      <c r="HA196">
        <v>0</v>
      </c>
      <c r="HB196">
        <v>0</v>
      </c>
      <c r="IK196">
        <v>0</v>
      </c>
    </row>
    <row r="197" spans="1:255" x14ac:dyDescent="0.2">
      <c r="A197" s="2">
        <v>18</v>
      </c>
      <c r="B197" s="2">
        <v>1</v>
      </c>
      <c r="C197" s="2">
        <v>134</v>
      </c>
      <c r="D197" s="2"/>
      <c r="E197" s="2" t="s">
        <v>242</v>
      </c>
      <c r="F197" s="2" t="s">
        <v>243</v>
      </c>
      <c r="G197" s="2" t="s">
        <v>244</v>
      </c>
      <c r="H197" s="2" t="s">
        <v>101</v>
      </c>
      <c r="I197" s="2">
        <f>I191*J197</f>
        <v>1.8360000000000001</v>
      </c>
      <c r="J197" s="2">
        <v>102.00000000000001</v>
      </c>
      <c r="K197" s="2"/>
      <c r="L197" s="2"/>
      <c r="M197" s="2"/>
      <c r="N197" s="2"/>
      <c r="O197" s="2">
        <f t="shared" si="150"/>
        <v>168.95</v>
      </c>
      <c r="P197" s="2">
        <f t="shared" si="151"/>
        <v>168.95</v>
      </c>
      <c r="Q197" s="2">
        <f t="shared" si="152"/>
        <v>0</v>
      </c>
      <c r="R197" s="2">
        <f t="shared" si="153"/>
        <v>0</v>
      </c>
      <c r="S197" s="2">
        <f t="shared" si="154"/>
        <v>0</v>
      </c>
      <c r="T197" s="2">
        <f t="shared" si="155"/>
        <v>0</v>
      </c>
      <c r="U197" s="2">
        <f t="shared" si="156"/>
        <v>0</v>
      </c>
      <c r="V197" s="2">
        <f t="shared" si="157"/>
        <v>0</v>
      </c>
      <c r="W197" s="2">
        <f t="shared" si="158"/>
        <v>0</v>
      </c>
      <c r="X197" s="2">
        <f t="shared" si="159"/>
        <v>0</v>
      </c>
      <c r="Y197" s="2">
        <f t="shared" si="160"/>
        <v>0</v>
      </c>
      <c r="Z197" s="2"/>
      <c r="AA197" s="2">
        <v>45037306</v>
      </c>
      <c r="AB197" s="2">
        <f t="shared" si="161"/>
        <v>92.02</v>
      </c>
      <c r="AC197" s="2">
        <f t="shared" si="162"/>
        <v>92.02</v>
      </c>
      <c r="AD197" s="2">
        <f t="shared" si="186"/>
        <v>0</v>
      </c>
      <c r="AE197" s="2">
        <f t="shared" si="186"/>
        <v>0</v>
      </c>
      <c r="AF197" s="2">
        <f t="shared" si="186"/>
        <v>0</v>
      </c>
      <c r="AG197" s="2">
        <f t="shared" si="163"/>
        <v>0</v>
      </c>
      <c r="AH197" s="2">
        <f t="shared" si="187"/>
        <v>0</v>
      </c>
      <c r="AI197" s="2">
        <f t="shared" si="187"/>
        <v>0</v>
      </c>
      <c r="AJ197" s="2">
        <f t="shared" si="164"/>
        <v>0</v>
      </c>
      <c r="AK197" s="2">
        <v>92.02</v>
      </c>
      <c r="AL197" s="2">
        <v>92.02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1</v>
      </c>
      <c r="AW197" s="2">
        <v>1</v>
      </c>
      <c r="AX197" s="2"/>
      <c r="AY197" s="2"/>
      <c r="AZ197" s="2">
        <v>1</v>
      </c>
      <c r="BA197" s="2">
        <v>1</v>
      </c>
      <c r="BB197" s="2">
        <v>1</v>
      </c>
      <c r="BC197" s="2">
        <v>1</v>
      </c>
      <c r="BD197" s="2" t="s">
        <v>3</v>
      </c>
      <c r="BE197" s="2" t="s">
        <v>3</v>
      </c>
      <c r="BF197" s="2" t="s">
        <v>3</v>
      </c>
      <c r="BG197" s="2" t="s">
        <v>3</v>
      </c>
      <c r="BH197" s="2">
        <v>3</v>
      </c>
      <c r="BI197" s="2">
        <v>1</v>
      </c>
      <c r="BJ197" s="2" t="s">
        <v>245</v>
      </c>
      <c r="BK197" s="2"/>
      <c r="BL197" s="2"/>
      <c r="BM197" s="2">
        <v>92</v>
      </c>
      <c r="BN197" s="2">
        <v>7156650</v>
      </c>
      <c r="BO197" s="2" t="s">
        <v>3</v>
      </c>
      <c r="BP197" s="2">
        <v>0</v>
      </c>
      <c r="BQ197" s="2">
        <v>30</v>
      </c>
      <c r="BR197" s="2">
        <v>0</v>
      </c>
      <c r="BS197" s="2">
        <v>1</v>
      </c>
      <c r="BT197" s="2">
        <v>1</v>
      </c>
      <c r="BU197" s="2">
        <v>1</v>
      </c>
      <c r="BV197" s="2">
        <v>1</v>
      </c>
      <c r="BW197" s="2">
        <v>1</v>
      </c>
      <c r="BX197" s="2">
        <v>1</v>
      </c>
      <c r="BY197" s="2" t="s">
        <v>3</v>
      </c>
      <c r="BZ197" s="2">
        <v>0</v>
      </c>
      <c r="CA197" s="2">
        <v>0</v>
      </c>
      <c r="CB197" s="2"/>
      <c r="CC197" s="2"/>
      <c r="CD197" s="2"/>
      <c r="CE197" s="2"/>
      <c r="CF197" s="2">
        <v>0</v>
      </c>
      <c r="CG197" s="2">
        <v>0</v>
      </c>
      <c r="CH197" s="2"/>
      <c r="CI197" s="2"/>
      <c r="CJ197" s="2"/>
      <c r="CK197" s="2"/>
      <c r="CL197" s="2"/>
      <c r="CM197" s="2">
        <v>0</v>
      </c>
      <c r="CN197" s="2" t="s">
        <v>3</v>
      </c>
      <c r="CO197" s="2">
        <v>0</v>
      </c>
      <c r="CP197" s="2">
        <f t="shared" si="165"/>
        <v>168.95</v>
      </c>
      <c r="CQ197" s="2">
        <f t="shared" si="166"/>
        <v>92.02</v>
      </c>
      <c r="CR197" s="2">
        <f t="shared" si="167"/>
        <v>0</v>
      </c>
      <c r="CS197" s="2">
        <f t="shared" si="168"/>
        <v>0</v>
      </c>
      <c r="CT197" s="2">
        <f t="shared" si="169"/>
        <v>0</v>
      </c>
      <c r="CU197" s="2">
        <f t="shared" si="170"/>
        <v>0</v>
      </c>
      <c r="CV197" s="2">
        <f t="shared" si="171"/>
        <v>0</v>
      </c>
      <c r="CW197" s="2">
        <f t="shared" si="172"/>
        <v>0</v>
      </c>
      <c r="CX197" s="2">
        <f t="shared" si="173"/>
        <v>0</v>
      </c>
      <c r="CY197" s="2">
        <f t="shared" si="174"/>
        <v>0</v>
      </c>
      <c r="CZ197" s="2">
        <f t="shared" si="175"/>
        <v>0</v>
      </c>
      <c r="DA197" s="2"/>
      <c r="DB197" s="2"/>
      <c r="DC197" s="2" t="s">
        <v>3</v>
      </c>
      <c r="DD197" s="2" t="s">
        <v>3</v>
      </c>
      <c r="DE197" s="2" t="s">
        <v>3</v>
      </c>
      <c r="DF197" s="2" t="s">
        <v>3</v>
      </c>
      <c r="DG197" s="2" t="s">
        <v>3</v>
      </c>
      <c r="DH197" s="2" t="s">
        <v>3</v>
      </c>
      <c r="DI197" s="2" t="s">
        <v>3</v>
      </c>
      <c r="DJ197" s="2" t="s">
        <v>3</v>
      </c>
      <c r="DK197" s="2" t="s">
        <v>3</v>
      </c>
      <c r="DL197" s="2" t="s">
        <v>3</v>
      </c>
      <c r="DM197" s="2" t="s">
        <v>3</v>
      </c>
      <c r="DN197" s="2">
        <v>104</v>
      </c>
      <c r="DO197" s="2">
        <v>70</v>
      </c>
      <c r="DP197" s="2">
        <v>1.0469999999999999</v>
      </c>
      <c r="DQ197" s="2">
        <v>1</v>
      </c>
      <c r="DR197" s="2"/>
      <c r="DS197" s="2"/>
      <c r="DT197" s="2"/>
      <c r="DU197" s="2">
        <v>1005</v>
      </c>
      <c r="DV197" s="2" t="s">
        <v>101</v>
      </c>
      <c r="DW197" s="2" t="s">
        <v>101</v>
      </c>
      <c r="DX197" s="2">
        <v>1</v>
      </c>
      <c r="DY197" s="2"/>
      <c r="DZ197" s="2"/>
      <c r="EA197" s="2"/>
      <c r="EB197" s="2"/>
      <c r="EC197" s="2"/>
      <c r="ED197" s="2"/>
      <c r="EE197" s="2">
        <v>44846599</v>
      </c>
      <c r="EF197" s="2">
        <v>30</v>
      </c>
      <c r="EG197" s="2" t="s">
        <v>38</v>
      </c>
      <c r="EH197" s="2">
        <v>0</v>
      </c>
      <c r="EI197" s="2" t="s">
        <v>3</v>
      </c>
      <c r="EJ197" s="2">
        <v>1</v>
      </c>
      <c r="EK197" s="2">
        <v>92</v>
      </c>
      <c r="EL197" s="2" t="s">
        <v>232</v>
      </c>
      <c r="EM197" s="2" t="s">
        <v>233</v>
      </c>
      <c r="EN197" s="2"/>
      <c r="EO197" s="2" t="s">
        <v>3</v>
      </c>
      <c r="EP197" s="2"/>
      <c r="EQ197" s="2">
        <v>0</v>
      </c>
      <c r="ER197" s="2">
        <v>92.02</v>
      </c>
      <c r="ES197" s="2">
        <v>92.02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/>
      <c r="EZ197" s="2"/>
      <c r="FA197" s="2"/>
      <c r="FB197" s="2"/>
      <c r="FC197" s="2"/>
      <c r="FD197" s="2"/>
      <c r="FE197" s="2"/>
      <c r="FF197" s="2"/>
      <c r="FG197" s="2"/>
      <c r="FH197" s="2"/>
      <c r="FI197" s="2"/>
      <c r="FJ197" s="2"/>
      <c r="FK197" s="2"/>
      <c r="FL197" s="2"/>
      <c r="FM197" s="2"/>
      <c r="FN197" s="2"/>
      <c r="FO197" s="2"/>
      <c r="FP197" s="2"/>
      <c r="FQ197" s="2">
        <v>0</v>
      </c>
      <c r="FR197" s="2">
        <f t="shared" si="176"/>
        <v>0</v>
      </c>
      <c r="FS197" s="2">
        <v>0</v>
      </c>
      <c r="FT197" s="2"/>
      <c r="FU197" s="2"/>
      <c r="FV197" s="2"/>
      <c r="FW197" s="2"/>
      <c r="FX197" s="2">
        <v>104</v>
      </c>
      <c r="FY197" s="2">
        <v>70</v>
      </c>
      <c r="FZ197" s="2"/>
      <c r="GA197" s="2" t="s">
        <v>3</v>
      </c>
      <c r="GB197" s="2"/>
      <c r="GC197" s="2"/>
      <c r="GD197" s="2">
        <v>0</v>
      </c>
      <c r="GE197" s="2"/>
      <c r="GF197" s="2">
        <v>1213652254</v>
      </c>
      <c r="GG197" s="2">
        <v>2</v>
      </c>
      <c r="GH197" s="2">
        <v>1</v>
      </c>
      <c r="GI197" s="2">
        <v>3</v>
      </c>
      <c r="GJ197" s="2">
        <v>0</v>
      </c>
      <c r="GK197" s="2">
        <f>ROUND(R197*(R12)/100,2)</f>
        <v>0</v>
      </c>
      <c r="GL197" s="2">
        <f t="shared" si="177"/>
        <v>0</v>
      </c>
      <c r="GM197" s="2">
        <f t="shared" si="178"/>
        <v>168.95</v>
      </c>
      <c r="GN197" s="2">
        <f t="shared" si="179"/>
        <v>168.95</v>
      </c>
      <c r="GO197" s="2">
        <f t="shared" si="180"/>
        <v>0</v>
      </c>
      <c r="GP197" s="2">
        <f t="shared" si="181"/>
        <v>0</v>
      </c>
      <c r="GQ197" s="2"/>
      <c r="GR197" s="2">
        <v>0</v>
      </c>
      <c r="GS197" s="2">
        <v>3</v>
      </c>
      <c r="GT197" s="2">
        <v>0</v>
      </c>
      <c r="GU197" s="2" t="s">
        <v>3</v>
      </c>
      <c r="GV197" s="2">
        <f t="shared" si="182"/>
        <v>0</v>
      </c>
      <c r="GW197" s="2">
        <v>1</v>
      </c>
      <c r="GX197" s="2">
        <f t="shared" si="183"/>
        <v>0</v>
      </c>
      <c r="GY197" s="2"/>
      <c r="GZ197" s="2"/>
      <c r="HA197" s="2">
        <v>0</v>
      </c>
      <c r="HB197" s="2">
        <v>0</v>
      </c>
      <c r="HC197" s="2"/>
      <c r="HD197" s="2"/>
      <c r="HE197" s="2"/>
      <c r="HF197" s="2"/>
      <c r="HG197" s="2"/>
      <c r="HH197" s="2"/>
      <c r="HI197" s="2"/>
      <c r="HJ197" s="2"/>
      <c r="HK197" s="2"/>
      <c r="HL197" s="2"/>
      <c r="HM197" s="2"/>
      <c r="HN197" s="2"/>
      <c r="HO197" s="2"/>
      <c r="HP197" s="2"/>
      <c r="HQ197" s="2"/>
      <c r="HR197" s="2"/>
      <c r="HS197" s="2"/>
      <c r="HT197" s="2"/>
      <c r="HU197" s="2"/>
      <c r="HV197" s="2"/>
      <c r="HW197" s="2"/>
      <c r="HX197" s="2"/>
      <c r="HY197" s="2"/>
      <c r="HZ197" s="2"/>
      <c r="IA197" s="2"/>
      <c r="IB197" s="2"/>
      <c r="IC197" s="2"/>
      <c r="ID197" s="2"/>
      <c r="IE197" s="2"/>
      <c r="IF197" s="2"/>
      <c r="IG197" s="2"/>
      <c r="IH197" s="2"/>
      <c r="II197" s="2"/>
      <c r="IJ197" s="2"/>
      <c r="IK197" s="2">
        <v>0</v>
      </c>
      <c r="IL197" s="2"/>
      <c r="IM197" s="2"/>
      <c r="IN197" s="2"/>
      <c r="IO197" s="2"/>
      <c r="IP197" s="2"/>
      <c r="IQ197" s="2"/>
      <c r="IR197" s="2"/>
      <c r="IS197" s="2"/>
      <c r="IT197" s="2"/>
      <c r="IU197" s="2"/>
    </row>
    <row r="198" spans="1:255" x14ac:dyDescent="0.2">
      <c r="A198">
        <v>18</v>
      </c>
      <c r="B198">
        <v>1</v>
      </c>
      <c r="C198">
        <v>143</v>
      </c>
      <c r="E198" t="s">
        <v>242</v>
      </c>
      <c r="F198" t="s">
        <v>243</v>
      </c>
      <c r="G198" t="s">
        <v>244</v>
      </c>
      <c r="H198" t="s">
        <v>101</v>
      </c>
      <c r="I198">
        <f>I192*J198</f>
        <v>1.8360000000000001</v>
      </c>
      <c r="J198">
        <v>102.00000000000001</v>
      </c>
      <c r="O198">
        <f t="shared" si="150"/>
        <v>740</v>
      </c>
      <c r="P198">
        <f t="shared" si="151"/>
        <v>740</v>
      </c>
      <c r="Q198">
        <f t="shared" si="152"/>
        <v>0</v>
      </c>
      <c r="R198">
        <f t="shared" si="153"/>
        <v>0</v>
      </c>
      <c r="S198">
        <f t="shared" si="154"/>
        <v>0</v>
      </c>
      <c r="T198">
        <f t="shared" si="155"/>
        <v>0</v>
      </c>
      <c r="U198">
        <f t="shared" si="156"/>
        <v>0</v>
      </c>
      <c r="V198">
        <f t="shared" si="157"/>
        <v>0</v>
      </c>
      <c r="W198">
        <f t="shared" si="158"/>
        <v>0</v>
      </c>
      <c r="X198">
        <f t="shared" si="159"/>
        <v>0</v>
      </c>
      <c r="Y198">
        <f t="shared" si="160"/>
        <v>0</v>
      </c>
      <c r="AA198">
        <v>45037307</v>
      </c>
      <c r="AB198">
        <f t="shared" si="161"/>
        <v>92.02</v>
      </c>
      <c r="AC198">
        <f t="shared" si="162"/>
        <v>92.02</v>
      </c>
      <c r="AD198">
        <f t="shared" si="186"/>
        <v>0</v>
      </c>
      <c r="AE198">
        <f t="shared" si="186"/>
        <v>0</v>
      </c>
      <c r="AF198">
        <f t="shared" si="186"/>
        <v>0</v>
      </c>
      <c r="AG198">
        <f t="shared" si="163"/>
        <v>0</v>
      </c>
      <c r="AH198">
        <f t="shared" si="187"/>
        <v>0</v>
      </c>
      <c r="AI198">
        <f t="shared" si="187"/>
        <v>0</v>
      </c>
      <c r="AJ198">
        <f t="shared" si="164"/>
        <v>0</v>
      </c>
      <c r="AK198">
        <v>92.02</v>
      </c>
      <c r="AL198">
        <v>92.02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0</v>
      </c>
      <c r="AU198">
        <v>0</v>
      </c>
      <c r="AV198">
        <v>1</v>
      </c>
      <c r="AW198">
        <v>1</v>
      </c>
      <c r="AZ198">
        <v>1</v>
      </c>
      <c r="BA198">
        <v>1</v>
      </c>
      <c r="BB198">
        <v>1</v>
      </c>
      <c r="BC198">
        <v>4.38</v>
      </c>
      <c r="BD198" t="s">
        <v>3</v>
      </c>
      <c r="BE198" t="s">
        <v>3</v>
      </c>
      <c r="BF198" t="s">
        <v>3</v>
      </c>
      <c r="BG198" t="s">
        <v>3</v>
      </c>
      <c r="BH198">
        <v>3</v>
      </c>
      <c r="BI198">
        <v>1</v>
      </c>
      <c r="BJ198" t="s">
        <v>245</v>
      </c>
      <c r="BM198">
        <v>92</v>
      </c>
      <c r="BN198">
        <v>7156650</v>
      </c>
      <c r="BO198" t="s">
        <v>243</v>
      </c>
      <c r="BP198">
        <v>1</v>
      </c>
      <c r="BQ198">
        <v>30</v>
      </c>
      <c r="BR198">
        <v>0</v>
      </c>
      <c r="BS198">
        <v>1</v>
      </c>
      <c r="BT198">
        <v>1</v>
      </c>
      <c r="BU198">
        <v>1</v>
      </c>
      <c r="BV198">
        <v>1</v>
      </c>
      <c r="BW198">
        <v>1</v>
      </c>
      <c r="BX198">
        <v>1</v>
      </c>
      <c r="BY198" t="s">
        <v>3</v>
      </c>
      <c r="BZ198">
        <v>0</v>
      </c>
      <c r="CA198">
        <v>0</v>
      </c>
      <c r="CF198">
        <v>0</v>
      </c>
      <c r="CG198">
        <v>0</v>
      </c>
      <c r="CM198">
        <v>0</v>
      </c>
      <c r="CN198" t="s">
        <v>3</v>
      </c>
      <c r="CO198">
        <v>0</v>
      </c>
      <c r="CP198">
        <f t="shared" si="165"/>
        <v>740</v>
      </c>
      <c r="CQ198">
        <f t="shared" si="166"/>
        <v>403.04759999999999</v>
      </c>
      <c r="CR198">
        <f t="shared" si="167"/>
        <v>0</v>
      </c>
      <c r="CS198">
        <f t="shared" si="168"/>
        <v>0</v>
      </c>
      <c r="CT198">
        <f t="shared" si="169"/>
        <v>0</v>
      </c>
      <c r="CU198">
        <f t="shared" si="170"/>
        <v>0</v>
      </c>
      <c r="CV198">
        <f t="shared" si="171"/>
        <v>0</v>
      </c>
      <c r="CW198">
        <f t="shared" si="172"/>
        <v>0</v>
      </c>
      <c r="CX198">
        <f t="shared" si="173"/>
        <v>0</v>
      </c>
      <c r="CY198">
        <f t="shared" si="174"/>
        <v>0</v>
      </c>
      <c r="CZ198">
        <f t="shared" si="175"/>
        <v>0</v>
      </c>
      <c r="DC198" t="s">
        <v>3</v>
      </c>
      <c r="DD198" t="s">
        <v>3</v>
      </c>
      <c r="DE198" t="s">
        <v>3</v>
      </c>
      <c r="DF198" t="s">
        <v>3</v>
      </c>
      <c r="DG198" t="s">
        <v>3</v>
      </c>
      <c r="DH198" t="s">
        <v>3</v>
      </c>
      <c r="DI198" t="s">
        <v>3</v>
      </c>
      <c r="DJ198" t="s">
        <v>3</v>
      </c>
      <c r="DK198" t="s">
        <v>3</v>
      </c>
      <c r="DL198" t="s">
        <v>3</v>
      </c>
      <c r="DM198" t="s">
        <v>3</v>
      </c>
      <c r="DN198">
        <v>104</v>
      </c>
      <c r="DO198">
        <v>70</v>
      </c>
      <c r="DP198">
        <v>1.0469999999999999</v>
      </c>
      <c r="DQ198">
        <v>1</v>
      </c>
      <c r="DU198">
        <v>1005</v>
      </c>
      <c r="DV198" t="s">
        <v>101</v>
      </c>
      <c r="DW198" t="s">
        <v>101</v>
      </c>
      <c r="DX198">
        <v>1</v>
      </c>
      <c r="EE198">
        <v>44846599</v>
      </c>
      <c r="EF198">
        <v>30</v>
      </c>
      <c r="EG198" t="s">
        <v>38</v>
      </c>
      <c r="EH198">
        <v>0</v>
      </c>
      <c r="EI198" t="s">
        <v>3</v>
      </c>
      <c r="EJ198">
        <v>1</v>
      </c>
      <c r="EK198">
        <v>92</v>
      </c>
      <c r="EL198" t="s">
        <v>232</v>
      </c>
      <c r="EM198" t="s">
        <v>233</v>
      </c>
      <c r="EO198" t="s">
        <v>3</v>
      </c>
      <c r="EQ198">
        <v>0</v>
      </c>
      <c r="ER198">
        <v>92.02</v>
      </c>
      <c r="ES198">
        <v>92.02</v>
      </c>
      <c r="ET198">
        <v>0</v>
      </c>
      <c r="EU198">
        <v>0</v>
      </c>
      <c r="EV198">
        <v>0</v>
      </c>
      <c r="EW198">
        <v>0</v>
      </c>
      <c r="EX198">
        <v>0</v>
      </c>
      <c r="FQ198">
        <v>0</v>
      </c>
      <c r="FR198">
        <f t="shared" si="176"/>
        <v>0</v>
      </c>
      <c r="FS198">
        <v>0</v>
      </c>
      <c r="FX198">
        <v>104</v>
      </c>
      <c r="FY198">
        <v>70</v>
      </c>
      <c r="GA198" t="s">
        <v>3</v>
      </c>
      <c r="GD198">
        <v>0</v>
      </c>
      <c r="GF198">
        <v>1213652254</v>
      </c>
      <c r="GG198">
        <v>2</v>
      </c>
      <c r="GH198">
        <v>1</v>
      </c>
      <c r="GI198">
        <v>3</v>
      </c>
      <c r="GJ198">
        <v>0</v>
      </c>
      <c r="GK198">
        <f>ROUND(R198*(S12)/100,2)</f>
        <v>0</v>
      </c>
      <c r="GL198">
        <f t="shared" si="177"/>
        <v>0</v>
      </c>
      <c r="GM198">
        <f t="shared" si="178"/>
        <v>740</v>
      </c>
      <c r="GN198">
        <f t="shared" si="179"/>
        <v>740</v>
      </c>
      <c r="GO198">
        <f t="shared" si="180"/>
        <v>0</v>
      </c>
      <c r="GP198">
        <f t="shared" si="181"/>
        <v>0</v>
      </c>
      <c r="GR198">
        <v>0</v>
      </c>
      <c r="GS198">
        <v>3</v>
      </c>
      <c r="GT198">
        <v>0</v>
      </c>
      <c r="GU198" t="s">
        <v>3</v>
      </c>
      <c r="GV198">
        <f t="shared" si="182"/>
        <v>0</v>
      </c>
      <c r="GW198">
        <v>1</v>
      </c>
      <c r="GX198">
        <f t="shared" si="183"/>
        <v>0</v>
      </c>
      <c r="HA198">
        <v>0</v>
      </c>
      <c r="HB198">
        <v>0</v>
      </c>
      <c r="IK198">
        <v>0</v>
      </c>
    </row>
    <row r="199" spans="1:255" x14ac:dyDescent="0.2">
      <c r="A199" s="2">
        <v>17</v>
      </c>
      <c r="B199" s="2">
        <v>1</v>
      </c>
      <c r="C199" s="2">
        <f>ROW(SmtRes!A151)</f>
        <v>151</v>
      </c>
      <c r="D199" s="2">
        <f>ROW(EtalonRes!A150)</f>
        <v>150</v>
      </c>
      <c r="E199" s="2" t="s">
        <v>246</v>
      </c>
      <c r="F199" s="2" t="s">
        <v>247</v>
      </c>
      <c r="G199" s="2" t="s">
        <v>248</v>
      </c>
      <c r="H199" s="2" t="s">
        <v>249</v>
      </c>
      <c r="I199" s="2">
        <f>ROUND(15/100,9)</f>
        <v>0.15</v>
      </c>
      <c r="J199" s="2">
        <v>0</v>
      </c>
      <c r="K199" s="2"/>
      <c r="L199" s="2"/>
      <c r="M199" s="2"/>
      <c r="N199" s="2"/>
      <c r="O199" s="2">
        <f t="shared" si="150"/>
        <v>103.48</v>
      </c>
      <c r="P199" s="2">
        <f t="shared" si="151"/>
        <v>0</v>
      </c>
      <c r="Q199" s="2">
        <f t="shared" si="152"/>
        <v>15.21</v>
      </c>
      <c r="R199" s="2">
        <f t="shared" si="153"/>
        <v>3.59</v>
      </c>
      <c r="S199" s="2">
        <f t="shared" si="154"/>
        <v>88.27</v>
      </c>
      <c r="T199" s="2">
        <f t="shared" si="155"/>
        <v>0</v>
      </c>
      <c r="U199" s="2">
        <f t="shared" si="156"/>
        <v>7.1587499999999986</v>
      </c>
      <c r="V199" s="2">
        <f t="shared" si="157"/>
        <v>0</v>
      </c>
      <c r="W199" s="2">
        <f t="shared" si="158"/>
        <v>0</v>
      </c>
      <c r="X199" s="2">
        <f t="shared" si="159"/>
        <v>0</v>
      </c>
      <c r="Y199" s="2">
        <f t="shared" si="160"/>
        <v>0</v>
      </c>
      <c r="Z199" s="2"/>
      <c r="AA199" s="2">
        <v>45037306</v>
      </c>
      <c r="AB199" s="2">
        <f t="shared" si="161"/>
        <v>689.86850000000004</v>
      </c>
      <c r="AC199" s="2">
        <f t="shared" si="162"/>
        <v>0</v>
      </c>
      <c r="AD199" s="2">
        <f>ROUND(((ET199*1.25)),6)</f>
        <v>101.425</v>
      </c>
      <c r="AE199" s="2">
        <f>ROUND(((EU199*1.25)),6)</f>
        <v>23.962499999999999</v>
      </c>
      <c r="AF199" s="2">
        <f>ROUND(((EV199*1.15)),6)</f>
        <v>588.44349999999997</v>
      </c>
      <c r="AG199" s="2">
        <f t="shared" si="163"/>
        <v>0</v>
      </c>
      <c r="AH199" s="2">
        <f>((EW199*1.15))</f>
        <v>47.724999999999994</v>
      </c>
      <c r="AI199" s="2">
        <f>((EX199*1.25))</f>
        <v>0</v>
      </c>
      <c r="AJ199" s="2">
        <f t="shared" si="164"/>
        <v>0</v>
      </c>
      <c r="AK199" s="2">
        <v>592.83000000000004</v>
      </c>
      <c r="AL199" s="2">
        <v>0</v>
      </c>
      <c r="AM199" s="2">
        <v>81.14</v>
      </c>
      <c r="AN199" s="2">
        <v>19.170000000000002</v>
      </c>
      <c r="AO199" s="2">
        <v>511.69</v>
      </c>
      <c r="AP199" s="2">
        <v>0</v>
      </c>
      <c r="AQ199" s="2">
        <v>41.5</v>
      </c>
      <c r="AR199" s="2">
        <v>0</v>
      </c>
      <c r="AS199" s="2">
        <v>0</v>
      </c>
      <c r="AT199" s="2">
        <v>0</v>
      </c>
      <c r="AU199" s="2">
        <v>0</v>
      </c>
      <c r="AV199" s="2">
        <v>1</v>
      </c>
      <c r="AW199" s="2">
        <v>1</v>
      </c>
      <c r="AX199" s="2"/>
      <c r="AY199" s="2"/>
      <c r="AZ199" s="2">
        <v>1</v>
      </c>
      <c r="BA199" s="2">
        <v>1</v>
      </c>
      <c r="BB199" s="2">
        <v>1</v>
      </c>
      <c r="BC199" s="2">
        <v>1</v>
      </c>
      <c r="BD199" s="2" t="s">
        <v>3</v>
      </c>
      <c r="BE199" s="2" t="s">
        <v>3</v>
      </c>
      <c r="BF199" s="2" t="s">
        <v>3</v>
      </c>
      <c r="BG199" s="2" t="s">
        <v>3</v>
      </c>
      <c r="BH199" s="2">
        <v>0</v>
      </c>
      <c r="BI199" s="2">
        <v>1</v>
      </c>
      <c r="BJ199" s="2" t="s">
        <v>250</v>
      </c>
      <c r="BK199" s="2"/>
      <c r="BL199" s="2"/>
      <c r="BM199" s="2">
        <v>61</v>
      </c>
      <c r="BN199" s="2">
        <v>7156650</v>
      </c>
      <c r="BO199" s="2" t="s">
        <v>3</v>
      </c>
      <c r="BP199" s="2">
        <v>0</v>
      </c>
      <c r="BQ199" s="2">
        <v>30</v>
      </c>
      <c r="BR199" s="2">
        <v>0</v>
      </c>
      <c r="BS199" s="2">
        <v>1</v>
      </c>
      <c r="BT199" s="2">
        <v>1</v>
      </c>
      <c r="BU199" s="2">
        <v>1</v>
      </c>
      <c r="BV199" s="2">
        <v>1</v>
      </c>
      <c r="BW199" s="2">
        <v>1</v>
      </c>
      <c r="BX199" s="2">
        <v>1</v>
      </c>
      <c r="BY199" s="2" t="s">
        <v>3</v>
      </c>
      <c r="BZ199" s="2">
        <v>0</v>
      </c>
      <c r="CA199" s="2">
        <v>0</v>
      </c>
      <c r="CB199" s="2"/>
      <c r="CC199" s="2"/>
      <c r="CD199" s="2"/>
      <c r="CE199" s="2"/>
      <c r="CF199" s="2">
        <v>0</v>
      </c>
      <c r="CG199" s="2">
        <v>0</v>
      </c>
      <c r="CH199" s="2"/>
      <c r="CI199" s="2"/>
      <c r="CJ199" s="2"/>
      <c r="CK199" s="2"/>
      <c r="CL199" s="2"/>
      <c r="CM199" s="2">
        <v>0</v>
      </c>
      <c r="CN199" s="2" t="s">
        <v>3</v>
      </c>
      <c r="CO199" s="2">
        <v>0</v>
      </c>
      <c r="CP199" s="2">
        <f t="shared" si="165"/>
        <v>103.47999999999999</v>
      </c>
      <c r="CQ199" s="2">
        <f t="shared" si="166"/>
        <v>0</v>
      </c>
      <c r="CR199" s="2">
        <f t="shared" si="167"/>
        <v>101.425</v>
      </c>
      <c r="CS199" s="2">
        <f t="shared" si="168"/>
        <v>23.962499999999999</v>
      </c>
      <c r="CT199" s="2">
        <f t="shared" si="169"/>
        <v>588.44349999999997</v>
      </c>
      <c r="CU199" s="2">
        <f t="shared" si="170"/>
        <v>0</v>
      </c>
      <c r="CV199" s="2">
        <f t="shared" si="171"/>
        <v>47.724999999999994</v>
      </c>
      <c r="CW199" s="2">
        <f t="shared" si="172"/>
        <v>0</v>
      </c>
      <c r="CX199" s="2">
        <f t="shared" si="173"/>
        <v>0</v>
      </c>
      <c r="CY199" s="2">
        <f t="shared" si="174"/>
        <v>0</v>
      </c>
      <c r="CZ199" s="2">
        <f t="shared" si="175"/>
        <v>0</v>
      </c>
      <c r="DA199" s="2"/>
      <c r="DB199" s="2"/>
      <c r="DC199" s="2" t="s">
        <v>3</v>
      </c>
      <c r="DD199" s="2" t="s">
        <v>3</v>
      </c>
      <c r="DE199" s="2" t="s">
        <v>36</v>
      </c>
      <c r="DF199" s="2" t="s">
        <v>36</v>
      </c>
      <c r="DG199" s="2" t="s">
        <v>37</v>
      </c>
      <c r="DH199" s="2" t="s">
        <v>3</v>
      </c>
      <c r="DI199" s="2" t="s">
        <v>37</v>
      </c>
      <c r="DJ199" s="2" t="s">
        <v>36</v>
      </c>
      <c r="DK199" s="2" t="s">
        <v>3</v>
      </c>
      <c r="DL199" s="2" t="s">
        <v>3</v>
      </c>
      <c r="DM199" s="2" t="s">
        <v>3</v>
      </c>
      <c r="DN199" s="2">
        <v>91</v>
      </c>
      <c r="DO199" s="2">
        <v>70</v>
      </c>
      <c r="DP199" s="2">
        <v>1.0469999999999999</v>
      </c>
      <c r="DQ199" s="2">
        <v>1</v>
      </c>
      <c r="DR199" s="2"/>
      <c r="DS199" s="2"/>
      <c r="DT199" s="2"/>
      <c r="DU199" s="2">
        <v>1013</v>
      </c>
      <c r="DV199" s="2" t="s">
        <v>249</v>
      </c>
      <c r="DW199" s="2" t="s">
        <v>249</v>
      </c>
      <c r="DX199" s="2">
        <v>1</v>
      </c>
      <c r="DY199" s="2"/>
      <c r="DZ199" s="2"/>
      <c r="EA199" s="2"/>
      <c r="EB199" s="2"/>
      <c r="EC199" s="2"/>
      <c r="ED199" s="2"/>
      <c r="EE199" s="2">
        <v>44846568</v>
      </c>
      <c r="EF199" s="2">
        <v>30</v>
      </c>
      <c r="EG199" s="2" t="s">
        <v>38</v>
      </c>
      <c r="EH199" s="2">
        <v>0</v>
      </c>
      <c r="EI199" s="2" t="s">
        <v>3</v>
      </c>
      <c r="EJ199" s="2">
        <v>1</v>
      </c>
      <c r="EK199" s="2">
        <v>61</v>
      </c>
      <c r="EL199" s="2" t="s">
        <v>251</v>
      </c>
      <c r="EM199" s="2" t="s">
        <v>252</v>
      </c>
      <c r="EN199" s="2"/>
      <c r="EO199" s="2" t="s">
        <v>3</v>
      </c>
      <c r="EP199" s="2"/>
      <c r="EQ199" s="2">
        <v>131072</v>
      </c>
      <c r="ER199" s="2">
        <v>592.83000000000004</v>
      </c>
      <c r="ES199" s="2">
        <v>0</v>
      </c>
      <c r="ET199" s="2">
        <v>81.14</v>
      </c>
      <c r="EU199" s="2">
        <v>19.170000000000002</v>
      </c>
      <c r="EV199" s="2">
        <v>511.69</v>
      </c>
      <c r="EW199" s="2">
        <v>41.5</v>
      </c>
      <c r="EX199" s="2">
        <v>0</v>
      </c>
      <c r="EY199" s="2">
        <v>0</v>
      </c>
      <c r="EZ199" s="2"/>
      <c r="FA199" s="2"/>
      <c r="FB199" s="2"/>
      <c r="FC199" s="2"/>
      <c r="FD199" s="2"/>
      <c r="FE199" s="2"/>
      <c r="FF199" s="2"/>
      <c r="FG199" s="2"/>
      <c r="FH199" s="2"/>
      <c r="FI199" s="2"/>
      <c r="FJ199" s="2"/>
      <c r="FK199" s="2"/>
      <c r="FL199" s="2"/>
      <c r="FM199" s="2"/>
      <c r="FN199" s="2"/>
      <c r="FO199" s="2"/>
      <c r="FP199" s="2"/>
      <c r="FQ199" s="2">
        <v>0</v>
      </c>
      <c r="FR199" s="2">
        <f t="shared" si="176"/>
        <v>0</v>
      </c>
      <c r="FS199" s="2">
        <v>0</v>
      </c>
      <c r="FT199" s="2"/>
      <c r="FU199" s="2"/>
      <c r="FV199" s="2"/>
      <c r="FW199" s="2"/>
      <c r="FX199" s="2">
        <v>91</v>
      </c>
      <c r="FY199" s="2">
        <v>70</v>
      </c>
      <c r="FZ199" s="2"/>
      <c r="GA199" s="2" t="s">
        <v>3</v>
      </c>
      <c r="GB199" s="2"/>
      <c r="GC199" s="2"/>
      <c r="GD199" s="2">
        <v>0</v>
      </c>
      <c r="GE199" s="2"/>
      <c r="GF199" s="2">
        <v>-1397682882</v>
      </c>
      <c r="GG199" s="2">
        <v>2</v>
      </c>
      <c r="GH199" s="2">
        <v>1</v>
      </c>
      <c r="GI199" s="2">
        <v>3</v>
      </c>
      <c r="GJ199" s="2">
        <v>0</v>
      </c>
      <c r="GK199" s="2">
        <f>ROUND(R199*(R12)/100,2)</f>
        <v>6.46</v>
      </c>
      <c r="GL199" s="2">
        <f t="shared" si="177"/>
        <v>0</v>
      </c>
      <c r="GM199" s="2">
        <f t="shared" si="178"/>
        <v>109.94</v>
      </c>
      <c r="GN199" s="2">
        <f t="shared" si="179"/>
        <v>109.94</v>
      </c>
      <c r="GO199" s="2">
        <f t="shared" si="180"/>
        <v>0</v>
      </c>
      <c r="GP199" s="2">
        <f t="shared" si="181"/>
        <v>0</v>
      </c>
      <c r="GQ199" s="2"/>
      <c r="GR199" s="2">
        <v>0</v>
      </c>
      <c r="GS199" s="2">
        <v>3</v>
      </c>
      <c r="GT199" s="2">
        <v>0</v>
      </c>
      <c r="GU199" s="2" t="s">
        <v>3</v>
      </c>
      <c r="GV199" s="2">
        <f t="shared" si="182"/>
        <v>0</v>
      </c>
      <c r="GW199" s="2">
        <v>1</v>
      </c>
      <c r="GX199" s="2">
        <f t="shared" si="183"/>
        <v>0</v>
      </c>
      <c r="GY199" s="2"/>
      <c r="GZ199" s="2"/>
      <c r="HA199" s="2">
        <v>0</v>
      </c>
      <c r="HB199" s="2">
        <v>0</v>
      </c>
      <c r="HC199" s="2"/>
      <c r="HD199" s="2"/>
      <c r="HE199" s="2"/>
      <c r="HF199" s="2"/>
      <c r="HG199" s="2"/>
      <c r="HH199" s="2"/>
      <c r="HI199" s="2"/>
      <c r="HJ199" s="2"/>
      <c r="HK199" s="2"/>
      <c r="HL199" s="2"/>
      <c r="HM199" s="2"/>
      <c r="HN199" s="2"/>
      <c r="HO199" s="2"/>
      <c r="HP199" s="2"/>
      <c r="HQ199" s="2"/>
      <c r="HR199" s="2"/>
      <c r="HS199" s="2"/>
      <c r="HT199" s="2"/>
      <c r="HU199" s="2"/>
      <c r="HV199" s="2"/>
      <c r="HW199" s="2"/>
      <c r="HX199" s="2"/>
      <c r="HY199" s="2"/>
      <c r="HZ199" s="2"/>
      <c r="IA199" s="2"/>
      <c r="IB199" s="2"/>
      <c r="IC199" s="2"/>
      <c r="ID199" s="2"/>
      <c r="IE199" s="2"/>
      <c r="IF199" s="2"/>
      <c r="IG199" s="2"/>
      <c r="IH199" s="2"/>
      <c r="II199" s="2"/>
      <c r="IJ199" s="2"/>
      <c r="IK199" s="2">
        <v>0</v>
      </c>
      <c r="IL199" s="2"/>
      <c r="IM199" s="2"/>
      <c r="IN199" s="2"/>
      <c r="IO199" s="2"/>
      <c r="IP199" s="2"/>
      <c r="IQ199" s="2"/>
      <c r="IR199" s="2"/>
      <c r="IS199" s="2"/>
      <c r="IT199" s="2"/>
      <c r="IU199" s="2"/>
    </row>
    <row r="200" spans="1:255" x14ac:dyDescent="0.2">
      <c r="A200">
        <v>17</v>
      </c>
      <c r="B200">
        <v>1</v>
      </c>
      <c r="C200">
        <f>ROW(SmtRes!A156)</f>
        <v>156</v>
      </c>
      <c r="D200">
        <f>ROW(EtalonRes!A154)</f>
        <v>154</v>
      </c>
      <c r="E200" t="s">
        <v>246</v>
      </c>
      <c r="F200" t="s">
        <v>247</v>
      </c>
      <c r="G200" t="s">
        <v>248</v>
      </c>
      <c r="H200" t="s">
        <v>249</v>
      </c>
      <c r="I200">
        <f>ROUND(15/100,9)</f>
        <v>0.15</v>
      </c>
      <c r="J200">
        <v>0</v>
      </c>
      <c r="O200">
        <f t="shared" si="150"/>
        <v>1936.8</v>
      </c>
      <c r="P200">
        <f t="shared" si="151"/>
        <v>0</v>
      </c>
      <c r="Q200">
        <f t="shared" si="152"/>
        <v>136.16</v>
      </c>
      <c r="R200">
        <f t="shared" si="153"/>
        <v>73.33</v>
      </c>
      <c r="S200">
        <f t="shared" si="154"/>
        <v>1800.64</v>
      </c>
      <c r="T200">
        <f t="shared" si="155"/>
        <v>0</v>
      </c>
      <c r="U200">
        <f t="shared" si="156"/>
        <v>7.1587499999999986</v>
      </c>
      <c r="V200">
        <f t="shared" si="157"/>
        <v>0</v>
      </c>
      <c r="W200">
        <f t="shared" si="158"/>
        <v>0</v>
      </c>
      <c r="X200">
        <f t="shared" si="159"/>
        <v>1314.47</v>
      </c>
      <c r="Y200">
        <f t="shared" si="160"/>
        <v>738.26</v>
      </c>
      <c r="AA200">
        <v>45037307</v>
      </c>
      <c r="AB200">
        <f t="shared" si="161"/>
        <v>689.86850000000004</v>
      </c>
      <c r="AC200">
        <f t="shared" si="162"/>
        <v>0</v>
      </c>
      <c r="AD200">
        <f>ROUND(((ET200*1.25)),6)</f>
        <v>101.425</v>
      </c>
      <c r="AE200">
        <f>ROUND(((EU200*1.25)),6)</f>
        <v>23.962499999999999</v>
      </c>
      <c r="AF200">
        <f>ROUND(((EV200*1.15)),6)</f>
        <v>588.44349999999997</v>
      </c>
      <c r="AG200">
        <f t="shared" si="163"/>
        <v>0</v>
      </c>
      <c r="AH200">
        <f>((EW200*1.15))</f>
        <v>47.724999999999994</v>
      </c>
      <c r="AI200">
        <f>((EX200*1.25))</f>
        <v>0</v>
      </c>
      <c r="AJ200">
        <f t="shared" si="164"/>
        <v>0</v>
      </c>
      <c r="AK200">
        <v>592.83000000000004</v>
      </c>
      <c r="AL200">
        <v>0</v>
      </c>
      <c r="AM200">
        <v>81.14</v>
      </c>
      <c r="AN200">
        <v>19.170000000000002</v>
      </c>
      <c r="AO200">
        <v>511.69</v>
      </c>
      <c r="AP200">
        <v>0</v>
      </c>
      <c r="AQ200">
        <v>41.5</v>
      </c>
      <c r="AR200">
        <v>0</v>
      </c>
      <c r="AS200">
        <v>0</v>
      </c>
      <c r="AT200">
        <v>73</v>
      </c>
      <c r="AU200">
        <v>41</v>
      </c>
      <c r="AV200">
        <v>1</v>
      </c>
      <c r="AW200">
        <v>1</v>
      </c>
      <c r="AZ200">
        <v>1</v>
      </c>
      <c r="BA200">
        <v>20.399999999999999</v>
      </c>
      <c r="BB200">
        <v>8.9499999999999993</v>
      </c>
      <c r="BC200">
        <v>1</v>
      </c>
      <c r="BD200" t="s">
        <v>3</v>
      </c>
      <c r="BE200" t="s">
        <v>3</v>
      </c>
      <c r="BF200" t="s">
        <v>3</v>
      </c>
      <c r="BG200" t="s">
        <v>3</v>
      </c>
      <c r="BH200">
        <v>0</v>
      </c>
      <c r="BI200">
        <v>1</v>
      </c>
      <c r="BJ200" t="s">
        <v>250</v>
      </c>
      <c r="BM200">
        <v>61</v>
      </c>
      <c r="BN200">
        <v>7156650</v>
      </c>
      <c r="BO200" t="s">
        <v>247</v>
      </c>
      <c r="BP200">
        <v>1</v>
      </c>
      <c r="BQ200">
        <v>30</v>
      </c>
      <c r="BR200">
        <v>0</v>
      </c>
      <c r="BS200">
        <v>20.399999999999999</v>
      </c>
      <c r="BT200">
        <v>1</v>
      </c>
      <c r="BU200">
        <v>1</v>
      </c>
      <c r="BV200">
        <v>1</v>
      </c>
      <c r="BW200">
        <v>1</v>
      </c>
      <c r="BX200">
        <v>1</v>
      </c>
      <c r="BY200" t="s">
        <v>3</v>
      </c>
      <c r="BZ200">
        <v>73</v>
      </c>
      <c r="CA200">
        <v>41</v>
      </c>
      <c r="CF200">
        <v>0</v>
      </c>
      <c r="CG200">
        <v>0</v>
      </c>
      <c r="CM200">
        <v>0</v>
      </c>
      <c r="CN200" t="s">
        <v>3</v>
      </c>
      <c r="CO200">
        <v>0</v>
      </c>
      <c r="CP200">
        <f t="shared" si="165"/>
        <v>1936.8000000000002</v>
      </c>
      <c r="CQ200">
        <f t="shared" si="166"/>
        <v>0</v>
      </c>
      <c r="CR200">
        <f t="shared" si="167"/>
        <v>907.75374999999985</v>
      </c>
      <c r="CS200">
        <f t="shared" si="168"/>
        <v>488.83499999999992</v>
      </c>
      <c r="CT200">
        <f t="shared" si="169"/>
        <v>12004.247399999998</v>
      </c>
      <c r="CU200">
        <f t="shared" si="170"/>
        <v>0</v>
      </c>
      <c r="CV200">
        <f t="shared" si="171"/>
        <v>47.724999999999994</v>
      </c>
      <c r="CW200">
        <f t="shared" si="172"/>
        <v>0</v>
      </c>
      <c r="CX200">
        <f t="shared" si="173"/>
        <v>0</v>
      </c>
      <c r="CY200">
        <f t="shared" si="174"/>
        <v>1314.4672</v>
      </c>
      <c r="CZ200">
        <f t="shared" si="175"/>
        <v>738.26239999999996</v>
      </c>
      <c r="DC200" t="s">
        <v>3</v>
      </c>
      <c r="DD200" t="s">
        <v>3</v>
      </c>
      <c r="DE200" t="s">
        <v>36</v>
      </c>
      <c r="DF200" t="s">
        <v>36</v>
      </c>
      <c r="DG200" t="s">
        <v>37</v>
      </c>
      <c r="DH200" t="s">
        <v>3</v>
      </c>
      <c r="DI200" t="s">
        <v>37</v>
      </c>
      <c r="DJ200" t="s">
        <v>36</v>
      </c>
      <c r="DK200" t="s">
        <v>3</v>
      </c>
      <c r="DL200" t="s">
        <v>3</v>
      </c>
      <c r="DM200" t="s">
        <v>3</v>
      </c>
      <c r="DN200">
        <v>91</v>
      </c>
      <c r="DO200">
        <v>70</v>
      </c>
      <c r="DP200">
        <v>1.0469999999999999</v>
      </c>
      <c r="DQ200">
        <v>1</v>
      </c>
      <c r="DU200">
        <v>1013</v>
      </c>
      <c r="DV200" t="s">
        <v>249</v>
      </c>
      <c r="DW200" t="s">
        <v>249</v>
      </c>
      <c r="DX200">
        <v>1</v>
      </c>
      <c r="EE200">
        <v>44846568</v>
      </c>
      <c r="EF200">
        <v>30</v>
      </c>
      <c r="EG200" t="s">
        <v>38</v>
      </c>
      <c r="EH200">
        <v>0</v>
      </c>
      <c r="EI200" t="s">
        <v>3</v>
      </c>
      <c r="EJ200">
        <v>1</v>
      </c>
      <c r="EK200">
        <v>61</v>
      </c>
      <c r="EL200" t="s">
        <v>251</v>
      </c>
      <c r="EM200" t="s">
        <v>252</v>
      </c>
      <c r="EO200" t="s">
        <v>3</v>
      </c>
      <c r="EQ200">
        <v>131072</v>
      </c>
      <c r="ER200">
        <v>592.83000000000004</v>
      </c>
      <c r="ES200">
        <v>0</v>
      </c>
      <c r="ET200">
        <v>81.14</v>
      </c>
      <c r="EU200">
        <v>19.170000000000002</v>
      </c>
      <c r="EV200">
        <v>511.69</v>
      </c>
      <c r="EW200">
        <v>41.5</v>
      </c>
      <c r="EX200">
        <v>0</v>
      </c>
      <c r="EY200">
        <v>0</v>
      </c>
      <c r="FQ200">
        <v>0</v>
      </c>
      <c r="FR200">
        <f t="shared" si="176"/>
        <v>0</v>
      </c>
      <c r="FS200">
        <v>0</v>
      </c>
      <c r="FX200">
        <v>91</v>
      </c>
      <c r="FY200">
        <v>70</v>
      </c>
      <c r="GA200" t="s">
        <v>3</v>
      </c>
      <c r="GD200">
        <v>0</v>
      </c>
      <c r="GF200">
        <v>-1397682882</v>
      </c>
      <c r="GG200">
        <v>2</v>
      </c>
      <c r="GH200">
        <v>1</v>
      </c>
      <c r="GI200">
        <v>3</v>
      </c>
      <c r="GJ200">
        <v>0</v>
      </c>
      <c r="GK200">
        <f>ROUND(R200*(S12)/100,2)</f>
        <v>123.19</v>
      </c>
      <c r="GL200">
        <f t="shared" si="177"/>
        <v>0</v>
      </c>
      <c r="GM200">
        <f t="shared" si="178"/>
        <v>4112.72</v>
      </c>
      <c r="GN200">
        <f t="shared" si="179"/>
        <v>4112.72</v>
      </c>
      <c r="GO200">
        <f t="shared" si="180"/>
        <v>0</v>
      </c>
      <c r="GP200">
        <f t="shared" si="181"/>
        <v>0</v>
      </c>
      <c r="GR200">
        <v>0</v>
      </c>
      <c r="GS200">
        <v>3</v>
      </c>
      <c r="GT200">
        <v>0</v>
      </c>
      <c r="GU200" t="s">
        <v>3</v>
      </c>
      <c r="GV200">
        <f t="shared" si="182"/>
        <v>0</v>
      </c>
      <c r="GW200">
        <v>1</v>
      </c>
      <c r="GX200">
        <f t="shared" si="183"/>
        <v>0</v>
      </c>
      <c r="HA200">
        <v>0</v>
      </c>
      <c r="HB200">
        <v>0</v>
      </c>
      <c r="IK200">
        <v>0</v>
      </c>
    </row>
    <row r="201" spans="1:255" x14ac:dyDescent="0.2">
      <c r="A201" s="2">
        <v>18</v>
      </c>
      <c r="B201" s="2">
        <v>1</v>
      </c>
      <c r="C201" s="2">
        <v>149</v>
      </c>
      <c r="D201" s="2"/>
      <c r="E201" s="2" t="s">
        <v>253</v>
      </c>
      <c r="F201" s="2" t="s">
        <v>254</v>
      </c>
      <c r="G201" s="2" t="s">
        <v>255</v>
      </c>
      <c r="H201" s="2" t="s">
        <v>29</v>
      </c>
      <c r="I201" s="2">
        <f>I199*J201</f>
        <v>2.2499999999999999E-2</v>
      </c>
      <c r="J201" s="2">
        <v>0.15</v>
      </c>
      <c r="K201" s="2"/>
      <c r="L201" s="2"/>
      <c r="M201" s="2"/>
      <c r="N201" s="2"/>
      <c r="O201" s="2">
        <f t="shared" si="150"/>
        <v>7.09</v>
      </c>
      <c r="P201" s="2">
        <f t="shared" si="151"/>
        <v>7.09</v>
      </c>
      <c r="Q201" s="2">
        <f t="shared" si="152"/>
        <v>0</v>
      </c>
      <c r="R201" s="2">
        <f t="shared" si="153"/>
        <v>0</v>
      </c>
      <c r="S201" s="2">
        <f t="shared" si="154"/>
        <v>0</v>
      </c>
      <c r="T201" s="2">
        <f t="shared" si="155"/>
        <v>0</v>
      </c>
      <c r="U201" s="2">
        <f t="shared" si="156"/>
        <v>0</v>
      </c>
      <c r="V201" s="2">
        <f t="shared" si="157"/>
        <v>0</v>
      </c>
      <c r="W201" s="2">
        <f t="shared" si="158"/>
        <v>0</v>
      </c>
      <c r="X201" s="2">
        <f t="shared" si="159"/>
        <v>0</v>
      </c>
      <c r="Y201" s="2">
        <f t="shared" si="160"/>
        <v>0</v>
      </c>
      <c r="Z201" s="2"/>
      <c r="AA201" s="2">
        <v>45037306</v>
      </c>
      <c r="AB201" s="2">
        <f t="shared" si="161"/>
        <v>315.2</v>
      </c>
      <c r="AC201" s="2">
        <f t="shared" si="162"/>
        <v>315.2</v>
      </c>
      <c r="AD201" s="2">
        <f t="shared" ref="AD201:AF206" si="188">ROUND((ET201),6)</f>
        <v>0</v>
      </c>
      <c r="AE201" s="2">
        <f t="shared" si="188"/>
        <v>0</v>
      </c>
      <c r="AF201" s="2">
        <f t="shared" si="188"/>
        <v>0</v>
      </c>
      <c r="AG201" s="2">
        <f t="shared" si="163"/>
        <v>0</v>
      </c>
      <c r="AH201" s="2">
        <f t="shared" ref="AH201:AI206" si="189">(EW201)</f>
        <v>0</v>
      </c>
      <c r="AI201" s="2">
        <f t="shared" si="189"/>
        <v>0</v>
      </c>
      <c r="AJ201" s="2">
        <f t="shared" si="164"/>
        <v>0</v>
      </c>
      <c r="AK201" s="2">
        <v>315.2</v>
      </c>
      <c r="AL201" s="2">
        <v>315.2</v>
      </c>
      <c r="AM201" s="2">
        <v>0</v>
      </c>
      <c r="AN201" s="2">
        <v>0</v>
      </c>
      <c r="AO201" s="2">
        <v>0</v>
      </c>
      <c r="AP201" s="2">
        <v>0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1</v>
      </c>
      <c r="AW201" s="2">
        <v>1</v>
      </c>
      <c r="AX201" s="2"/>
      <c r="AY201" s="2"/>
      <c r="AZ201" s="2">
        <v>1</v>
      </c>
      <c r="BA201" s="2">
        <v>1</v>
      </c>
      <c r="BB201" s="2">
        <v>1</v>
      </c>
      <c r="BC201" s="2">
        <v>1</v>
      </c>
      <c r="BD201" s="2" t="s">
        <v>3</v>
      </c>
      <c r="BE201" s="2" t="s">
        <v>3</v>
      </c>
      <c r="BF201" s="2" t="s">
        <v>3</v>
      </c>
      <c r="BG201" s="2" t="s">
        <v>3</v>
      </c>
      <c r="BH201" s="2">
        <v>3</v>
      </c>
      <c r="BI201" s="2">
        <v>1</v>
      </c>
      <c r="BJ201" s="2" t="s">
        <v>256</v>
      </c>
      <c r="BK201" s="2"/>
      <c r="BL201" s="2"/>
      <c r="BM201" s="2">
        <v>61</v>
      </c>
      <c r="BN201" s="2">
        <v>7156650</v>
      </c>
      <c r="BO201" s="2" t="s">
        <v>3</v>
      </c>
      <c r="BP201" s="2">
        <v>0</v>
      </c>
      <c r="BQ201" s="2">
        <v>30</v>
      </c>
      <c r="BR201" s="2">
        <v>0</v>
      </c>
      <c r="BS201" s="2">
        <v>1</v>
      </c>
      <c r="BT201" s="2">
        <v>1</v>
      </c>
      <c r="BU201" s="2">
        <v>1</v>
      </c>
      <c r="BV201" s="2">
        <v>1</v>
      </c>
      <c r="BW201" s="2">
        <v>1</v>
      </c>
      <c r="BX201" s="2">
        <v>1</v>
      </c>
      <c r="BY201" s="2" t="s">
        <v>3</v>
      </c>
      <c r="BZ201" s="2">
        <v>0</v>
      </c>
      <c r="CA201" s="2">
        <v>0</v>
      </c>
      <c r="CB201" s="2"/>
      <c r="CC201" s="2"/>
      <c r="CD201" s="2"/>
      <c r="CE201" s="2"/>
      <c r="CF201" s="2">
        <v>0</v>
      </c>
      <c r="CG201" s="2">
        <v>0</v>
      </c>
      <c r="CH201" s="2"/>
      <c r="CI201" s="2"/>
      <c r="CJ201" s="2"/>
      <c r="CK201" s="2"/>
      <c r="CL201" s="2"/>
      <c r="CM201" s="2">
        <v>0</v>
      </c>
      <c r="CN201" s="2" t="s">
        <v>3</v>
      </c>
      <c r="CO201" s="2">
        <v>0</v>
      </c>
      <c r="CP201" s="2">
        <f t="shared" si="165"/>
        <v>7.09</v>
      </c>
      <c r="CQ201" s="2">
        <f t="shared" si="166"/>
        <v>315.2</v>
      </c>
      <c r="CR201" s="2">
        <f t="shared" si="167"/>
        <v>0</v>
      </c>
      <c r="CS201" s="2">
        <f t="shared" si="168"/>
        <v>0</v>
      </c>
      <c r="CT201" s="2">
        <f t="shared" si="169"/>
        <v>0</v>
      </c>
      <c r="CU201" s="2">
        <f t="shared" si="170"/>
        <v>0</v>
      </c>
      <c r="CV201" s="2">
        <f t="shared" si="171"/>
        <v>0</v>
      </c>
      <c r="CW201" s="2">
        <f t="shared" si="172"/>
        <v>0</v>
      </c>
      <c r="CX201" s="2">
        <f t="shared" si="173"/>
        <v>0</v>
      </c>
      <c r="CY201" s="2">
        <f t="shared" si="174"/>
        <v>0</v>
      </c>
      <c r="CZ201" s="2">
        <f t="shared" si="175"/>
        <v>0</v>
      </c>
      <c r="DA201" s="2"/>
      <c r="DB201" s="2"/>
      <c r="DC201" s="2" t="s">
        <v>3</v>
      </c>
      <c r="DD201" s="2" t="s">
        <v>3</v>
      </c>
      <c r="DE201" s="2" t="s">
        <v>3</v>
      </c>
      <c r="DF201" s="2" t="s">
        <v>3</v>
      </c>
      <c r="DG201" s="2" t="s">
        <v>3</v>
      </c>
      <c r="DH201" s="2" t="s">
        <v>3</v>
      </c>
      <c r="DI201" s="2" t="s">
        <v>3</v>
      </c>
      <c r="DJ201" s="2" t="s">
        <v>3</v>
      </c>
      <c r="DK201" s="2" t="s">
        <v>3</v>
      </c>
      <c r="DL201" s="2" t="s">
        <v>3</v>
      </c>
      <c r="DM201" s="2" t="s">
        <v>3</v>
      </c>
      <c r="DN201" s="2">
        <v>91</v>
      </c>
      <c r="DO201" s="2">
        <v>70</v>
      </c>
      <c r="DP201" s="2">
        <v>1.0469999999999999</v>
      </c>
      <c r="DQ201" s="2">
        <v>1</v>
      </c>
      <c r="DR201" s="2"/>
      <c r="DS201" s="2"/>
      <c r="DT201" s="2"/>
      <c r="DU201" s="2">
        <v>1009</v>
      </c>
      <c r="DV201" s="2" t="s">
        <v>29</v>
      </c>
      <c r="DW201" s="2" t="s">
        <v>29</v>
      </c>
      <c r="DX201" s="2">
        <v>1000</v>
      </c>
      <c r="DY201" s="2"/>
      <c r="DZ201" s="2"/>
      <c r="EA201" s="2"/>
      <c r="EB201" s="2"/>
      <c r="EC201" s="2"/>
      <c r="ED201" s="2"/>
      <c r="EE201" s="2">
        <v>44846568</v>
      </c>
      <c r="EF201" s="2">
        <v>30</v>
      </c>
      <c r="EG201" s="2" t="s">
        <v>38</v>
      </c>
      <c r="EH201" s="2">
        <v>0</v>
      </c>
      <c r="EI201" s="2" t="s">
        <v>3</v>
      </c>
      <c r="EJ201" s="2">
        <v>1</v>
      </c>
      <c r="EK201" s="2">
        <v>61</v>
      </c>
      <c r="EL201" s="2" t="s">
        <v>251</v>
      </c>
      <c r="EM201" s="2" t="s">
        <v>252</v>
      </c>
      <c r="EN201" s="2"/>
      <c r="EO201" s="2" t="s">
        <v>3</v>
      </c>
      <c r="EP201" s="2"/>
      <c r="EQ201" s="2">
        <v>0</v>
      </c>
      <c r="ER201" s="2">
        <v>315.2</v>
      </c>
      <c r="ES201" s="2">
        <v>315.2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/>
      <c r="EZ201" s="2"/>
      <c r="FA201" s="2"/>
      <c r="FB201" s="2"/>
      <c r="FC201" s="2"/>
      <c r="FD201" s="2"/>
      <c r="FE201" s="2"/>
      <c r="FF201" s="2"/>
      <c r="FG201" s="2"/>
      <c r="FH201" s="2"/>
      <c r="FI201" s="2"/>
      <c r="FJ201" s="2"/>
      <c r="FK201" s="2"/>
      <c r="FL201" s="2"/>
      <c r="FM201" s="2"/>
      <c r="FN201" s="2"/>
      <c r="FO201" s="2"/>
      <c r="FP201" s="2"/>
      <c r="FQ201" s="2">
        <v>0</v>
      </c>
      <c r="FR201" s="2">
        <f t="shared" si="176"/>
        <v>0</v>
      </c>
      <c r="FS201" s="2">
        <v>0</v>
      </c>
      <c r="FT201" s="2"/>
      <c r="FU201" s="2"/>
      <c r="FV201" s="2"/>
      <c r="FW201" s="2"/>
      <c r="FX201" s="2">
        <v>91</v>
      </c>
      <c r="FY201" s="2">
        <v>70</v>
      </c>
      <c r="FZ201" s="2"/>
      <c r="GA201" s="2" t="s">
        <v>3</v>
      </c>
      <c r="GB201" s="2"/>
      <c r="GC201" s="2"/>
      <c r="GD201" s="2">
        <v>0</v>
      </c>
      <c r="GE201" s="2"/>
      <c r="GF201" s="2">
        <v>2075225388</v>
      </c>
      <c r="GG201" s="2">
        <v>2</v>
      </c>
      <c r="GH201" s="2">
        <v>1</v>
      </c>
      <c r="GI201" s="2">
        <v>3</v>
      </c>
      <c r="GJ201" s="2">
        <v>0</v>
      </c>
      <c r="GK201" s="2">
        <f>ROUND(R201*(R12)/100,2)</f>
        <v>0</v>
      </c>
      <c r="GL201" s="2">
        <f t="shared" si="177"/>
        <v>0</v>
      </c>
      <c r="GM201" s="2">
        <f t="shared" si="178"/>
        <v>7.09</v>
      </c>
      <c r="GN201" s="2">
        <f t="shared" si="179"/>
        <v>7.09</v>
      </c>
      <c r="GO201" s="2">
        <f t="shared" si="180"/>
        <v>0</v>
      </c>
      <c r="GP201" s="2">
        <f t="shared" si="181"/>
        <v>0</v>
      </c>
      <c r="GQ201" s="2"/>
      <c r="GR201" s="2">
        <v>0</v>
      </c>
      <c r="GS201" s="2">
        <v>3</v>
      </c>
      <c r="GT201" s="2">
        <v>0</v>
      </c>
      <c r="GU201" s="2" t="s">
        <v>3</v>
      </c>
      <c r="GV201" s="2">
        <f t="shared" si="182"/>
        <v>0</v>
      </c>
      <c r="GW201" s="2">
        <v>1</v>
      </c>
      <c r="GX201" s="2">
        <f t="shared" si="183"/>
        <v>0</v>
      </c>
      <c r="GY201" s="2"/>
      <c r="GZ201" s="2"/>
      <c r="HA201" s="2">
        <v>0</v>
      </c>
      <c r="HB201" s="2">
        <v>0</v>
      </c>
      <c r="HC201" s="2"/>
      <c r="HD201" s="2"/>
      <c r="HE201" s="2"/>
      <c r="HF201" s="2"/>
      <c r="HG201" s="2"/>
      <c r="HH201" s="2"/>
      <c r="HI201" s="2"/>
      <c r="HJ201" s="2"/>
      <c r="HK201" s="2"/>
      <c r="HL201" s="2"/>
      <c r="HM201" s="2"/>
      <c r="HN201" s="2"/>
      <c r="HO201" s="2"/>
      <c r="HP201" s="2"/>
      <c r="HQ201" s="2"/>
      <c r="HR201" s="2"/>
      <c r="HS201" s="2"/>
      <c r="HT201" s="2"/>
      <c r="HU201" s="2"/>
      <c r="HV201" s="2"/>
      <c r="HW201" s="2"/>
      <c r="HX201" s="2"/>
      <c r="HY201" s="2"/>
      <c r="HZ201" s="2"/>
      <c r="IA201" s="2"/>
      <c r="IB201" s="2"/>
      <c r="IC201" s="2"/>
      <c r="ID201" s="2"/>
      <c r="IE201" s="2"/>
      <c r="IF201" s="2"/>
      <c r="IG201" s="2"/>
      <c r="IH201" s="2"/>
      <c r="II201" s="2"/>
      <c r="IJ201" s="2"/>
      <c r="IK201" s="2">
        <v>0</v>
      </c>
      <c r="IL201" s="2"/>
      <c r="IM201" s="2"/>
      <c r="IN201" s="2"/>
      <c r="IO201" s="2"/>
      <c r="IP201" s="2"/>
      <c r="IQ201" s="2"/>
      <c r="IR201" s="2"/>
      <c r="IS201" s="2"/>
      <c r="IT201" s="2"/>
      <c r="IU201" s="2"/>
    </row>
    <row r="202" spans="1:255" x14ac:dyDescent="0.2">
      <c r="A202">
        <v>18</v>
      </c>
      <c r="B202">
        <v>1</v>
      </c>
      <c r="C202">
        <v>154</v>
      </c>
      <c r="E202" t="s">
        <v>253</v>
      </c>
      <c r="F202" t="s">
        <v>254</v>
      </c>
      <c r="G202" t="s">
        <v>255</v>
      </c>
      <c r="H202" t="s">
        <v>29</v>
      </c>
      <c r="I202">
        <f>I200*J202</f>
        <v>2.2499999999999999E-2</v>
      </c>
      <c r="J202">
        <v>0.15</v>
      </c>
      <c r="O202">
        <f t="shared" si="150"/>
        <v>75.53</v>
      </c>
      <c r="P202">
        <f t="shared" si="151"/>
        <v>75.53</v>
      </c>
      <c r="Q202">
        <f t="shared" si="152"/>
        <v>0</v>
      </c>
      <c r="R202">
        <f t="shared" si="153"/>
        <v>0</v>
      </c>
      <c r="S202">
        <f t="shared" si="154"/>
        <v>0</v>
      </c>
      <c r="T202">
        <f t="shared" si="155"/>
        <v>0</v>
      </c>
      <c r="U202">
        <f t="shared" si="156"/>
        <v>0</v>
      </c>
      <c r="V202">
        <f t="shared" si="157"/>
        <v>0</v>
      </c>
      <c r="W202">
        <f t="shared" si="158"/>
        <v>0</v>
      </c>
      <c r="X202">
        <f t="shared" si="159"/>
        <v>0</v>
      </c>
      <c r="Y202">
        <f t="shared" si="160"/>
        <v>0</v>
      </c>
      <c r="AA202">
        <v>45037307</v>
      </c>
      <c r="AB202">
        <f t="shared" si="161"/>
        <v>315.2</v>
      </c>
      <c r="AC202">
        <f t="shared" si="162"/>
        <v>315.2</v>
      </c>
      <c r="AD202">
        <f t="shared" si="188"/>
        <v>0</v>
      </c>
      <c r="AE202">
        <f t="shared" si="188"/>
        <v>0</v>
      </c>
      <c r="AF202">
        <f t="shared" si="188"/>
        <v>0</v>
      </c>
      <c r="AG202">
        <f t="shared" si="163"/>
        <v>0</v>
      </c>
      <c r="AH202">
        <f t="shared" si="189"/>
        <v>0</v>
      </c>
      <c r="AI202">
        <f t="shared" si="189"/>
        <v>0</v>
      </c>
      <c r="AJ202">
        <f t="shared" si="164"/>
        <v>0</v>
      </c>
      <c r="AK202">
        <v>315.2</v>
      </c>
      <c r="AL202">
        <v>315.2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0</v>
      </c>
      <c r="AU202">
        <v>0</v>
      </c>
      <c r="AV202">
        <v>1</v>
      </c>
      <c r="AW202">
        <v>1</v>
      </c>
      <c r="AZ202">
        <v>1</v>
      </c>
      <c r="BA202">
        <v>1</v>
      </c>
      <c r="BB202">
        <v>1</v>
      </c>
      <c r="BC202">
        <v>10.65</v>
      </c>
      <c r="BD202" t="s">
        <v>3</v>
      </c>
      <c r="BE202" t="s">
        <v>3</v>
      </c>
      <c r="BF202" t="s">
        <v>3</v>
      </c>
      <c r="BG202" t="s">
        <v>3</v>
      </c>
      <c r="BH202">
        <v>3</v>
      </c>
      <c r="BI202">
        <v>1</v>
      </c>
      <c r="BJ202" t="s">
        <v>256</v>
      </c>
      <c r="BM202">
        <v>61</v>
      </c>
      <c r="BN202">
        <v>7156650</v>
      </c>
      <c r="BO202" t="s">
        <v>254</v>
      </c>
      <c r="BP202">
        <v>1</v>
      </c>
      <c r="BQ202">
        <v>30</v>
      </c>
      <c r="BR202">
        <v>0</v>
      </c>
      <c r="BS202">
        <v>1</v>
      </c>
      <c r="BT202">
        <v>1</v>
      </c>
      <c r="BU202">
        <v>1</v>
      </c>
      <c r="BV202">
        <v>1</v>
      </c>
      <c r="BW202">
        <v>1</v>
      </c>
      <c r="BX202">
        <v>1</v>
      </c>
      <c r="BY202" t="s">
        <v>3</v>
      </c>
      <c r="BZ202">
        <v>0</v>
      </c>
      <c r="CA202">
        <v>0</v>
      </c>
      <c r="CF202">
        <v>0</v>
      </c>
      <c r="CG202">
        <v>0</v>
      </c>
      <c r="CM202">
        <v>0</v>
      </c>
      <c r="CN202" t="s">
        <v>3</v>
      </c>
      <c r="CO202">
        <v>0</v>
      </c>
      <c r="CP202">
        <f t="shared" si="165"/>
        <v>75.53</v>
      </c>
      <c r="CQ202">
        <f t="shared" si="166"/>
        <v>3356.88</v>
      </c>
      <c r="CR202">
        <f t="shared" si="167"/>
        <v>0</v>
      </c>
      <c r="CS202">
        <f t="shared" si="168"/>
        <v>0</v>
      </c>
      <c r="CT202">
        <f t="shared" si="169"/>
        <v>0</v>
      </c>
      <c r="CU202">
        <f t="shared" si="170"/>
        <v>0</v>
      </c>
      <c r="CV202">
        <f t="shared" si="171"/>
        <v>0</v>
      </c>
      <c r="CW202">
        <f t="shared" si="172"/>
        <v>0</v>
      </c>
      <c r="CX202">
        <f t="shared" si="173"/>
        <v>0</v>
      </c>
      <c r="CY202">
        <f t="shared" si="174"/>
        <v>0</v>
      </c>
      <c r="CZ202">
        <f t="shared" si="175"/>
        <v>0</v>
      </c>
      <c r="DC202" t="s">
        <v>3</v>
      </c>
      <c r="DD202" t="s">
        <v>3</v>
      </c>
      <c r="DE202" t="s">
        <v>3</v>
      </c>
      <c r="DF202" t="s">
        <v>3</v>
      </c>
      <c r="DG202" t="s">
        <v>3</v>
      </c>
      <c r="DH202" t="s">
        <v>3</v>
      </c>
      <c r="DI202" t="s">
        <v>3</v>
      </c>
      <c r="DJ202" t="s">
        <v>3</v>
      </c>
      <c r="DK202" t="s">
        <v>3</v>
      </c>
      <c r="DL202" t="s">
        <v>3</v>
      </c>
      <c r="DM202" t="s">
        <v>3</v>
      </c>
      <c r="DN202">
        <v>91</v>
      </c>
      <c r="DO202">
        <v>70</v>
      </c>
      <c r="DP202">
        <v>1.0469999999999999</v>
      </c>
      <c r="DQ202">
        <v>1</v>
      </c>
      <c r="DU202">
        <v>1009</v>
      </c>
      <c r="DV202" t="s">
        <v>29</v>
      </c>
      <c r="DW202" t="s">
        <v>29</v>
      </c>
      <c r="DX202">
        <v>1000</v>
      </c>
      <c r="EE202">
        <v>44846568</v>
      </c>
      <c r="EF202">
        <v>30</v>
      </c>
      <c r="EG202" t="s">
        <v>38</v>
      </c>
      <c r="EH202">
        <v>0</v>
      </c>
      <c r="EI202" t="s">
        <v>3</v>
      </c>
      <c r="EJ202">
        <v>1</v>
      </c>
      <c r="EK202">
        <v>61</v>
      </c>
      <c r="EL202" t="s">
        <v>251</v>
      </c>
      <c r="EM202" t="s">
        <v>252</v>
      </c>
      <c r="EO202" t="s">
        <v>3</v>
      </c>
      <c r="EQ202">
        <v>0</v>
      </c>
      <c r="ER202">
        <v>315.2</v>
      </c>
      <c r="ES202">
        <v>315.2</v>
      </c>
      <c r="ET202">
        <v>0</v>
      </c>
      <c r="EU202">
        <v>0</v>
      </c>
      <c r="EV202">
        <v>0</v>
      </c>
      <c r="EW202">
        <v>0</v>
      </c>
      <c r="EX202">
        <v>0</v>
      </c>
      <c r="FQ202">
        <v>0</v>
      </c>
      <c r="FR202">
        <f t="shared" si="176"/>
        <v>0</v>
      </c>
      <c r="FS202">
        <v>0</v>
      </c>
      <c r="FX202">
        <v>91</v>
      </c>
      <c r="FY202">
        <v>70</v>
      </c>
      <c r="GA202" t="s">
        <v>3</v>
      </c>
      <c r="GD202">
        <v>0</v>
      </c>
      <c r="GF202">
        <v>2075225388</v>
      </c>
      <c r="GG202">
        <v>2</v>
      </c>
      <c r="GH202">
        <v>1</v>
      </c>
      <c r="GI202">
        <v>3</v>
      </c>
      <c r="GJ202">
        <v>0</v>
      </c>
      <c r="GK202">
        <f>ROUND(R202*(S12)/100,2)</f>
        <v>0</v>
      </c>
      <c r="GL202">
        <f t="shared" si="177"/>
        <v>0</v>
      </c>
      <c r="GM202">
        <f t="shared" si="178"/>
        <v>75.53</v>
      </c>
      <c r="GN202">
        <f t="shared" si="179"/>
        <v>75.53</v>
      </c>
      <c r="GO202">
        <f t="shared" si="180"/>
        <v>0</v>
      </c>
      <c r="GP202">
        <f t="shared" si="181"/>
        <v>0</v>
      </c>
      <c r="GR202">
        <v>0</v>
      </c>
      <c r="GS202">
        <v>3</v>
      </c>
      <c r="GT202">
        <v>0</v>
      </c>
      <c r="GU202" t="s">
        <v>3</v>
      </c>
      <c r="GV202">
        <f t="shared" si="182"/>
        <v>0</v>
      </c>
      <c r="GW202">
        <v>1</v>
      </c>
      <c r="GX202">
        <f t="shared" si="183"/>
        <v>0</v>
      </c>
      <c r="HA202">
        <v>0</v>
      </c>
      <c r="HB202">
        <v>0</v>
      </c>
      <c r="IK202">
        <v>0</v>
      </c>
    </row>
    <row r="203" spans="1:255" x14ac:dyDescent="0.2">
      <c r="A203" s="2">
        <v>18</v>
      </c>
      <c r="B203" s="2">
        <v>1</v>
      </c>
      <c r="C203" s="2">
        <v>150</v>
      </c>
      <c r="D203" s="2"/>
      <c r="E203" s="2" t="s">
        <v>257</v>
      </c>
      <c r="F203" s="2" t="s">
        <v>258</v>
      </c>
      <c r="G203" s="2" t="s">
        <v>259</v>
      </c>
      <c r="H203" s="2" t="s">
        <v>260</v>
      </c>
      <c r="I203" s="2">
        <f>I199*J203</f>
        <v>11.1</v>
      </c>
      <c r="J203" s="2">
        <v>74</v>
      </c>
      <c r="K203" s="2"/>
      <c r="L203" s="2"/>
      <c r="M203" s="2"/>
      <c r="N203" s="2"/>
      <c r="O203" s="2">
        <f t="shared" si="150"/>
        <v>7888.77</v>
      </c>
      <c r="P203" s="2">
        <f t="shared" si="151"/>
        <v>7888.77</v>
      </c>
      <c r="Q203" s="2">
        <f t="shared" si="152"/>
        <v>0</v>
      </c>
      <c r="R203" s="2">
        <f t="shared" si="153"/>
        <v>0</v>
      </c>
      <c r="S203" s="2">
        <f t="shared" si="154"/>
        <v>0</v>
      </c>
      <c r="T203" s="2">
        <f t="shared" si="155"/>
        <v>0</v>
      </c>
      <c r="U203" s="2">
        <f t="shared" si="156"/>
        <v>0</v>
      </c>
      <c r="V203" s="2">
        <f t="shared" si="157"/>
        <v>0</v>
      </c>
      <c r="W203" s="2">
        <f t="shared" si="158"/>
        <v>0</v>
      </c>
      <c r="X203" s="2">
        <f t="shared" si="159"/>
        <v>0</v>
      </c>
      <c r="Y203" s="2">
        <f t="shared" si="160"/>
        <v>0</v>
      </c>
      <c r="Z203" s="2"/>
      <c r="AA203" s="2">
        <v>45037306</v>
      </c>
      <c r="AB203" s="2">
        <f t="shared" si="161"/>
        <v>710.7</v>
      </c>
      <c r="AC203" s="2">
        <f t="shared" si="162"/>
        <v>710.7</v>
      </c>
      <c r="AD203" s="2">
        <f t="shared" si="188"/>
        <v>0</v>
      </c>
      <c r="AE203" s="2">
        <f t="shared" si="188"/>
        <v>0</v>
      </c>
      <c r="AF203" s="2">
        <f t="shared" si="188"/>
        <v>0</v>
      </c>
      <c r="AG203" s="2">
        <f t="shared" si="163"/>
        <v>0</v>
      </c>
      <c r="AH203" s="2">
        <f t="shared" si="189"/>
        <v>0</v>
      </c>
      <c r="AI203" s="2">
        <f t="shared" si="189"/>
        <v>0</v>
      </c>
      <c r="AJ203" s="2">
        <f t="shared" si="164"/>
        <v>0</v>
      </c>
      <c r="AK203" s="2">
        <v>710.7</v>
      </c>
      <c r="AL203" s="2">
        <v>710.7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1</v>
      </c>
      <c r="AW203" s="2">
        <v>1</v>
      </c>
      <c r="AX203" s="2"/>
      <c r="AY203" s="2"/>
      <c r="AZ203" s="2">
        <v>1</v>
      </c>
      <c r="BA203" s="2">
        <v>1</v>
      </c>
      <c r="BB203" s="2">
        <v>1</v>
      </c>
      <c r="BC203" s="2">
        <v>1</v>
      </c>
      <c r="BD203" s="2" t="s">
        <v>3</v>
      </c>
      <c r="BE203" s="2" t="s">
        <v>3</v>
      </c>
      <c r="BF203" s="2" t="s">
        <v>3</v>
      </c>
      <c r="BG203" s="2" t="s">
        <v>3</v>
      </c>
      <c r="BH203" s="2">
        <v>3</v>
      </c>
      <c r="BI203" s="2">
        <v>1</v>
      </c>
      <c r="BJ203" s="2" t="s">
        <v>3</v>
      </c>
      <c r="BK203" s="2"/>
      <c r="BL203" s="2"/>
      <c r="BM203" s="2">
        <v>61</v>
      </c>
      <c r="BN203" s="2">
        <v>0</v>
      </c>
      <c r="BO203" s="2" t="s">
        <v>3</v>
      </c>
      <c r="BP203" s="2">
        <v>0</v>
      </c>
      <c r="BQ203" s="2">
        <v>30</v>
      </c>
      <c r="BR203" s="2">
        <v>0</v>
      </c>
      <c r="BS203" s="2">
        <v>1</v>
      </c>
      <c r="BT203" s="2">
        <v>1</v>
      </c>
      <c r="BU203" s="2">
        <v>1</v>
      </c>
      <c r="BV203" s="2">
        <v>1</v>
      </c>
      <c r="BW203" s="2">
        <v>1</v>
      </c>
      <c r="BX203" s="2">
        <v>1</v>
      </c>
      <c r="BY203" s="2" t="s">
        <v>3</v>
      </c>
      <c r="BZ203" s="2">
        <v>0</v>
      </c>
      <c r="CA203" s="2">
        <v>0</v>
      </c>
      <c r="CB203" s="2"/>
      <c r="CC203" s="2"/>
      <c r="CD203" s="2"/>
      <c r="CE203" s="2"/>
      <c r="CF203" s="2">
        <v>0</v>
      </c>
      <c r="CG203" s="2">
        <v>0</v>
      </c>
      <c r="CH203" s="2"/>
      <c r="CI203" s="2"/>
      <c r="CJ203" s="2"/>
      <c r="CK203" s="2"/>
      <c r="CL203" s="2"/>
      <c r="CM203" s="2">
        <v>0</v>
      </c>
      <c r="CN203" s="2" t="s">
        <v>3</v>
      </c>
      <c r="CO203" s="2">
        <v>0</v>
      </c>
      <c r="CP203" s="2">
        <f t="shared" si="165"/>
        <v>7888.77</v>
      </c>
      <c r="CQ203" s="2">
        <f t="shared" si="166"/>
        <v>710.7</v>
      </c>
      <c r="CR203" s="2">
        <f t="shared" si="167"/>
        <v>0</v>
      </c>
      <c r="CS203" s="2">
        <f t="shared" si="168"/>
        <v>0</v>
      </c>
      <c r="CT203" s="2">
        <f t="shared" si="169"/>
        <v>0</v>
      </c>
      <c r="CU203" s="2">
        <f t="shared" si="170"/>
        <v>0</v>
      </c>
      <c r="CV203" s="2">
        <f t="shared" si="171"/>
        <v>0</v>
      </c>
      <c r="CW203" s="2">
        <f t="shared" si="172"/>
        <v>0</v>
      </c>
      <c r="CX203" s="2">
        <f t="shared" si="173"/>
        <v>0</v>
      </c>
      <c r="CY203" s="2">
        <f t="shared" si="174"/>
        <v>0</v>
      </c>
      <c r="CZ203" s="2">
        <f t="shared" si="175"/>
        <v>0</v>
      </c>
      <c r="DA203" s="2"/>
      <c r="DB203" s="2"/>
      <c r="DC203" s="2" t="s">
        <v>3</v>
      </c>
      <c r="DD203" s="2" t="s">
        <v>3</v>
      </c>
      <c r="DE203" s="2" t="s">
        <v>3</v>
      </c>
      <c r="DF203" s="2" t="s">
        <v>3</v>
      </c>
      <c r="DG203" s="2" t="s">
        <v>3</v>
      </c>
      <c r="DH203" s="2" t="s">
        <v>3</v>
      </c>
      <c r="DI203" s="2" t="s">
        <v>3</v>
      </c>
      <c r="DJ203" s="2" t="s">
        <v>3</v>
      </c>
      <c r="DK203" s="2" t="s">
        <v>3</v>
      </c>
      <c r="DL203" s="2" t="s">
        <v>3</v>
      </c>
      <c r="DM203" s="2" t="s">
        <v>3</v>
      </c>
      <c r="DN203" s="2">
        <v>91</v>
      </c>
      <c r="DO203" s="2">
        <v>70</v>
      </c>
      <c r="DP203" s="2">
        <v>1.0469999999999999</v>
      </c>
      <c r="DQ203" s="2">
        <v>1</v>
      </c>
      <c r="DR203" s="2"/>
      <c r="DS203" s="2"/>
      <c r="DT203" s="2"/>
      <c r="DU203" s="2">
        <v>1013</v>
      </c>
      <c r="DV203" s="2" t="s">
        <v>260</v>
      </c>
      <c r="DW203" s="2" t="s">
        <v>260</v>
      </c>
      <c r="DX203" s="2">
        <v>1</v>
      </c>
      <c r="DY203" s="2"/>
      <c r="DZ203" s="2"/>
      <c r="EA203" s="2"/>
      <c r="EB203" s="2"/>
      <c r="EC203" s="2"/>
      <c r="ED203" s="2"/>
      <c r="EE203" s="2">
        <v>44846568</v>
      </c>
      <c r="EF203" s="2">
        <v>30</v>
      </c>
      <c r="EG203" s="2" t="s">
        <v>38</v>
      </c>
      <c r="EH203" s="2">
        <v>0</v>
      </c>
      <c r="EI203" s="2" t="s">
        <v>3</v>
      </c>
      <c r="EJ203" s="2">
        <v>1</v>
      </c>
      <c r="EK203" s="2">
        <v>61</v>
      </c>
      <c r="EL203" s="2" t="s">
        <v>251</v>
      </c>
      <c r="EM203" s="2" t="s">
        <v>252</v>
      </c>
      <c r="EN203" s="2"/>
      <c r="EO203" s="2" t="s">
        <v>3</v>
      </c>
      <c r="EP203" s="2"/>
      <c r="EQ203" s="2">
        <v>0</v>
      </c>
      <c r="ER203" s="2">
        <v>0</v>
      </c>
      <c r="ES203" s="2">
        <v>710.7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/>
      <c r="EZ203" s="2"/>
      <c r="FA203" s="2"/>
      <c r="FB203" s="2"/>
      <c r="FC203" s="2"/>
      <c r="FD203" s="2"/>
      <c r="FE203" s="2"/>
      <c r="FF203" s="2"/>
      <c r="FG203" s="2"/>
      <c r="FH203" s="2"/>
      <c r="FI203" s="2"/>
      <c r="FJ203" s="2"/>
      <c r="FK203" s="2"/>
      <c r="FL203" s="2"/>
      <c r="FM203" s="2"/>
      <c r="FN203" s="2"/>
      <c r="FO203" s="2"/>
      <c r="FP203" s="2"/>
      <c r="FQ203" s="2">
        <v>0</v>
      </c>
      <c r="FR203" s="2">
        <f t="shared" si="176"/>
        <v>0</v>
      </c>
      <c r="FS203" s="2">
        <v>0</v>
      </c>
      <c r="FT203" s="2"/>
      <c r="FU203" s="2"/>
      <c r="FV203" s="2"/>
      <c r="FW203" s="2"/>
      <c r="FX203" s="2">
        <v>91</v>
      </c>
      <c r="FY203" s="2">
        <v>70</v>
      </c>
      <c r="FZ203" s="2"/>
      <c r="GA203" s="2" t="s">
        <v>261</v>
      </c>
      <c r="GB203" s="2"/>
      <c r="GC203" s="2"/>
      <c r="GD203" s="2">
        <v>0</v>
      </c>
      <c r="GE203" s="2"/>
      <c r="GF203" s="2">
        <v>1550056831</v>
      </c>
      <c r="GG203" s="2">
        <v>2</v>
      </c>
      <c r="GH203" s="2">
        <v>4</v>
      </c>
      <c r="GI203" s="2">
        <v>3</v>
      </c>
      <c r="GJ203" s="2">
        <v>0</v>
      </c>
      <c r="GK203" s="2">
        <f>ROUND(R203*(R12)/100,2)</f>
        <v>0</v>
      </c>
      <c r="GL203" s="2">
        <f t="shared" si="177"/>
        <v>0</v>
      </c>
      <c r="GM203" s="2">
        <f t="shared" si="178"/>
        <v>7888.77</v>
      </c>
      <c r="GN203" s="2">
        <f t="shared" si="179"/>
        <v>7888.77</v>
      </c>
      <c r="GO203" s="2">
        <f t="shared" si="180"/>
        <v>0</v>
      </c>
      <c r="GP203" s="2">
        <f t="shared" si="181"/>
        <v>0</v>
      </c>
      <c r="GQ203" s="2"/>
      <c r="GR203" s="2">
        <v>0</v>
      </c>
      <c r="GS203" s="2">
        <v>2</v>
      </c>
      <c r="GT203" s="2">
        <v>0</v>
      </c>
      <c r="GU203" s="2" t="s">
        <v>3</v>
      </c>
      <c r="GV203" s="2">
        <f t="shared" si="182"/>
        <v>0</v>
      </c>
      <c r="GW203" s="2">
        <v>1</v>
      </c>
      <c r="GX203" s="2">
        <f t="shared" si="183"/>
        <v>0</v>
      </c>
      <c r="GY203" s="2"/>
      <c r="GZ203" s="2"/>
      <c r="HA203" s="2">
        <v>0</v>
      </c>
      <c r="HB203" s="2">
        <v>0</v>
      </c>
      <c r="HC203" s="2"/>
      <c r="HD203" s="2"/>
      <c r="HE203" s="2"/>
      <c r="HF203" s="2"/>
      <c r="HG203" s="2"/>
      <c r="HH203" s="2"/>
      <c r="HI203" s="2"/>
      <c r="HJ203" s="2"/>
      <c r="HK203" s="2"/>
      <c r="HL203" s="2"/>
      <c r="HM203" s="2"/>
      <c r="HN203" s="2"/>
      <c r="HO203" s="2"/>
      <c r="HP203" s="2"/>
      <c r="HQ203" s="2"/>
      <c r="HR203" s="2"/>
      <c r="HS203" s="2"/>
      <c r="HT203" s="2"/>
      <c r="HU203" s="2"/>
      <c r="HV203" s="2"/>
      <c r="HW203" s="2"/>
      <c r="HX203" s="2"/>
      <c r="HY203" s="2"/>
      <c r="HZ203" s="2"/>
      <c r="IA203" s="2"/>
      <c r="IB203" s="2"/>
      <c r="IC203" s="2"/>
      <c r="ID203" s="2"/>
      <c r="IE203" s="2"/>
      <c r="IF203" s="2"/>
      <c r="IG203" s="2"/>
      <c r="IH203" s="2"/>
      <c r="II203" s="2"/>
      <c r="IJ203" s="2"/>
      <c r="IK203" s="2">
        <v>0</v>
      </c>
      <c r="IL203" s="2"/>
      <c r="IM203" s="2"/>
      <c r="IN203" s="2"/>
      <c r="IO203" s="2"/>
      <c r="IP203" s="2"/>
      <c r="IQ203" s="2"/>
      <c r="IR203" s="2"/>
      <c r="IS203" s="2"/>
      <c r="IT203" s="2"/>
      <c r="IU203" s="2"/>
    </row>
    <row r="204" spans="1:255" x14ac:dyDescent="0.2">
      <c r="A204">
        <v>18</v>
      </c>
      <c r="B204">
        <v>1</v>
      </c>
      <c r="C204">
        <v>155</v>
      </c>
      <c r="E204" t="s">
        <v>257</v>
      </c>
      <c r="F204" t="s">
        <v>258</v>
      </c>
      <c r="G204" t="s">
        <v>259</v>
      </c>
      <c r="H204" t="s">
        <v>260</v>
      </c>
      <c r="I204">
        <f>I200*J204</f>
        <v>11.1</v>
      </c>
      <c r="J204">
        <v>74</v>
      </c>
      <c r="O204">
        <f t="shared" si="150"/>
        <v>41258.269999999997</v>
      </c>
      <c r="P204">
        <f t="shared" si="151"/>
        <v>41258.269999999997</v>
      </c>
      <c r="Q204">
        <f t="shared" si="152"/>
        <v>0</v>
      </c>
      <c r="R204">
        <f t="shared" si="153"/>
        <v>0</v>
      </c>
      <c r="S204">
        <f t="shared" si="154"/>
        <v>0</v>
      </c>
      <c r="T204">
        <f t="shared" si="155"/>
        <v>0</v>
      </c>
      <c r="U204">
        <f t="shared" si="156"/>
        <v>0</v>
      </c>
      <c r="V204">
        <f t="shared" si="157"/>
        <v>0</v>
      </c>
      <c r="W204">
        <f t="shared" si="158"/>
        <v>0</v>
      </c>
      <c r="X204">
        <f t="shared" si="159"/>
        <v>0</v>
      </c>
      <c r="Y204">
        <f t="shared" si="160"/>
        <v>0</v>
      </c>
      <c r="AA204">
        <v>45037307</v>
      </c>
      <c r="AB204">
        <f t="shared" si="161"/>
        <v>710.7</v>
      </c>
      <c r="AC204">
        <f t="shared" si="162"/>
        <v>710.7</v>
      </c>
      <c r="AD204">
        <f t="shared" si="188"/>
        <v>0</v>
      </c>
      <c r="AE204">
        <f t="shared" si="188"/>
        <v>0</v>
      </c>
      <c r="AF204">
        <f t="shared" si="188"/>
        <v>0</v>
      </c>
      <c r="AG204">
        <f t="shared" si="163"/>
        <v>0</v>
      </c>
      <c r="AH204">
        <f t="shared" si="189"/>
        <v>0</v>
      </c>
      <c r="AI204">
        <f t="shared" si="189"/>
        <v>0</v>
      </c>
      <c r="AJ204">
        <f t="shared" si="164"/>
        <v>0</v>
      </c>
      <c r="AK204">
        <v>710.7</v>
      </c>
      <c r="AL204">
        <v>710.7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0</v>
      </c>
      <c r="AU204">
        <v>0</v>
      </c>
      <c r="AV204">
        <v>1</v>
      </c>
      <c r="AW204">
        <v>1</v>
      </c>
      <c r="AZ204">
        <v>1</v>
      </c>
      <c r="BA204">
        <v>1</v>
      </c>
      <c r="BB204">
        <v>1</v>
      </c>
      <c r="BC204">
        <v>5.23</v>
      </c>
      <c r="BD204" t="s">
        <v>3</v>
      </c>
      <c r="BE204" t="s">
        <v>3</v>
      </c>
      <c r="BF204" t="s">
        <v>3</v>
      </c>
      <c r="BG204" t="s">
        <v>3</v>
      </c>
      <c r="BH204">
        <v>3</v>
      </c>
      <c r="BI204">
        <v>1</v>
      </c>
      <c r="BJ204" t="s">
        <v>3</v>
      </c>
      <c r="BM204">
        <v>61</v>
      </c>
      <c r="BN204">
        <v>0</v>
      </c>
      <c r="BO204" t="s">
        <v>3</v>
      </c>
      <c r="BP204">
        <v>0</v>
      </c>
      <c r="BQ204">
        <v>30</v>
      </c>
      <c r="BR204">
        <v>0</v>
      </c>
      <c r="BS204">
        <v>1</v>
      </c>
      <c r="BT204">
        <v>1</v>
      </c>
      <c r="BU204">
        <v>1</v>
      </c>
      <c r="BV204">
        <v>1</v>
      </c>
      <c r="BW204">
        <v>1</v>
      </c>
      <c r="BX204">
        <v>1</v>
      </c>
      <c r="BY204" t="s">
        <v>3</v>
      </c>
      <c r="BZ204">
        <v>0</v>
      </c>
      <c r="CA204">
        <v>0</v>
      </c>
      <c r="CF204">
        <v>0</v>
      </c>
      <c r="CG204">
        <v>0</v>
      </c>
      <c r="CM204">
        <v>0</v>
      </c>
      <c r="CN204" t="s">
        <v>3</v>
      </c>
      <c r="CO204">
        <v>0</v>
      </c>
      <c r="CP204">
        <f t="shared" si="165"/>
        <v>41258.269999999997</v>
      </c>
      <c r="CQ204">
        <f t="shared" si="166"/>
        <v>3716.9610000000007</v>
      </c>
      <c r="CR204">
        <f t="shared" si="167"/>
        <v>0</v>
      </c>
      <c r="CS204">
        <f t="shared" si="168"/>
        <v>0</v>
      </c>
      <c r="CT204">
        <f t="shared" si="169"/>
        <v>0</v>
      </c>
      <c r="CU204">
        <f t="shared" si="170"/>
        <v>0</v>
      </c>
      <c r="CV204">
        <f t="shared" si="171"/>
        <v>0</v>
      </c>
      <c r="CW204">
        <f t="shared" si="172"/>
        <v>0</v>
      </c>
      <c r="CX204">
        <f t="shared" si="173"/>
        <v>0</v>
      </c>
      <c r="CY204">
        <f t="shared" si="174"/>
        <v>0</v>
      </c>
      <c r="CZ204">
        <f t="shared" si="175"/>
        <v>0</v>
      </c>
      <c r="DC204" t="s">
        <v>3</v>
      </c>
      <c r="DD204" t="s">
        <v>3</v>
      </c>
      <c r="DE204" t="s">
        <v>3</v>
      </c>
      <c r="DF204" t="s">
        <v>3</v>
      </c>
      <c r="DG204" t="s">
        <v>3</v>
      </c>
      <c r="DH204" t="s">
        <v>3</v>
      </c>
      <c r="DI204" t="s">
        <v>3</v>
      </c>
      <c r="DJ204" t="s">
        <v>3</v>
      </c>
      <c r="DK204" t="s">
        <v>3</v>
      </c>
      <c r="DL204" t="s">
        <v>3</v>
      </c>
      <c r="DM204" t="s">
        <v>3</v>
      </c>
      <c r="DN204">
        <v>91</v>
      </c>
      <c r="DO204">
        <v>70</v>
      </c>
      <c r="DP204">
        <v>1.0469999999999999</v>
      </c>
      <c r="DQ204">
        <v>1</v>
      </c>
      <c r="DU204">
        <v>1013</v>
      </c>
      <c r="DV204" t="s">
        <v>260</v>
      </c>
      <c r="DW204" t="s">
        <v>260</v>
      </c>
      <c r="DX204">
        <v>1</v>
      </c>
      <c r="EE204">
        <v>44846568</v>
      </c>
      <c r="EF204">
        <v>30</v>
      </c>
      <c r="EG204" t="s">
        <v>38</v>
      </c>
      <c r="EH204">
        <v>0</v>
      </c>
      <c r="EI204" t="s">
        <v>3</v>
      </c>
      <c r="EJ204">
        <v>1</v>
      </c>
      <c r="EK204">
        <v>61</v>
      </c>
      <c r="EL204" t="s">
        <v>251</v>
      </c>
      <c r="EM204" t="s">
        <v>252</v>
      </c>
      <c r="EO204" t="s">
        <v>3</v>
      </c>
      <c r="EQ204">
        <v>0</v>
      </c>
      <c r="ER204">
        <v>718.95</v>
      </c>
      <c r="ES204">
        <v>710.7</v>
      </c>
      <c r="ET204">
        <v>0</v>
      </c>
      <c r="EU204">
        <v>0</v>
      </c>
      <c r="EV204">
        <v>0</v>
      </c>
      <c r="EW204">
        <v>0</v>
      </c>
      <c r="EX204">
        <v>0</v>
      </c>
      <c r="EZ204">
        <v>5</v>
      </c>
      <c r="FC204">
        <v>1</v>
      </c>
      <c r="FD204">
        <v>18</v>
      </c>
      <c r="FF204">
        <v>4300</v>
      </c>
      <c r="FQ204">
        <v>0</v>
      </c>
      <c r="FR204">
        <f t="shared" si="176"/>
        <v>0</v>
      </c>
      <c r="FS204">
        <v>0</v>
      </c>
      <c r="FX204">
        <v>91</v>
      </c>
      <c r="FY204">
        <v>70</v>
      </c>
      <c r="GA204" t="s">
        <v>261</v>
      </c>
      <c r="GD204">
        <v>0</v>
      </c>
      <c r="GF204">
        <v>1550056831</v>
      </c>
      <c r="GG204">
        <v>2</v>
      </c>
      <c r="GH204">
        <v>3</v>
      </c>
      <c r="GI204">
        <v>3</v>
      </c>
      <c r="GJ204">
        <v>0</v>
      </c>
      <c r="GK204">
        <f>ROUND(R204*(S12)/100,2)</f>
        <v>0</v>
      </c>
      <c r="GL204">
        <f t="shared" si="177"/>
        <v>0</v>
      </c>
      <c r="GM204">
        <f t="shared" si="178"/>
        <v>41258.269999999997</v>
      </c>
      <c r="GN204">
        <f t="shared" si="179"/>
        <v>41258.269999999997</v>
      </c>
      <c r="GO204">
        <f t="shared" si="180"/>
        <v>0</v>
      </c>
      <c r="GP204">
        <f t="shared" si="181"/>
        <v>0</v>
      </c>
      <c r="GR204">
        <v>1</v>
      </c>
      <c r="GS204">
        <v>1</v>
      </c>
      <c r="GT204">
        <v>0</v>
      </c>
      <c r="GU204" t="s">
        <v>3</v>
      </c>
      <c r="GV204">
        <f t="shared" si="182"/>
        <v>0</v>
      </c>
      <c r="GW204">
        <v>1</v>
      </c>
      <c r="GX204">
        <f t="shared" si="183"/>
        <v>0</v>
      </c>
      <c r="HA204">
        <v>0</v>
      </c>
      <c r="HB204">
        <v>0</v>
      </c>
      <c r="IK204">
        <v>0</v>
      </c>
    </row>
    <row r="205" spans="1:255" x14ac:dyDescent="0.2">
      <c r="A205" s="2">
        <v>18</v>
      </c>
      <c r="B205" s="2">
        <v>1</v>
      </c>
      <c r="C205" s="2">
        <v>151</v>
      </c>
      <c r="D205" s="2"/>
      <c r="E205" s="2" t="s">
        <v>262</v>
      </c>
      <c r="F205" s="2" t="s">
        <v>258</v>
      </c>
      <c r="G205" s="2" t="s">
        <v>263</v>
      </c>
      <c r="H205" s="2" t="s">
        <v>260</v>
      </c>
      <c r="I205" s="2">
        <f>I199*J205</f>
        <v>3.9</v>
      </c>
      <c r="J205" s="2">
        <v>26</v>
      </c>
      <c r="K205" s="2"/>
      <c r="L205" s="2"/>
      <c r="M205" s="2"/>
      <c r="N205" s="2"/>
      <c r="O205" s="2">
        <f t="shared" si="150"/>
        <v>2707.26</v>
      </c>
      <c r="P205" s="2">
        <f t="shared" si="151"/>
        <v>2707.26</v>
      </c>
      <c r="Q205" s="2">
        <f t="shared" si="152"/>
        <v>0</v>
      </c>
      <c r="R205" s="2">
        <f t="shared" si="153"/>
        <v>0</v>
      </c>
      <c r="S205" s="2">
        <f t="shared" si="154"/>
        <v>0</v>
      </c>
      <c r="T205" s="2">
        <f t="shared" si="155"/>
        <v>0</v>
      </c>
      <c r="U205" s="2">
        <f t="shared" si="156"/>
        <v>0</v>
      </c>
      <c r="V205" s="2">
        <f t="shared" si="157"/>
        <v>0</v>
      </c>
      <c r="W205" s="2">
        <f t="shared" si="158"/>
        <v>0</v>
      </c>
      <c r="X205" s="2">
        <f t="shared" si="159"/>
        <v>0</v>
      </c>
      <c r="Y205" s="2">
        <f t="shared" si="160"/>
        <v>0</v>
      </c>
      <c r="Z205" s="2"/>
      <c r="AA205" s="2">
        <v>45037306</v>
      </c>
      <c r="AB205" s="2">
        <f t="shared" si="161"/>
        <v>694.17</v>
      </c>
      <c r="AC205" s="2">
        <f t="shared" si="162"/>
        <v>694.17</v>
      </c>
      <c r="AD205" s="2">
        <f t="shared" si="188"/>
        <v>0</v>
      </c>
      <c r="AE205" s="2">
        <f t="shared" si="188"/>
        <v>0</v>
      </c>
      <c r="AF205" s="2">
        <f t="shared" si="188"/>
        <v>0</v>
      </c>
      <c r="AG205" s="2">
        <f t="shared" si="163"/>
        <v>0</v>
      </c>
      <c r="AH205" s="2">
        <f t="shared" si="189"/>
        <v>0</v>
      </c>
      <c r="AI205" s="2">
        <f t="shared" si="189"/>
        <v>0</v>
      </c>
      <c r="AJ205" s="2">
        <f t="shared" si="164"/>
        <v>0</v>
      </c>
      <c r="AK205" s="2">
        <v>694.17</v>
      </c>
      <c r="AL205" s="2">
        <v>694.17</v>
      </c>
      <c r="AM205" s="2">
        <v>0</v>
      </c>
      <c r="AN205" s="2">
        <v>0</v>
      </c>
      <c r="AO205" s="2">
        <v>0</v>
      </c>
      <c r="AP205" s="2">
        <v>0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1</v>
      </c>
      <c r="AW205" s="2">
        <v>1</v>
      </c>
      <c r="AX205" s="2"/>
      <c r="AY205" s="2"/>
      <c r="AZ205" s="2">
        <v>1</v>
      </c>
      <c r="BA205" s="2">
        <v>1</v>
      </c>
      <c r="BB205" s="2">
        <v>1</v>
      </c>
      <c r="BC205" s="2">
        <v>1</v>
      </c>
      <c r="BD205" s="2" t="s">
        <v>3</v>
      </c>
      <c r="BE205" s="2" t="s">
        <v>3</v>
      </c>
      <c r="BF205" s="2" t="s">
        <v>3</v>
      </c>
      <c r="BG205" s="2" t="s">
        <v>3</v>
      </c>
      <c r="BH205" s="2">
        <v>3</v>
      </c>
      <c r="BI205" s="2">
        <v>1</v>
      </c>
      <c r="BJ205" s="2" t="s">
        <v>3</v>
      </c>
      <c r="BK205" s="2"/>
      <c r="BL205" s="2"/>
      <c r="BM205" s="2">
        <v>61</v>
      </c>
      <c r="BN205" s="2">
        <v>0</v>
      </c>
      <c r="BO205" s="2" t="s">
        <v>3</v>
      </c>
      <c r="BP205" s="2">
        <v>0</v>
      </c>
      <c r="BQ205" s="2">
        <v>30</v>
      </c>
      <c r="BR205" s="2">
        <v>0</v>
      </c>
      <c r="BS205" s="2">
        <v>1</v>
      </c>
      <c r="BT205" s="2">
        <v>1</v>
      </c>
      <c r="BU205" s="2">
        <v>1</v>
      </c>
      <c r="BV205" s="2">
        <v>1</v>
      </c>
      <c r="BW205" s="2">
        <v>1</v>
      </c>
      <c r="BX205" s="2">
        <v>1</v>
      </c>
      <c r="BY205" s="2" t="s">
        <v>3</v>
      </c>
      <c r="BZ205" s="2">
        <v>0</v>
      </c>
      <c r="CA205" s="2">
        <v>0</v>
      </c>
      <c r="CB205" s="2"/>
      <c r="CC205" s="2"/>
      <c r="CD205" s="2"/>
      <c r="CE205" s="2"/>
      <c r="CF205" s="2">
        <v>0</v>
      </c>
      <c r="CG205" s="2">
        <v>0</v>
      </c>
      <c r="CH205" s="2"/>
      <c r="CI205" s="2"/>
      <c r="CJ205" s="2"/>
      <c r="CK205" s="2"/>
      <c r="CL205" s="2"/>
      <c r="CM205" s="2">
        <v>0</v>
      </c>
      <c r="CN205" s="2" t="s">
        <v>3</v>
      </c>
      <c r="CO205" s="2">
        <v>0</v>
      </c>
      <c r="CP205" s="2">
        <f t="shared" si="165"/>
        <v>2707.26</v>
      </c>
      <c r="CQ205" s="2">
        <f t="shared" si="166"/>
        <v>694.17</v>
      </c>
      <c r="CR205" s="2">
        <f t="shared" si="167"/>
        <v>0</v>
      </c>
      <c r="CS205" s="2">
        <f t="shared" si="168"/>
        <v>0</v>
      </c>
      <c r="CT205" s="2">
        <f t="shared" si="169"/>
        <v>0</v>
      </c>
      <c r="CU205" s="2">
        <f t="shared" si="170"/>
        <v>0</v>
      </c>
      <c r="CV205" s="2">
        <f t="shared" si="171"/>
        <v>0</v>
      </c>
      <c r="CW205" s="2">
        <f t="shared" si="172"/>
        <v>0</v>
      </c>
      <c r="CX205" s="2">
        <f t="shared" si="173"/>
        <v>0</v>
      </c>
      <c r="CY205" s="2">
        <f t="shared" si="174"/>
        <v>0</v>
      </c>
      <c r="CZ205" s="2">
        <f t="shared" si="175"/>
        <v>0</v>
      </c>
      <c r="DA205" s="2"/>
      <c r="DB205" s="2"/>
      <c r="DC205" s="2" t="s">
        <v>3</v>
      </c>
      <c r="DD205" s="2" t="s">
        <v>3</v>
      </c>
      <c r="DE205" s="2" t="s">
        <v>3</v>
      </c>
      <c r="DF205" s="2" t="s">
        <v>3</v>
      </c>
      <c r="DG205" s="2" t="s">
        <v>3</v>
      </c>
      <c r="DH205" s="2" t="s">
        <v>3</v>
      </c>
      <c r="DI205" s="2" t="s">
        <v>3</v>
      </c>
      <c r="DJ205" s="2" t="s">
        <v>3</v>
      </c>
      <c r="DK205" s="2" t="s">
        <v>3</v>
      </c>
      <c r="DL205" s="2" t="s">
        <v>3</v>
      </c>
      <c r="DM205" s="2" t="s">
        <v>3</v>
      </c>
      <c r="DN205" s="2">
        <v>91</v>
      </c>
      <c r="DO205" s="2">
        <v>70</v>
      </c>
      <c r="DP205" s="2">
        <v>1.0469999999999999</v>
      </c>
      <c r="DQ205" s="2">
        <v>1</v>
      </c>
      <c r="DR205" s="2"/>
      <c r="DS205" s="2"/>
      <c r="DT205" s="2"/>
      <c r="DU205" s="2">
        <v>1013</v>
      </c>
      <c r="DV205" s="2" t="s">
        <v>260</v>
      </c>
      <c r="DW205" s="2" t="s">
        <v>260</v>
      </c>
      <c r="DX205" s="2">
        <v>1</v>
      </c>
      <c r="DY205" s="2"/>
      <c r="DZ205" s="2"/>
      <c r="EA205" s="2"/>
      <c r="EB205" s="2"/>
      <c r="EC205" s="2"/>
      <c r="ED205" s="2"/>
      <c r="EE205" s="2">
        <v>44846568</v>
      </c>
      <c r="EF205" s="2">
        <v>30</v>
      </c>
      <c r="EG205" s="2" t="s">
        <v>38</v>
      </c>
      <c r="EH205" s="2">
        <v>0</v>
      </c>
      <c r="EI205" s="2" t="s">
        <v>3</v>
      </c>
      <c r="EJ205" s="2">
        <v>1</v>
      </c>
      <c r="EK205" s="2">
        <v>61</v>
      </c>
      <c r="EL205" s="2" t="s">
        <v>251</v>
      </c>
      <c r="EM205" s="2" t="s">
        <v>252</v>
      </c>
      <c r="EN205" s="2"/>
      <c r="EO205" s="2" t="s">
        <v>3</v>
      </c>
      <c r="EP205" s="2"/>
      <c r="EQ205" s="2">
        <v>0</v>
      </c>
      <c r="ER205" s="2">
        <v>0</v>
      </c>
      <c r="ES205" s="2">
        <v>694.17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/>
      <c r="EZ205" s="2"/>
      <c r="FA205" s="2"/>
      <c r="FB205" s="2"/>
      <c r="FC205" s="2"/>
      <c r="FD205" s="2"/>
      <c r="FE205" s="2"/>
      <c r="FF205" s="2"/>
      <c r="FG205" s="2"/>
      <c r="FH205" s="2"/>
      <c r="FI205" s="2"/>
      <c r="FJ205" s="2"/>
      <c r="FK205" s="2"/>
      <c r="FL205" s="2"/>
      <c r="FM205" s="2"/>
      <c r="FN205" s="2"/>
      <c r="FO205" s="2"/>
      <c r="FP205" s="2"/>
      <c r="FQ205" s="2">
        <v>0</v>
      </c>
      <c r="FR205" s="2">
        <f t="shared" si="176"/>
        <v>0</v>
      </c>
      <c r="FS205" s="2">
        <v>0</v>
      </c>
      <c r="FT205" s="2"/>
      <c r="FU205" s="2"/>
      <c r="FV205" s="2"/>
      <c r="FW205" s="2"/>
      <c r="FX205" s="2">
        <v>91</v>
      </c>
      <c r="FY205" s="2">
        <v>70</v>
      </c>
      <c r="FZ205" s="2"/>
      <c r="GA205" s="2" t="s">
        <v>264</v>
      </c>
      <c r="GB205" s="2"/>
      <c r="GC205" s="2"/>
      <c r="GD205" s="2">
        <v>0</v>
      </c>
      <c r="GE205" s="2"/>
      <c r="GF205" s="2">
        <v>1342183003</v>
      </c>
      <c r="GG205" s="2">
        <v>2</v>
      </c>
      <c r="GH205" s="2">
        <v>4</v>
      </c>
      <c r="GI205" s="2">
        <v>3</v>
      </c>
      <c r="GJ205" s="2">
        <v>0</v>
      </c>
      <c r="GK205" s="2">
        <f>ROUND(R205*(R12)/100,2)</f>
        <v>0</v>
      </c>
      <c r="GL205" s="2">
        <f t="shared" si="177"/>
        <v>0</v>
      </c>
      <c r="GM205" s="2">
        <f t="shared" si="178"/>
        <v>2707.26</v>
      </c>
      <c r="GN205" s="2">
        <f t="shared" si="179"/>
        <v>2707.26</v>
      </c>
      <c r="GO205" s="2">
        <f t="shared" si="180"/>
        <v>0</v>
      </c>
      <c r="GP205" s="2">
        <f t="shared" si="181"/>
        <v>0</v>
      </c>
      <c r="GQ205" s="2"/>
      <c r="GR205" s="2">
        <v>0</v>
      </c>
      <c r="GS205" s="2">
        <v>2</v>
      </c>
      <c r="GT205" s="2">
        <v>0</v>
      </c>
      <c r="GU205" s="2" t="s">
        <v>3</v>
      </c>
      <c r="GV205" s="2">
        <f t="shared" si="182"/>
        <v>0</v>
      </c>
      <c r="GW205" s="2">
        <v>1</v>
      </c>
      <c r="GX205" s="2">
        <f t="shared" si="183"/>
        <v>0</v>
      </c>
      <c r="GY205" s="2"/>
      <c r="GZ205" s="2"/>
      <c r="HA205" s="2">
        <v>0</v>
      </c>
      <c r="HB205" s="2">
        <v>0</v>
      </c>
      <c r="HC205" s="2"/>
      <c r="HD205" s="2"/>
      <c r="HE205" s="2"/>
      <c r="HF205" s="2"/>
      <c r="HG205" s="2"/>
      <c r="HH205" s="2"/>
      <c r="HI205" s="2"/>
      <c r="HJ205" s="2"/>
      <c r="HK205" s="2"/>
      <c r="HL205" s="2"/>
      <c r="HM205" s="2"/>
      <c r="HN205" s="2"/>
      <c r="HO205" s="2"/>
      <c r="HP205" s="2"/>
      <c r="HQ205" s="2"/>
      <c r="HR205" s="2"/>
      <c r="HS205" s="2"/>
      <c r="HT205" s="2"/>
      <c r="HU205" s="2"/>
      <c r="HV205" s="2"/>
      <c r="HW205" s="2"/>
      <c r="HX205" s="2"/>
      <c r="HY205" s="2"/>
      <c r="HZ205" s="2"/>
      <c r="IA205" s="2"/>
      <c r="IB205" s="2"/>
      <c r="IC205" s="2"/>
      <c r="ID205" s="2"/>
      <c r="IE205" s="2"/>
      <c r="IF205" s="2"/>
      <c r="IG205" s="2"/>
      <c r="IH205" s="2"/>
      <c r="II205" s="2"/>
      <c r="IJ205" s="2"/>
      <c r="IK205" s="2">
        <v>0</v>
      </c>
      <c r="IL205" s="2"/>
      <c r="IM205" s="2"/>
      <c r="IN205" s="2"/>
      <c r="IO205" s="2"/>
      <c r="IP205" s="2"/>
      <c r="IQ205" s="2"/>
      <c r="IR205" s="2"/>
      <c r="IS205" s="2"/>
      <c r="IT205" s="2"/>
      <c r="IU205" s="2"/>
    </row>
    <row r="206" spans="1:255" x14ac:dyDescent="0.2">
      <c r="A206">
        <v>18</v>
      </c>
      <c r="B206">
        <v>1</v>
      </c>
      <c r="C206">
        <v>156</v>
      </c>
      <c r="E206" t="s">
        <v>262</v>
      </c>
      <c r="F206" t="s">
        <v>258</v>
      </c>
      <c r="G206" t="s">
        <v>263</v>
      </c>
      <c r="H206" t="s">
        <v>260</v>
      </c>
      <c r="I206">
        <f>I200*J206</f>
        <v>3.9</v>
      </c>
      <c r="J206">
        <v>26</v>
      </c>
      <c r="O206">
        <f t="shared" si="150"/>
        <v>14158.99</v>
      </c>
      <c r="P206">
        <f t="shared" si="151"/>
        <v>14158.99</v>
      </c>
      <c r="Q206">
        <f t="shared" si="152"/>
        <v>0</v>
      </c>
      <c r="R206">
        <f t="shared" si="153"/>
        <v>0</v>
      </c>
      <c r="S206">
        <f t="shared" si="154"/>
        <v>0</v>
      </c>
      <c r="T206">
        <f t="shared" si="155"/>
        <v>0</v>
      </c>
      <c r="U206">
        <f t="shared" si="156"/>
        <v>0</v>
      </c>
      <c r="V206">
        <f t="shared" si="157"/>
        <v>0</v>
      </c>
      <c r="W206">
        <f t="shared" si="158"/>
        <v>0</v>
      </c>
      <c r="X206">
        <f t="shared" si="159"/>
        <v>0</v>
      </c>
      <c r="Y206">
        <f t="shared" si="160"/>
        <v>0</v>
      </c>
      <c r="AA206">
        <v>45037307</v>
      </c>
      <c r="AB206">
        <f t="shared" si="161"/>
        <v>694.17</v>
      </c>
      <c r="AC206">
        <f t="shared" si="162"/>
        <v>694.17</v>
      </c>
      <c r="AD206">
        <f t="shared" si="188"/>
        <v>0</v>
      </c>
      <c r="AE206">
        <f t="shared" si="188"/>
        <v>0</v>
      </c>
      <c r="AF206">
        <f t="shared" si="188"/>
        <v>0</v>
      </c>
      <c r="AG206">
        <f t="shared" si="163"/>
        <v>0</v>
      </c>
      <c r="AH206">
        <f t="shared" si="189"/>
        <v>0</v>
      </c>
      <c r="AI206">
        <f t="shared" si="189"/>
        <v>0</v>
      </c>
      <c r="AJ206">
        <f t="shared" si="164"/>
        <v>0</v>
      </c>
      <c r="AK206">
        <v>694.17</v>
      </c>
      <c r="AL206">
        <v>694.17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1</v>
      </c>
      <c r="AW206">
        <v>1</v>
      </c>
      <c r="AZ206">
        <v>1</v>
      </c>
      <c r="BA206">
        <v>1</v>
      </c>
      <c r="BB206">
        <v>1</v>
      </c>
      <c r="BC206">
        <v>5.23</v>
      </c>
      <c r="BD206" t="s">
        <v>3</v>
      </c>
      <c r="BE206" t="s">
        <v>3</v>
      </c>
      <c r="BF206" t="s">
        <v>3</v>
      </c>
      <c r="BG206" t="s">
        <v>3</v>
      </c>
      <c r="BH206">
        <v>3</v>
      </c>
      <c r="BI206">
        <v>1</v>
      </c>
      <c r="BJ206" t="s">
        <v>3</v>
      </c>
      <c r="BM206">
        <v>61</v>
      </c>
      <c r="BN206">
        <v>0</v>
      </c>
      <c r="BO206" t="s">
        <v>3</v>
      </c>
      <c r="BP206">
        <v>0</v>
      </c>
      <c r="BQ206">
        <v>30</v>
      </c>
      <c r="BR206">
        <v>0</v>
      </c>
      <c r="BS206">
        <v>1</v>
      </c>
      <c r="BT206">
        <v>1</v>
      </c>
      <c r="BU206">
        <v>1</v>
      </c>
      <c r="BV206">
        <v>1</v>
      </c>
      <c r="BW206">
        <v>1</v>
      </c>
      <c r="BX206">
        <v>1</v>
      </c>
      <c r="BY206" t="s">
        <v>3</v>
      </c>
      <c r="BZ206">
        <v>0</v>
      </c>
      <c r="CA206">
        <v>0</v>
      </c>
      <c r="CF206">
        <v>0</v>
      </c>
      <c r="CG206">
        <v>0</v>
      </c>
      <c r="CM206">
        <v>0</v>
      </c>
      <c r="CN206" t="s">
        <v>3</v>
      </c>
      <c r="CO206">
        <v>0</v>
      </c>
      <c r="CP206">
        <f t="shared" si="165"/>
        <v>14158.99</v>
      </c>
      <c r="CQ206">
        <f t="shared" si="166"/>
        <v>3630.5091000000002</v>
      </c>
      <c r="CR206">
        <f t="shared" si="167"/>
        <v>0</v>
      </c>
      <c r="CS206">
        <f t="shared" si="168"/>
        <v>0</v>
      </c>
      <c r="CT206">
        <f t="shared" si="169"/>
        <v>0</v>
      </c>
      <c r="CU206">
        <f t="shared" si="170"/>
        <v>0</v>
      </c>
      <c r="CV206">
        <f t="shared" si="171"/>
        <v>0</v>
      </c>
      <c r="CW206">
        <f t="shared" si="172"/>
        <v>0</v>
      </c>
      <c r="CX206">
        <f t="shared" si="173"/>
        <v>0</v>
      </c>
      <c r="CY206">
        <f t="shared" si="174"/>
        <v>0</v>
      </c>
      <c r="CZ206">
        <f t="shared" si="175"/>
        <v>0</v>
      </c>
      <c r="DC206" t="s">
        <v>3</v>
      </c>
      <c r="DD206" t="s">
        <v>3</v>
      </c>
      <c r="DE206" t="s">
        <v>3</v>
      </c>
      <c r="DF206" t="s">
        <v>3</v>
      </c>
      <c r="DG206" t="s">
        <v>3</v>
      </c>
      <c r="DH206" t="s">
        <v>3</v>
      </c>
      <c r="DI206" t="s">
        <v>3</v>
      </c>
      <c r="DJ206" t="s">
        <v>3</v>
      </c>
      <c r="DK206" t="s">
        <v>3</v>
      </c>
      <c r="DL206" t="s">
        <v>3</v>
      </c>
      <c r="DM206" t="s">
        <v>3</v>
      </c>
      <c r="DN206">
        <v>91</v>
      </c>
      <c r="DO206">
        <v>70</v>
      </c>
      <c r="DP206">
        <v>1.0469999999999999</v>
      </c>
      <c r="DQ206">
        <v>1</v>
      </c>
      <c r="DU206">
        <v>1013</v>
      </c>
      <c r="DV206" t="s">
        <v>260</v>
      </c>
      <c r="DW206" t="s">
        <v>260</v>
      </c>
      <c r="DX206">
        <v>1</v>
      </c>
      <c r="EE206">
        <v>44846568</v>
      </c>
      <c r="EF206">
        <v>30</v>
      </c>
      <c r="EG206" t="s">
        <v>38</v>
      </c>
      <c r="EH206">
        <v>0</v>
      </c>
      <c r="EI206" t="s">
        <v>3</v>
      </c>
      <c r="EJ206">
        <v>1</v>
      </c>
      <c r="EK206">
        <v>61</v>
      </c>
      <c r="EL206" t="s">
        <v>251</v>
      </c>
      <c r="EM206" t="s">
        <v>252</v>
      </c>
      <c r="EO206" t="s">
        <v>3</v>
      </c>
      <c r="EQ206">
        <v>0</v>
      </c>
      <c r="ER206">
        <v>702.23</v>
      </c>
      <c r="ES206">
        <v>694.17</v>
      </c>
      <c r="ET206">
        <v>0</v>
      </c>
      <c r="EU206">
        <v>0</v>
      </c>
      <c r="EV206">
        <v>0</v>
      </c>
      <c r="EW206">
        <v>0</v>
      </c>
      <c r="EX206">
        <v>0</v>
      </c>
      <c r="EZ206">
        <v>5</v>
      </c>
      <c r="FC206">
        <v>1</v>
      </c>
      <c r="FD206">
        <v>18</v>
      </c>
      <c r="FF206">
        <v>4200</v>
      </c>
      <c r="FQ206">
        <v>0</v>
      </c>
      <c r="FR206">
        <f t="shared" si="176"/>
        <v>0</v>
      </c>
      <c r="FS206">
        <v>0</v>
      </c>
      <c r="FX206">
        <v>91</v>
      </c>
      <c r="FY206">
        <v>70</v>
      </c>
      <c r="GA206" t="s">
        <v>264</v>
      </c>
      <c r="GD206">
        <v>0</v>
      </c>
      <c r="GF206">
        <v>1342183003</v>
      </c>
      <c r="GG206">
        <v>2</v>
      </c>
      <c r="GH206">
        <v>3</v>
      </c>
      <c r="GI206">
        <v>3</v>
      </c>
      <c r="GJ206">
        <v>0</v>
      </c>
      <c r="GK206">
        <f>ROUND(R206*(S12)/100,2)</f>
        <v>0</v>
      </c>
      <c r="GL206">
        <f t="shared" si="177"/>
        <v>0</v>
      </c>
      <c r="GM206">
        <f t="shared" si="178"/>
        <v>14158.99</v>
      </c>
      <c r="GN206">
        <f t="shared" si="179"/>
        <v>14158.99</v>
      </c>
      <c r="GO206">
        <f t="shared" si="180"/>
        <v>0</v>
      </c>
      <c r="GP206">
        <f t="shared" si="181"/>
        <v>0</v>
      </c>
      <c r="GR206">
        <v>1</v>
      </c>
      <c r="GS206">
        <v>1</v>
      </c>
      <c r="GT206">
        <v>0</v>
      </c>
      <c r="GU206" t="s">
        <v>3</v>
      </c>
      <c r="GV206">
        <f t="shared" si="182"/>
        <v>0</v>
      </c>
      <c r="GW206">
        <v>1</v>
      </c>
      <c r="GX206">
        <f t="shared" si="183"/>
        <v>0</v>
      </c>
      <c r="HA206">
        <v>0</v>
      </c>
      <c r="HB206">
        <v>0</v>
      </c>
      <c r="IK206">
        <v>0</v>
      </c>
    </row>
    <row r="207" spans="1:255" x14ac:dyDescent="0.2">
      <c r="A207" s="2">
        <v>17</v>
      </c>
      <c r="B207" s="2">
        <v>1</v>
      </c>
      <c r="C207" s="2">
        <f>ROW(SmtRes!A162)</f>
        <v>162</v>
      </c>
      <c r="D207" s="2">
        <f>ROW(EtalonRes!A161)</f>
        <v>161</v>
      </c>
      <c r="E207" s="2" t="s">
        <v>265</v>
      </c>
      <c r="F207" s="2" t="s">
        <v>266</v>
      </c>
      <c r="G207" s="2" t="s">
        <v>267</v>
      </c>
      <c r="H207" s="2" t="s">
        <v>268</v>
      </c>
      <c r="I207" s="2">
        <f>ROUND(6.1/100,9)</f>
        <v>6.0999999999999999E-2</v>
      </c>
      <c r="J207" s="2">
        <v>0</v>
      </c>
      <c r="K207" s="2"/>
      <c r="L207" s="2"/>
      <c r="M207" s="2"/>
      <c r="N207" s="2"/>
      <c r="O207" s="2">
        <f t="shared" si="150"/>
        <v>163.52000000000001</v>
      </c>
      <c r="P207" s="2">
        <f t="shared" si="151"/>
        <v>0.04</v>
      </c>
      <c r="Q207" s="2">
        <f t="shared" si="152"/>
        <v>6.64</v>
      </c>
      <c r="R207" s="2">
        <f t="shared" si="153"/>
        <v>1.57</v>
      </c>
      <c r="S207" s="2">
        <f t="shared" si="154"/>
        <v>156.84</v>
      </c>
      <c r="T207" s="2">
        <f t="shared" si="155"/>
        <v>0</v>
      </c>
      <c r="U207" s="2">
        <f t="shared" si="156"/>
        <v>12.556849999999999</v>
      </c>
      <c r="V207" s="2">
        <f t="shared" si="157"/>
        <v>0</v>
      </c>
      <c r="W207" s="2">
        <f t="shared" si="158"/>
        <v>0</v>
      </c>
      <c r="X207" s="2">
        <f t="shared" si="159"/>
        <v>0</v>
      </c>
      <c r="Y207" s="2">
        <f t="shared" si="160"/>
        <v>0</v>
      </c>
      <c r="Z207" s="2"/>
      <c r="AA207" s="2">
        <v>45037306</v>
      </c>
      <c r="AB207" s="2">
        <f t="shared" si="161"/>
        <v>2680.6390000000001</v>
      </c>
      <c r="AC207" s="2">
        <f t="shared" si="162"/>
        <v>0.71</v>
      </c>
      <c r="AD207" s="2">
        <f>ROUND(((ET207*1.25)),6)</f>
        <v>108.8625</v>
      </c>
      <c r="AE207" s="2">
        <f>ROUND(((EU207*1.25)),6)</f>
        <v>25.725000000000001</v>
      </c>
      <c r="AF207" s="2">
        <f>ROUND(((EV207*1.15)),6)</f>
        <v>2571.0664999999999</v>
      </c>
      <c r="AG207" s="2">
        <f t="shared" si="163"/>
        <v>0</v>
      </c>
      <c r="AH207" s="2">
        <f>((EW207*1.15))</f>
        <v>205.85</v>
      </c>
      <c r="AI207" s="2">
        <f>((EX207*1.25))</f>
        <v>0</v>
      </c>
      <c r="AJ207" s="2">
        <f t="shared" si="164"/>
        <v>0</v>
      </c>
      <c r="AK207" s="2">
        <v>2323.5100000000002</v>
      </c>
      <c r="AL207" s="2">
        <v>0.71</v>
      </c>
      <c r="AM207" s="2">
        <v>87.09</v>
      </c>
      <c r="AN207" s="2">
        <v>20.58</v>
      </c>
      <c r="AO207" s="2">
        <v>2235.71</v>
      </c>
      <c r="AP207" s="2">
        <v>0</v>
      </c>
      <c r="AQ207" s="2">
        <v>179</v>
      </c>
      <c r="AR207" s="2">
        <v>0</v>
      </c>
      <c r="AS207" s="2">
        <v>0</v>
      </c>
      <c r="AT207" s="2">
        <v>0</v>
      </c>
      <c r="AU207" s="2">
        <v>0</v>
      </c>
      <c r="AV207" s="2">
        <v>1</v>
      </c>
      <c r="AW207" s="2">
        <v>1</v>
      </c>
      <c r="AX207" s="2"/>
      <c r="AY207" s="2"/>
      <c r="AZ207" s="2">
        <v>1</v>
      </c>
      <c r="BA207" s="2">
        <v>1</v>
      </c>
      <c r="BB207" s="2">
        <v>1</v>
      </c>
      <c r="BC207" s="2">
        <v>1</v>
      </c>
      <c r="BD207" s="2" t="s">
        <v>3</v>
      </c>
      <c r="BE207" s="2" t="s">
        <v>3</v>
      </c>
      <c r="BF207" s="2" t="s">
        <v>3</v>
      </c>
      <c r="BG207" s="2" t="s">
        <v>3</v>
      </c>
      <c r="BH207" s="2">
        <v>0</v>
      </c>
      <c r="BI207" s="2">
        <v>1</v>
      </c>
      <c r="BJ207" s="2" t="s">
        <v>269</v>
      </c>
      <c r="BK207" s="2"/>
      <c r="BL207" s="2"/>
      <c r="BM207" s="2">
        <v>115</v>
      </c>
      <c r="BN207" s="2">
        <v>7156650</v>
      </c>
      <c r="BO207" s="2" t="s">
        <v>3</v>
      </c>
      <c r="BP207" s="2">
        <v>0</v>
      </c>
      <c r="BQ207" s="2">
        <v>30</v>
      </c>
      <c r="BR207" s="2">
        <v>0</v>
      </c>
      <c r="BS207" s="2">
        <v>1</v>
      </c>
      <c r="BT207" s="2">
        <v>1</v>
      </c>
      <c r="BU207" s="2">
        <v>1</v>
      </c>
      <c r="BV207" s="2">
        <v>1</v>
      </c>
      <c r="BW207" s="2">
        <v>1</v>
      </c>
      <c r="BX207" s="2">
        <v>1</v>
      </c>
      <c r="BY207" s="2" t="s">
        <v>3</v>
      </c>
      <c r="BZ207" s="2">
        <v>0</v>
      </c>
      <c r="CA207" s="2">
        <v>0</v>
      </c>
      <c r="CB207" s="2"/>
      <c r="CC207" s="2"/>
      <c r="CD207" s="2"/>
      <c r="CE207" s="2"/>
      <c r="CF207" s="2">
        <v>0</v>
      </c>
      <c r="CG207" s="2">
        <v>0</v>
      </c>
      <c r="CH207" s="2"/>
      <c r="CI207" s="2"/>
      <c r="CJ207" s="2"/>
      <c r="CK207" s="2"/>
      <c r="CL207" s="2"/>
      <c r="CM207" s="2">
        <v>0</v>
      </c>
      <c r="CN207" s="2" t="s">
        <v>3</v>
      </c>
      <c r="CO207" s="2">
        <v>0</v>
      </c>
      <c r="CP207" s="2">
        <f t="shared" si="165"/>
        <v>163.52000000000001</v>
      </c>
      <c r="CQ207" s="2">
        <f t="shared" si="166"/>
        <v>0.71</v>
      </c>
      <c r="CR207" s="2">
        <f t="shared" si="167"/>
        <v>108.8625</v>
      </c>
      <c r="CS207" s="2">
        <f t="shared" si="168"/>
        <v>25.725000000000001</v>
      </c>
      <c r="CT207" s="2">
        <f t="shared" si="169"/>
        <v>2571.0664999999999</v>
      </c>
      <c r="CU207" s="2">
        <f t="shared" si="170"/>
        <v>0</v>
      </c>
      <c r="CV207" s="2">
        <f t="shared" si="171"/>
        <v>205.85</v>
      </c>
      <c r="CW207" s="2">
        <f t="shared" si="172"/>
        <v>0</v>
      </c>
      <c r="CX207" s="2">
        <f t="shared" si="173"/>
        <v>0</v>
      </c>
      <c r="CY207" s="2">
        <f t="shared" si="174"/>
        <v>0</v>
      </c>
      <c r="CZ207" s="2">
        <f t="shared" si="175"/>
        <v>0</v>
      </c>
      <c r="DA207" s="2"/>
      <c r="DB207" s="2"/>
      <c r="DC207" s="2" t="s">
        <v>3</v>
      </c>
      <c r="DD207" s="2" t="s">
        <v>3</v>
      </c>
      <c r="DE207" s="2" t="s">
        <v>36</v>
      </c>
      <c r="DF207" s="2" t="s">
        <v>36</v>
      </c>
      <c r="DG207" s="2" t="s">
        <v>37</v>
      </c>
      <c r="DH207" s="2" t="s">
        <v>3</v>
      </c>
      <c r="DI207" s="2" t="s">
        <v>37</v>
      </c>
      <c r="DJ207" s="2" t="s">
        <v>36</v>
      </c>
      <c r="DK207" s="2" t="s">
        <v>3</v>
      </c>
      <c r="DL207" s="2" t="s">
        <v>3</v>
      </c>
      <c r="DM207" s="2" t="s">
        <v>3</v>
      </c>
      <c r="DN207" s="2">
        <v>100</v>
      </c>
      <c r="DO207" s="2">
        <v>64</v>
      </c>
      <c r="DP207" s="2">
        <v>1.0249999999999999</v>
      </c>
      <c r="DQ207" s="2">
        <v>1</v>
      </c>
      <c r="DR207" s="2"/>
      <c r="DS207" s="2"/>
      <c r="DT207" s="2"/>
      <c r="DU207" s="2">
        <v>1013</v>
      </c>
      <c r="DV207" s="2" t="s">
        <v>268</v>
      </c>
      <c r="DW207" s="2" t="s">
        <v>268</v>
      </c>
      <c r="DX207" s="2">
        <v>1</v>
      </c>
      <c r="DY207" s="2"/>
      <c r="DZ207" s="2"/>
      <c r="EA207" s="2"/>
      <c r="EB207" s="2"/>
      <c r="EC207" s="2"/>
      <c r="ED207" s="2"/>
      <c r="EE207" s="2">
        <v>44846622</v>
      </c>
      <c r="EF207" s="2">
        <v>30</v>
      </c>
      <c r="EG207" s="2" t="s">
        <v>38</v>
      </c>
      <c r="EH207" s="2">
        <v>0</v>
      </c>
      <c r="EI207" s="2" t="s">
        <v>3</v>
      </c>
      <c r="EJ207" s="2">
        <v>1</v>
      </c>
      <c r="EK207" s="2">
        <v>115</v>
      </c>
      <c r="EL207" s="2" t="s">
        <v>270</v>
      </c>
      <c r="EM207" s="2" t="s">
        <v>271</v>
      </c>
      <c r="EN207" s="2"/>
      <c r="EO207" s="2" t="s">
        <v>3</v>
      </c>
      <c r="EP207" s="2"/>
      <c r="EQ207" s="2">
        <v>131072</v>
      </c>
      <c r="ER207" s="2">
        <v>2323.5100000000002</v>
      </c>
      <c r="ES207" s="2">
        <v>0.71</v>
      </c>
      <c r="ET207" s="2">
        <v>87.09</v>
      </c>
      <c r="EU207" s="2">
        <v>20.58</v>
      </c>
      <c r="EV207" s="2">
        <v>2235.71</v>
      </c>
      <c r="EW207" s="2">
        <v>179</v>
      </c>
      <c r="EX207" s="2">
        <v>0</v>
      </c>
      <c r="EY207" s="2">
        <v>0</v>
      </c>
      <c r="EZ207" s="2"/>
      <c r="FA207" s="2"/>
      <c r="FB207" s="2"/>
      <c r="FC207" s="2"/>
      <c r="FD207" s="2"/>
      <c r="FE207" s="2"/>
      <c r="FF207" s="2"/>
      <c r="FG207" s="2"/>
      <c r="FH207" s="2"/>
      <c r="FI207" s="2"/>
      <c r="FJ207" s="2"/>
      <c r="FK207" s="2"/>
      <c r="FL207" s="2"/>
      <c r="FM207" s="2"/>
      <c r="FN207" s="2"/>
      <c r="FO207" s="2"/>
      <c r="FP207" s="2"/>
      <c r="FQ207" s="2">
        <v>0</v>
      </c>
      <c r="FR207" s="2">
        <f t="shared" si="176"/>
        <v>0</v>
      </c>
      <c r="FS207" s="2">
        <v>0</v>
      </c>
      <c r="FT207" s="2"/>
      <c r="FU207" s="2"/>
      <c r="FV207" s="2"/>
      <c r="FW207" s="2"/>
      <c r="FX207" s="2">
        <v>100</v>
      </c>
      <c r="FY207" s="2">
        <v>64</v>
      </c>
      <c r="FZ207" s="2"/>
      <c r="GA207" s="2" t="s">
        <v>3</v>
      </c>
      <c r="GB207" s="2"/>
      <c r="GC207" s="2"/>
      <c r="GD207" s="2">
        <v>0</v>
      </c>
      <c r="GE207" s="2"/>
      <c r="GF207" s="2">
        <v>1201228815</v>
      </c>
      <c r="GG207" s="2">
        <v>2</v>
      </c>
      <c r="GH207" s="2">
        <v>1</v>
      </c>
      <c r="GI207" s="2">
        <v>3</v>
      </c>
      <c r="GJ207" s="2">
        <v>0</v>
      </c>
      <c r="GK207" s="2">
        <f>ROUND(R207*(R12)/100,2)</f>
        <v>2.83</v>
      </c>
      <c r="GL207" s="2">
        <f t="shared" si="177"/>
        <v>0</v>
      </c>
      <c r="GM207" s="2">
        <f t="shared" si="178"/>
        <v>166.35</v>
      </c>
      <c r="GN207" s="2">
        <f t="shared" si="179"/>
        <v>166.35</v>
      </c>
      <c r="GO207" s="2">
        <f t="shared" si="180"/>
        <v>0</v>
      </c>
      <c r="GP207" s="2">
        <f t="shared" si="181"/>
        <v>0</v>
      </c>
      <c r="GQ207" s="2"/>
      <c r="GR207" s="2">
        <v>0</v>
      </c>
      <c r="GS207" s="2">
        <v>3</v>
      </c>
      <c r="GT207" s="2">
        <v>0</v>
      </c>
      <c r="GU207" s="2" t="s">
        <v>3</v>
      </c>
      <c r="GV207" s="2">
        <f t="shared" si="182"/>
        <v>0</v>
      </c>
      <c r="GW207" s="2">
        <v>1</v>
      </c>
      <c r="GX207" s="2">
        <f t="shared" si="183"/>
        <v>0</v>
      </c>
      <c r="GY207" s="2"/>
      <c r="GZ207" s="2"/>
      <c r="HA207" s="2">
        <v>0</v>
      </c>
      <c r="HB207" s="2">
        <v>0</v>
      </c>
      <c r="HC207" s="2"/>
      <c r="HD207" s="2"/>
      <c r="HE207" s="2"/>
      <c r="HF207" s="2"/>
      <c r="HG207" s="2"/>
      <c r="HH207" s="2"/>
      <c r="HI207" s="2"/>
      <c r="HJ207" s="2"/>
      <c r="HK207" s="2"/>
      <c r="HL207" s="2"/>
      <c r="HM207" s="2"/>
      <c r="HN207" s="2"/>
      <c r="HO207" s="2"/>
      <c r="HP207" s="2"/>
      <c r="HQ207" s="2"/>
      <c r="HR207" s="2"/>
      <c r="HS207" s="2"/>
      <c r="HT207" s="2"/>
      <c r="HU207" s="2"/>
      <c r="HV207" s="2"/>
      <c r="HW207" s="2"/>
      <c r="HX207" s="2"/>
      <c r="HY207" s="2"/>
      <c r="HZ207" s="2"/>
      <c r="IA207" s="2"/>
      <c r="IB207" s="2"/>
      <c r="IC207" s="2"/>
      <c r="ID207" s="2"/>
      <c r="IE207" s="2"/>
      <c r="IF207" s="2"/>
      <c r="IG207" s="2"/>
      <c r="IH207" s="2"/>
      <c r="II207" s="2"/>
      <c r="IJ207" s="2"/>
      <c r="IK207" s="2">
        <v>0</v>
      </c>
      <c r="IL207" s="2"/>
      <c r="IM207" s="2"/>
      <c r="IN207" s="2"/>
      <c r="IO207" s="2"/>
      <c r="IP207" s="2"/>
      <c r="IQ207" s="2"/>
      <c r="IR207" s="2"/>
      <c r="IS207" s="2"/>
      <c r="IT207" s="2"/>
      <c r="IU207" s="2"/>
    </row>
    <row r="208" spans="1:255" x14ac:dyDescent="0.2">
      <c r="A208">
        <v>17</v>
      </c>
      <c r="B208">
        <v>1</v>
      </c>
      <c r="C208">
        <f>ROW(SmtRes!A168)</f>
        <v>168</v>
      </c>
      <c r="D208">
        <f>ROW(EtalonRes!A168)</f>
        <v>168</v>
      </c>
      <c r="E208" t="s">
        <v>265</v>
      </c>
      <c r="F208" t="s">
        <v>266</v>
      </c>
      <c r="G208" t="s">
        <v>267</v>
      </c>
      <c r="H208" t="s">
        <v>268</v>
      </c>
      <c r="I208">
        <f>ROUND(6.1/100,9)</f>
        <v>6.0999999999999999E-2</v>
      </c>
      <c r="J208">
        <v>0</v>
      </c>
      <c r="O208">
        <f t="shared" si="150"/>
        <v>3259.1</v>
      </c>
      <c r="P208">
        <f t="shared" si="151"/>
        <v>0.23</v>
      </c>
      <c r="Q208">
        <f t="shared" si="152"/>
        <v>59.43</v>
      </c>
      <c r="R208">
        <f t="shared" si="153"/>
        <v>32.01</v>
      </c>
      <c r="S208">
        <f t="shared" si="154"/>
        <v>3199.44</v>
      </c>
      <c r="T208">
        <f t="shared" si="155"/>
        <v>0</v>
      </c>
      <c r="U208">
        <f t="shared" si="156"/>
        <v>12.556849999999999</v>
      </c>
      <c r="V208">
        <f t="shared" si="157"/>
        <v>0</v>
      </c>
      <c r="W208">
        <f t="shared" si="158"/>
        <v>0</v>
      </c>
      <c r="X208">
        <f t="shared" si="159"/>
        <v>2591.5500000000002</v>
      </c>
      <c r="Y208">
        <f t="shared" si="160"/>
        <v>1311.77</v>
      </c>
      <c r="AA208">
        <v>45037307</v>
      </c>
      <c r="AB208">
        <f t="shared" si="161"/>
        <v>2680.6390000000001</v>
      </c>
      <c r="AC208">
        <f t="shared" si="162"/>
        <v>0.71</v>
      </c>
      <c r="AD208">
        <f>ROUND(((ET208*1.25)),6)</f>
        <v>108.8625</v>
      </c>
      <c r="AE208">
        <f>ROUND(((EU208*1.25)),6)</f>
        <v>25.725000000000001</v>
      </c>
      <c r="AF208">
        <f>ROUND(((EV208*1.15)),6)</f>
        <v>2571.0664999999999</v>
      </c>
      <c r="AG208">
        <f t="shared" si="163"/>
        <v>0</v>
      </c>
      <c r="AH208">
        <f>((EW208*1.15))</f>
        <v>205.85</v>
      </c>
      <c r="AI208">
        <f>((EX208*1.25))</f>
        <v>0</v>
      </c>
      <c r="AJ208">
        <f t="shared" si="164"/>
        <v>0</v>
      </c>
      <c r="AK208">
        <v>2323.5100000000002</v>
      </c>
      <c r="AL208">
        <v>0.71</v>
      </c>
      <c r="AM208">
        <v>87.09</v>
      </c>
      <c r="AN208">
        <v>20.58</v>
      </c>
      <c r="AO208">
        <v>2235.71</v>
      </c>
      <c r="AP208">
        <v>0</v>
      </c>
      <c r="AQ208">
        <v>179</v>
      </c>
      <c r="AR208">
        <v>0</v>
      </c>
      <c r="AS208">
        <v>0</v>
      </c>
      <c r="AT208">
        <v>81</v>
      </c>
      <c r="AU208">
        <v>41</v>
      </c>
      <c r="AV208">
        <v>1</v>
      </c>
      <c r="AW208">
        <v>1</v>
      </c>
      <c r="AZ208">
        <v>1</v>
      </c>
      <c r="BA208">
        <v>20.399999999999999</v>
      </c>
      <c r="BB208">
        <v>8.9499999999999993</v>
      </c>
      <c r="BC208">
        <v>5.23</v>
      </c>
      <c r="BD208" t="s">
        <v>3</v>
      </c>
      <c r="BE208" t="s">
        <v>3</v>
      </c>
      <c r="BF208" t="s">
        <v>3</v>
      </c>
      <c r="BG208" t="s">
        <v>3</v>
      </c>
      <c r="BH208">
        <v>0</v>
      </c>
      <c r="BI208">
        <v>1</v>
      </c>
      <c r="BJ208" t="s">
        <v>269</v>
      </c>
      <c r="BM208">
        <v>115</v>
      </c>
      <c r="BN208">
        <v>7156650</v>
      </c>
      <c r="BO208" t="s">
        <v>266</v>
      </c>
      <c r="BP208">
        <v>1</v>
      </c>
      <c r="BQ208">
        <v>30</v>
      </c>
      <c r="BR208">
        <v>0</v>
      </c>
      <c r="BS208">
        <v>20.399999999999999</v>
      </c>
      <c r="BT208">
        <v>1</v>
      </c>
      <c r="BU208">
        <v>1</v>
      </c>
      <c r="BV208">
        <v>1</v>
      </c>
      <c r="BW208">
        <v>1</v>
      </c>
      <c r="BX208">
        <v>1</v>
      </c>
      <c r="BY208" t="s">
        <v>3</v>
      </c>
      <c r="BZ208">
        <v>81</v>
      </c>
      <c r="CA208">
        <v>41</v>
      </c>
      <c r="CF208">
        <v>0</v>
      </c>
      <c r="CG208">
        <v>0</v>
      </c>
      <c r="CM208">
        <v>0</v>
      </c>
      <c r="CN208" t="s">
        <v>3</v>
      </c>
      <c r="CO208">
        <v>0</v>
      </c>
      <c r="CP208">
        <f t="shared" si="165"/>
        <v>3259.1</v>
      </c>
      <c r="CQ208">
        <f t="shared" si="166"/>
        <v>3.7133000000000003</v>
      </c>
      <c r="CR208">
        <f t="shared" si="167"/>
        <v>974.31937499999992</v>
      </c>
      <c r="CS208">
        <f t="shared" si="168"/>
        <v>524.79</v>
      </c>
      <c r="CT208">
        <f t="shared" si="169"/>
        <v>52449.756599999993</v>
      </c>
      <c r="CU208">
        <f t="shared" si="170"/>
        <v>0</v>
      </c>
      <c r="CV208">
        <f t="shared" si="171"/>
        <v>205.85</v>
      </c>
      <c r="CW208">
        <f t="shared" si="172"/>
        <v>0</v>
      </c>
      <c r="CX208">
        <f t="shared" si="173"/>
        <v>0</v>
      </c>
      <c r="CY208">
        <f t="shared" si="174"/>
        <v>2591.5464000000002</v>
      </c>
      <c r="CZ208">
        <f t="shared" si="175"/>
        <v>1311.7703999999999</v>
      </c>
      <c r="DC208" t="s">
        <v>3</v>
      </c>
      <c r="DD208" t="s">
        <v>3</v>
      </c>
      <c r="DE208" t="s">
        <v>36</v>
      </c>
      <c r="DF208" t="s">
        <v>36</v>
      </c>
      <c r="DG208" t="s">
        <v>37</v>
      </c>
      <c r="DH208" t="s">
        <v>3</v>
      </c>
      <c r="DI208" t="s">
        <v>37</v>
      </c>
      <c r="DJ208" t="s">
        <v>36</v>
      </c>
      <c r="DK208" t="s">
        <v>3</v>
      </c>
      <c r="DL208" t="s">
        <v>3</v>
      </c>
      <c r="DM208" t="s">
        <v>3</v>
      </c>
      <c r="DN208">
        <v>100</v>
      </c>
      <c r="DO208">
        <v>64</v>
      </c>
      <c r="DP208">
        <v>1.0249999999999999</v>
      </c>
      <c r="DQ208">
        <v>1</v>
      </c>
      <c r="DU208">
        <v>1013</v>
      </c>
      <c r="DV208" t="s">
        <v>268</v>
      </c>
      <c r="DW208" t="s">
        <v>268</v>
      </c>
      <c r="DX208">
        <v>1</v>
      </c>
      <c r="EE208">
        <v>44846622</v>
      </c>
      <c r="EF208">
        <v>30</v>
      </c>
      <c r="EG208" t="s">
        <v>38</v>
      </c>
      <c r="EH208">
        <v>0</v>
      </c>
      <c r="EI208" t="s">
        <v>3</v>
      </c>
      <c r="EJ208">
        <v>1</v>
      </c>
      <c r="EK208">
        <v>115</v>
      </c>
      <c r="EL208" t="s">
        <v>270</v>
      </c>
      <c r="EM208" t="s">
        <v>271</v>
      </c>
      <c r="EO208" t="s">
        <v>3</v>
      </c>
      <c r="EQ208">
        <v>131072</v>
      </c>
      <c r="ER208">
        <v>2323.5100000000002</v>
      </c>
      <c r="ES208">
        <v>0.71</v>
      </c>
      <c r="ET208">
        <v>87.09</v>
      </c>
      <c r="EU208">
        <v>20.58</v>
      </c>
      <c r="EV208">
        <v>2235.71</v>
      </c>
      <c r="EW208">
        <v>179</v>
      </c>
      <c r="EX208">
        <v>0</v>
      </c>
      <c r="EY208">
        <v>0</v>
      </c>
      <c r="FQ208">
        <v>0</v>
      </c>
      <c r="FR208">
        <f t="shared" si="176"/>
        <v>0</v>
      </c>
      <c r="FS208">
        <v>0</v>
      </c>
      <c r="FX208">
        <v>100</v>
      </c>
      <c r="FY208">
        <v>64</v>
      </c>
      <c r="GA208" t="s">
        <v>3</v>
      </c>
      <c r="GD208">
        <v>0</v>
      </c>
      <c r="GF208">
        <v>1201228815</v>
      </c>
      <c r="GG208">
        <v>2</v>
      </c>
      <c r="GH208">
        <v>1</v>
      </c>
      <c r="GI208">
        <v>3</v>
      </c>
      <c r="GJ208">
        <v>0</v>
      </c>
      <c r="GK208">
        <f>ROUND(R208*(S12)/100,2)</f>
        <v>53.78</v>
      </c>
      <c r="GL208">
        <f t="shared" si="177"/>
        <v>0</v>
      </c>
      <c r="GM208">
        <f t="shared" si="178"/>
        <v>7216.2</v>
      </c>
      <c r="GN208">
        <f t="shared" si="179"/>
        <v>7216.2</v>
      </c>
      <c r="GO208">
        <f t="shared" si="180"/>
        <v>0</v>
      </c>
      <c r="GP208">
        <f t="shared" si="181"/>
        <v>0</v>
      </c>
      <c r="GR208">
        <v>0</v>
      </c>
      <c r="GS208">
        <v>3</v>
      </c>
      <c r="GT208">
        <v>0</v>
      </c>
      <c r="GU208" t="s">
        <v>3</v>
      </c>
      <c r="GV208">
        <f t="shared" si="182"/>
        <v>0</v>
      </c>
      <c r="GW208">
        <v>1</v>
      </c>
      <c r="GX208">
        <f t="shared" si="183"/>
        <v>0</v>
      </c>
      <c r="HA208">
        <v>0</v>
      </c>
      <c r="HB208">
        <v>0</v>
      </c>
      <c r="IK208">
        <v>0</v>
      </c>
    </row>
    <row r="209" spans="1:255" x14ac:dyDescent="0.2">
      <c r="A209" s="2">
        <v>18</v>
      </c>
      <c r="B209" s="2">
        <v>1</v>
      </c>
      <c r="C209" s="2">
        <v>159</v>
      </c>
      <c r="D209" s="2"/>
      <c r="E209" s="2" t="s">
        <v>272</v>
      </c>
      <c r="F209" s="2" t="s">
        <v>273</v>
      </c>
      <c r="G209" s="2" t="s">
        <v>274</v>
      </c>
      <c r="H209" s="2" t="s">
        <v>80</v>
      </c>
      <c r="I209" s="2">
        <f>I207*J209</f>
        <v>1.503E-2</v>
      </c>
      <c r="J209" s="2">
        <v>0.24639344262295082</v>
      </c>
      <c r="K209" s="2"/>
      <c r="L209" s="2"/>
      <c r="M209" s="2"/>
      <c r="N209" s="2"/>
      <c r="O209" s="2">
        <f t="shared" si="150"/>
        <v>0.11</v>
      </c>
      <c r="P209" s="2">
        <f t="shared" si="151"/>
        <v>0.11</v>
      </c>
      <c r="Q209" s="2">
        <f t="shared" si="152"/>
        <v>0</v>
      </c>
      <c r="R209" s="2">
        <f t="shared" si="153"/>
        <v>0</v>
      </c>
      <c r="S209" s="2">
        <f t="shared" si="154"/>
        <v>0</v>
      </c>
      <c r="T209" s="2">
        <f t="shared" si="155"/>
        <v>0</v>
      </c>
      <c r="U209" s="2">
        <f t="shared" si="156"/>
        <v>0</v>
      </c>
      <c r="V209" s="2">
        <f t="shared" si="157"/>
        <v>0</v>
      </c>
      <c r="W209" s="2">
        <f t="shared" si="158"/>
        <v>0</v>
      </c>
      <c r="X209" s="2">
        <f t="shared" si="159"/>
        <v>0</v>
      </c>
      <c r="Y209" s="2">
        <f t="shared" si="160"/>
        <v>0</v>
      </c>
      <c r="Z209" s="2"/>
      <c r="AA209" s="2">
        <v>45037306</v>
      </c>
      <c r="AB209" s="2">
        <f t="shared" si="161"/>
        <v>7.07</v>
      </c>
      <c r="AC209" s="2">
        <f t="shared" si="162"/>
        <v>7.07</v>
      </c>
      <c r="AD209" s="2">
        <f t="shared" ref="AD209:AF214" si="190">ROUND((ET209),6)</f>
        <v>0</v>
      </c>
      <c r="AE209" s="2">
        <f t="shared" si="190"/>
        <v>0</v>
      </c>
      <c r="AF209" s="2">
        <f t="shared" si="190"/>
        <v>0</v>
      </c>
      <c r="AG209" s="2">
        <f t="shared" si="163"/>
        <v>0</v>
      </c>
      <c r="AH209" s="2">
        <f t="shared" ref="AH209:AI214" si="191">(EW209)</f>
        <v>0</v>
      </c>
      <c r="AI209" s="2">
        <f t="shared" si="191"/>
        <v>0</v>
      </c>
      <c r="AJ209" s="2">
        <f t="shared" si="164"/>
        <v>0</v>
      </c>
      <c r="AK209" s="2">
        <v>7.07</v>
      </c>
      <c r="AL209" s="2">
        <v>7.07</v>
      </c>
      <c r="AM209" s="2">
        <v>0</v>
      </c>
      <c r="AN209" s="2">
        <v>0</v>
      </c>
      <c r="AO209" s="2">
        <v>0</v>
      </c>
      <c r="AP209" s="2">
        <v>0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1</v>
      </c>
      <c r="AW209" s="2">
        <v>1</v>
      </c>
      <c r="AX209" s="2"/>
      <c r="AY209" s="2"/>
      <c r="AZ209" s="2">
        <v>1</v>
      </c>
      <c r="BA209" s="2">
        <v>1</v>
      </c>
      <c r="BB209" s="2">
        <v>1</v>
      </c>
      <c r="BC209" s="2">
        <v>1</v>
      </c>
      <c r="BD209" s="2" t="s">
        <v>3</v>
      </c>
      <c r="BE209" s="2" t="s">
        <v>3</v>
      </c>
      <c r="BF209" s="2" t="s">
        <v>3</v>
      </c>
      <c r="BG209" s="2" t="s">
        <v>3</v>
      </c>
      <c r="BH209" s="2">
        <v>3</v>
      </c>
      <c r="BI209" s="2">
        <v>1</v>
      </c>
      <c r="BJ209" s="2" t="s">
        <v>275</v>
      </c>
      <c r="BK209" s="2"/>
      <c r="BL209" s="2"/>
      <c r="BM209" s="2">
        <v>115</v>
      </c>
      <c r="BN209" s="2">
        <v>7156650</v>
      </c>
      <c r="BO209" s="2" t="s">
        <v>3</v>
      </c>
      <c r="BP209" s="2">
        <v>0</v>
      </c>
      <c r="BQ209" s="2">
        <v>30</v>
      </c>
      <c r="BR209" s="2">
        <v>0</v>
      </c>
      <c r="BS209" s="2">
        <v>1</v>
      </c>
      <c r="BT209" s="2">
        <v>1</v>
      </c>
      <c r="BU209" s="2">
        <v>1</v>
      </c>
      <c r="BV209" s="2">
        <v>1</v>
      </c>
      <c r="BW209" s="2">
        <v>1</v>
      </c>
      <c r="BX209" s="2">
        <v>1</v>
      </c>
      <c r="BY209" s="2" t="s">
        <v>3</v>
      </c>
      <c r="BZ209" s="2">
        <v>0</v>
      </c>
      <c r="CA209" s="2">
        <v>0</v>
      </c>
      <c r="CB209" s="2"/>
      <c r="CC209" s="2"/>
      <c r="CD209" s="2"/>
      <c r="CE209" s="2"/>
      <c r="CF209" s="2">
        <v>0</v>
      </c>
      <c r="CG209" s="2">
        <v>0</v>
      </c>
      <c r="CH209" s="2"/>
      <c r="CI209" s="2"/>
      <c r="CJ209" s="2"/>
      <c r="CK209" s="2"/>
      <c r="CL209" s="2"/>
      <c r="CM209" s="2">
        <v>0</v>
      </c>
      <c r="CN209" s="2" t="s">
        <v>3</v>
      </c>
      <c r="CO209" s="2">
        <v>0</v>
      </c>
      <c r="CP209" s="2">
        <f t="shared" si="165"/>
        <v>0.11</v>
      </c>
      <c r="CQ209" s="2">
        <f t="shared" si="166"/>
        <v>7.07</v>
      </c>
      <c r="CR209" s="2">
        <f t="shared" si="167"/>
        <v>0</v>
      </c>
      <c r="CS209" s="2">
        <f t="shared" si="168"/>
        <v>0</v>
      </c>
      <c r="CT209" s="2">
        <f t="shared" si="169"/>
        <v>0</v>
      </c>
      <c r="CU209" s="2">
        <f t="shared" si="170"/>
        <v>0</v>
      </c>
      <c r="CV209" s="2">
        <f t="shared" si="171"/>
        <v>0</v>
      </c>
      <c r="CW209" s="2">
        <f t="shared" si="172"/>
        <v>0</v>
      </c>
      <c r="CX209" s="2">
        <f t="shared" si="173"/>
        <v>0</v>
      </c>
      <c r="CY209" s="2">
        <f t="shared" si="174"/>
        <v>0</v>
      </c>
      <c r="CZ209" s="2">
        <f t="shared" si="175"/>
        <v>0</v>
      </c>
      <c r="DA209" s="2"/>
      <c r="DB209" s="2"/>
      <c r="DC209" s="2" t="s">
        <v>3</v>
      </c>
      <c r="DD209" s="2" t="s">
        <v>3</v>
      </c>
      <c r="DE209" s="2" t="s">
        <v>3</v>
      </c>
      <c r="DF209" s="2" t="s">
        <v>3</v>
      </c>
      <c r="DG209" s="2" t="s">
        <v>3</v>
      </c>
      <c r="DH209" s="2" t="s">
        <v>3</v>
      </c>
      <c r="DI209" s="2" t="s">
        <v>3</v>
      </c>
      <c r="DJ209" s="2" t="s">
        <v>3</v>
      </c>
      <c r="DK209" s="2" t="s">
        <v>3</v>
      </c>
      <c r="DL209" s="2" t="s">
        <v>3</v>
      </c>
      <c r="DM209" s="2" t="s">
        <v>3</v>
      </c>
      <c r="DN209" s="2">
        <v>100</v>
      </c>
      <c r="DO209" s="2">
        <v>64</v>
      </c>
      <c r="DP209" s="2">
        <v>1.0249999999999999</v>
      </c>
      <c r="DQ209" s="2">
        <v>1</v>
      </c>
      <c r="DR209" s="2"/>
      <c r="DS209" s="2"/>
      <c r="DT209" s="2"/>
      <c r="DU209" s="2">
        <v>1007</v>
      </c>
      <c r="DV209" s="2" t="s">
        <v>80</v>
      </c>
      <c r="DW209" s="2" t="s">
        <v>80</v>
      </c>
      <c r="DX209" s="2">
        <v>1</v>
      </c>
      <c r="DY209" s="2"/>
      <c r="DZ209" s="2"/>
      <c r="EA209" s="2"/>
      <c r="EB209" s="2"/>
      <c r="EC209" s="2"/>
      <c r="ED209" s="2"/>
      <c r="EE209" s="2">
        <v>44846622</v>
      </c>
      <c r="EF209" s="2">
        <v>30</v>
      </c>
      <c r="EG209" s="2" t="s">
        <v>38</v>
      </c>
      <c r="EH209" s="2">
        <v>0</v>
      </c>
      <c r="EI209" s="2" t="s">
        <v>3</v>
      </c>
      <c r="EJ209" s="2">
        <v>1</v>
      </c>
      <c r="EK209" s="2">
        <v>115</v>
      </c>
      <c r="EL209" s="2" t="s">
        <v>270</v>
      </c>
      <c r="EM209" s="2" t="s">
        <v>271</v>
      </c>
      <c r="EN209" s="2"/>
      <c r="EO209" s="2" t="s">
        <v>3</v>
      </c>
      <c r="EP209" s="2"/>
      <c r="EQ209" s="2">
        <v>0</v>
      </c>
      <c r="ER209" s="2">
        <v>7.07</v>
      </c>
      <c r="ES209" s="2">
        <v>7.07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/>
      <c r="EZ209" s="2"/>
      <c r="FA209" s="2"/>
      <c r="FB209" s="2"/>
      <c r="FC209" s="2"/>
      <c r="FD209" s="2"/>
      <c r="FE209" s="2"/>
      <c r="FF209" s="2"/>
      <c r="FG209" s="2"/>
      <c r="FH209" s="2"/>
      <c r="FI209" s="2"/>
      <c r="FJ209" s="2"/>
      <c r="FK209" s="2"/>
      <c r="FL209" s="2"/>
      <c r="FM209" s="2"/>
      <c r="FN209" s="2"/>
      <c r="FO209" s="2"/>
      <c r="FP209" s="2"/>
      <c r="FQ209" s="2">
        <v>0</v>
      </c>
      <c r="FR209" s="2">
        <f t="shared" si="176"/>
        <v>0</v>
      </c>
      <c r="FS209" s="2">
        <v>0</v>
      </c>
      <c r="FT209" s="2"/>
      <c r="FU209" s="2"/>
      <c r="FV209" s="2"/>
      <c r="FW209" s="2"/>
      <c r="FX209" s="2">
        <v>100</v>
      </c>
      <c r="FY209" s="2">
        <v>64</v>
      </c>
      <c r="FZ209" s="2"/>
      <c r="GA209" s="2" t="s">
        <v>3</v>
      </c>
      <c r="GB209" s="2"/>
      <c r="GC209" s="2"/>
      <c r="GD209" s="2">
        <v>0</v>
      </c>
      <c r="GE209" s="2"/>
      <c r="GF209" s="2">
        <v>-862991314</v>
      </c>
      <c r="GG209" s="2">
        <v>2</v>
      </c>
      <c r="GH209" s="2">
        <v>1</v>
      </c>
      <c r="GI209" s="2">
        <v>3</v>
      </c>
      <c r="GJ209" s="2">
        <v>0</v>
      </c>
      <c r="GK209" s="2">
        <f>ROUND(R209*(R12)/100,2)</f>
        <v>0</v>
      </c>
      <c r="GL209" s="2">
        <f t="shared" si="177"/>
        <v>0</v>
      </c>
      <c r="GM209" s="2">
        <f t="shared" si="178"/>
        <v>0.11</v>
      </c>
      <c r="GN209" s="2">
        <f t="shared" si="179"/>
        <v>0.11</v>
      </c>
      <c r="GO209" s="2">
        <f t="shared" si="180"/>
        <v>0</v>
      </c>
      <c r="GP209" s="2">
        <f t="shared" si="181"/>
        <v>0</v>
      </c>
      <c r="GQ209" s="2"/>
      <c r="GR209" s="2">
        <v>0</v>
      </c>
      <c r="GS209" s="2">
        <v>3</v>
      </c>
      <c r="GT209" s="2">
        <v>0</v>
      </c>
      <c r="GU209" s="2" t="s">
        <v>3</v>
      </c>
      <c r="GV209" s="2">
        <f t="shared" si="182"/>
        <v>0</v>
      </c>
      <c r="GW209" s="2">
        <v>1</v>
      </c>
      <c r="GX209" s="2">
        <f t="shared" si="183"/>
        <v>0</v>
      </c>
      <c r="GY209" s="2"/>
      <c r="GZ209" s="2"/>
      <c r="HA209" s="2">
        <v>0</v>
      </c>
      <c r="HB209" s="2">
        <v>0</v>
      </c>
      <c r="HC209" s="2"/>
      <c r="HD209" s="2"/>
      <c r="HE209" s="2"/>
      <c r="HF209" s="2"/>
      <c r="HG209" s="2"/>
      <c r="HH209" s="2"/>
      <c r="HI209" s="2"/>
      <c r="HJ209" s="2"/>
      <c r="HK209" s="2"/>
      <c r="HL209" s="2"/>
      <c r="HM209" s="2"/>
      <c r="HN209" s="2"/>
      <c r="HO209" s="2"/>
      <c r="HP209" s="2"/>
      <c r="HQ209" s="2"/>
      <c r="HR209" s="2"/>
      <c r="HS209" s="2"/>
      <c r="HT209" s="2"/>
      <c r="HU209" s="2"/>
      <c r="HV209" s="2"/>
      <c r="HW209" s="2"/>
      <c r="HX209" s="2"/>
      <c r="HY209" s="2"/>
      <c r="HZ209" s="2"/>
      <c r="IA209" s="2"/>
      <c r="IB209" s="2"/>
      <c r="IC209" s="2"/>
      <c r="ID209" s="2"/>
      <c r="IE209" s="2"/>
      <c r="IF209" s="2"/>
      <c r="IG209" s="2"/>
      <c r="IH209" s="2"/>
      <c r="II209" s="2"/>
      <c r="IJ209" s="2"/>
      <c r="IK209" s="2">
        <v>0</v>
      </c>
      <c r="IL209" s="2"/>
      <c r="IM209" s="2"/>
      <c r="IN209" s="2"/>
      <c r="IO209" s="2"/>
      <c r="IP209" s="2"/>
      <c r="IQ209" s="2"/>
      <c r="IR209" s="2"/>
      <c r="IS209" s="2"/>
      <c r="IT209" s="2"/>
      <c r="IU209" s="2"/>
    </row>
    <row r="210" spans="1:255" x14ac:dyDescent="0.2">
      <c r="A210">
        <v>18</v>
      </c>
      <c r="B210">
        <v>1</v>
      </c>
      <c r="C210">
        <v>165</v>
      </c>
      <c r="E210" t="s">
        <v>272</v>
      </c>
      <c r="F210" t="s">
        <v>273</v>
      </c>
      <c r="G210" t="s">
        <v>274</v>
      </c>
      <c r="H210" t="s">
        <v>80</v>
      </c>
      <c r="I210">
        <f>I208*J210</f>
        <v>1.503E-2</v>
      </c>
      <c r="J210">
        <v>0.24639344262295082</v>
      </c>
      <c r="O210">
        <f t="shared" si="150"/>
        <v>0.45</v>
      </c>
      <c r="P210">
        <f t="shared" si="151"/>
        <v>0.45</v>
      </c>
      <c r="Q210">
        <f t="shared" si="152"/>
        <v>0</v>
      </c>
      <c r="R210">
        <f t="shared" si="153"/>
        <v>0</v>
      </c>
      <c r="S210">
        <f t="shared" si="154"/>
        <v>0</v>
      </c>
      <c r="T210">
        <f t="shared" si="155"/>
        <v>0</v>
      </c>
      <c r="U210">
        <f t="shared" si="156"/>
        <v>0</v>
      </c>
      <c r="V210">
        <f t="shared" si="157"/>
        <v>0</v>
      </c>
      <c r="W210">
        <f t="shared" si="158"/>
        <v>0</v>
      </c>
      <c r="X210">
        <f t="shared" si="159"/>
        <v>0</v>
      </c>
      <c r="Y210">
        <f t="shared" si="160"/>
        <v>0</v>
      </c>
      <c r="AA210">
        <v>45037307</v>
      </c>
      <c r="AB210">
        <f t="shared" si="161"/>
        <v>7.07</v>
      </c>
      <c r="AC210">
        <f t="shared" si="162"/>
        <v>7.07</v>
      </c>
      <c r="AD210">
        <f t="shared" si="190"/>
        <v>0</v>
      </c>
      <c r="AE210">
        <f t="shared" si="190"/>
        <v>0</v>
      </c>
      <c r="AF210">
        <f t="shared" si="190"/>
        <v>0</v>
      </c>
      <c r="AG210">
        <f t="shared" si="163"/>
        <v>0</v>
      </c>
      <c r="AH210">
        <f t="shared" si="191"/>
        <v>0</v>
      </c>
      <c r="AI210">
        <f t="shared" si="191"/>
        <v>0</v>
      </c>
      <c r="AJ210">
        <f t="shared" si="164"/>
        <v>0</v>
      </c>
      <c r="AK210">
        <v>7.07</v>
      </c>
      <c r="AL210">
        <v>7.07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1</v>
      </c>
      <c r="AW210">
        <v>1</v>
      </c>
      <c r="AZ210">
        <v>1</v>
      </c>
      <c r="BA210">
        <v>1</v>
      </c>
      <c r="BB210">
        <v>1</v>
      </c>
      <c r="BC210">
        <v>4.24</v>
      </c>
      <c r="BD210" t="s">
        <v>3</v>
      </c>
      <c r="BE210" t="s">
        <v>3</v>
      </c>
      <c r="BF210" t="s">
        <v>3</v>
      </c>
      <c r="BG210" t="s">
        <v>3</v>
      </c>
      <c r="BH210">
        <v>3</v>
      </c>
      <c r="BI210">
        <v>1</v>
      </c>
      <c r="BJ210" t="s">
        <v>275</v>
      </c>
      <c r="BM210">
        <v>115</v>
      </c>
      <c r="BN210">
        <v>7156650</v>
      </c>
      <c r="BO210" t="s">
        <v>273</v>
      </c>
      <c r="BP210">
        <v>1</v>
      </c>
      <c r="BQ210">
        <v>30</v>
      </c>
      <c r="BR210">
        <v>0</v>
      </c>
      <c r="BS210">
        <v>1</v>
      </c>
      <c r="BT210">
        <v>1</v>
      </c>
      <c r="BU210">
        <v>1</v>
      </c>
      <c r="BV210">
        <v>1</v>
      </c>
      <c r="BW210">
        <v>1</v>
      </c>
      <c r="BX210">
        <v>1</v>
      </c>
      <c r="BY210" t="s">
        <v>3</v>
      </c>
      <c r="BZ210">
        <v>0</v>
      </c>
      <c r="CA210">
        <v>0</v>
      </c>
      <c r="CF210">
        <v>0</v>
      </c>
      <c r="CG210">
        <v>0</v>
      </c>
      <c r="CM210">
        <v>0</v>
      </c>
      <c r="CN210" t="s">
        <v>3</v>
      </c>
      <c r="CO210">
        <v>0</v>
      </c>
      <c r="CP210">
        <f t="shared" si="165"/>
        <v>0.45</v>
      </c>
      <c r="CQ210">
        <f t="shared" si="166"/>
        <v>29.976800000000004</v>
      </c>
      <c r="CR210">
        <f t="shared" si="167"/>
        <v>0</v>
      </c>
      <c r="CS210">
        <f t="shared" si="168"/>
        <v>0</v>
      </c>
      <c r="CT210">
        <f t="shared" si="169"/>
        <v>0</v>
      </c>
      <c r="CU210">
        <f t="shared" si="170"/>
        <v>0</v>
      </c>
      <c r="CV210">
        <f t="shared" si="171"/>
        <v>0</v>
      </c>
      <c r="CW210">
        <f t="shared" si="172"/>
        <v>0</v>
      </c>
      <c r="CX210">
        <f t="shared" si="173"/>
        <v>0</v>
      </c>
      <c r="CY210">
        <f t="shared" si="174"/>
        <v>0</v>
      </c>
      <c r="CZ210">
        <f t="shared" si="175"/>
        <v>0</v>
      </c>
      <c r="DC210" t="s">
        <v>3</v>
      </c>
      <c r="DD210" t="s">
        <v>3</v>
      </c>
      <c r="DE210" t="s">
        <v>3</v>
      </c>
      <c r="DF210" t="s">
        <v>3</v>
      </c>
      <c r="DG210" t="s">
        <v>3</v>
      </c>
      <c r="DH210" t="s">
        <v>3</v>
      </c>
      <c r="DI210" t="s">
        <v>3</v>
      </c>
      <c r="DJ210" t="s">
        <v>3</v>
      </c>
      <c r="DK210" t="s">
        <v>3</v>
      </c>
      <c r="DL210" t="s">
        <v>3</v>
      </c>
      <c r="DM210" t="s">
        <v>3</v>
      </c>
      <c r="DN210">
        <v>100</v>
      </c>
      <c r="DO210">
        <v>64</v>
      </c>
      <c r="DP210">
        <v>1.0249999999999999</v>
      </c>
      <c r="DQ210">
        <v>1</v>
      </c>
      <c r="DU210">
        <v>1007</v>
      </c>
      <c r="DV210" t="s">
        <v>80</v>
      </c>
      <c r="DW210" t="s">
        <v>80</v>
      </c>
      <c r="DX210">
        <v>1</v>
      </c>
      <c r="EE210">
        <v>44846622</v>
      </c>
      <c r="EF210">
        <v>30</v>
      </c>
      <c r="EG210" t="s">
        <v>38</v>
      </c>
      <c r="EH210">
        <v>0</v>
      </c>
      <c r="EI210" t="s">
        <v>3</v>
      </c>
      <c r="EJ210">
        <v>1</v>
      </c>
      <c r="EK210">
        <v>115</v>
      </c>
      <c r="EL210" t="s">
        <v>270</v>
      </c>
      <c r="EM210" t="s">
        <v>271</v>
      </c>
      <c r="EO210" t="s">
        <v>3</v>
      </c>
      <c r="EQ210">
        <v>0</v>
      </c>
      <c r="ER210">
        <v>7.07</v>
      </c>
      <c r="ES210">
        <v>7.07</v>
      </c>
      <c r="ET210">
        <v>0</v>
      </c>
      <c r="EU210">
        <v>0</v>
      </c>
      <c r="EV210">
        <v>0</v>
      </c>
      <c r="EW210">
        <v>0</v>
      </c>
      <c r="EX210">
        <v>0</v>
      </c>
      <c r="FQ210">
        <v>0</v>
      </c>
      <c r="FR210">
        <f t="shared" si="176"/>
        <v>0</v>
      </c>
      <c r="FS210">
        <v>0</v>
      </c>
      <c r="FX210">
        <v>100</v>
      </c>
      <c r="FY210">
        <v>64</v>
      </c>
      <c r="GA210" t="s">
        <v>3</v>
      </c>
      <c r="GD210">
        <v>0</v>
      </c>
      <c r="GF210">
        <v>-862991314</v>
      </c>
      <c r="GG210">
        <v>2</v>
      </c>
      <c r="GH210">
        <v>1</v>
      </c>
      <c r="GI210">
        <v>3</v>
      </c>
      <c r="GJ210">
        <v>0</v>
      </c>
      <c r="GK210">
        <f>ROUND(R210*(S12)/100,2)</f>
        <v>0</v>
      </c>
      <c r="GL210">
        <f t="shared" si="177"/>
        <v>0</v>
      </c>
      <c r="GM210">
        <f t="shared" si="178"/>
        <v>0.45</v>
      </c>
      <c r="GN210">
        <f t="shared" si="179"/>
        <v>0.45</v>
      </c>
      <c r="GO210">
        <f t="shared" si="180"/>
        <v>0</v>
      </c>
      <c r="GP210">
        <f t="shared" si="181"/>
        <v>0</v>
      </c>
      <c r="GR210">
        <v>0</v>
      </c>
      <c r="GS210">
        <v>3</v>
      </c>
      <c r="GT210">
        <v>0</v>
      </c>
      <c r="GU210" t="s">
        <v>3</v>
      </c>
      <c r="GV210">
        <f t="shared" si="182"/>
        <v>0</v>
      </c>
      <c r="GW210">
        <v>1</v>
      </c>
      <c r="GX210">
        <f t="shared" si="183"/>
        <v>0</v>
      </c>
      <c r="HA210">
        <v>0</v>
      </c>
      <c r="HB210">
        <v>0</v>
      </c>
      <c r="IK210">
        <v>0</v>
      </c>
    </row>
    <row r="211" spans="1:255" x14ac:dyDescent="0.2">
      <c r="A211" s="2">
        <v>18</v>
      </c>
      <c r="B211" s="2">
        <v>1</v>
      </c>
      <c r="C211" s="2">
        <v>161</v>
      </c>
      <c r="D211" s="2"/>
      <c r="E211" s="2" t="s">
        <v>276</v>
      </c>
      <c r="F211" s="2" t="s">
        <v>277</v>
      </c>
      <c r="G211" s="2" t="s">
        <v>278</v>
      </c>
      <c r="H211" s="2" t="s">
        <v>29</v>
      </c>
      <c r="I211" s="2">
        <f>I207*J211</f>
        <v>8.5888000000000006E-2</v>
      </c>
      <c r="J211" s="2">
        <v>1.4080000000000001</v>
      </c>
      <c r="K211" s="2"/>
      <c r="L211" s="2"/>
      <c r="M211" s="2"/>
      <c r="N211" s="2"/>
      <c r="O211" s="2">
        <f t="shared" si="150"/>
        <v>156.62</v>
      </c>
      <c r="P211" s="2">
        <f t="shared" si="151"/>
        <v>156.62</v>
      </c>
      <c r="Q211" s="2">
        <f t="shared" si="152"/>
        <v>0</v>
      </c>
      <c r="R211" s="2">
        <f t="shared" si="153"/>
        <v>0</v>
      </c>
      <c r="S211" s="2">
        <f t="shared" si="154"/>
        <v>0</v>
      </c>
      <c r="T211" s="2">
        <f t="shared" si="155"/>
        <v>0</v>
      </c>
      <c r="U211" s="2">
        <f t="shared" si="156"/>
        <v>0</v>
      </c>
      <c r="V211" s="2">
        <f t="shared" si="157"/>
        <v>0</v>
      </c>
      <c r="W211" s="2">
        <f t="shared" si="158"/>
        <v>0</v>
      </c>
      <c r="X211" s="2">
        <f t="shared" si="159"/>
        <v>0</v>
      </c>
      <c r="Y211" s="2">
        <f t="shared" si="160"/>
        <v>0</v>
      </c>
      <c r="Z211" s="2"/>
      <c r="AA211" s="2">
        <v>45037306</v>
      </c>
      <c r="AB211" s="2">
        <f t="shared" si="161"/>
        <v>1823.55</v>
      </c>
      <c r="AC211" s="2">
        <f t="shared" si="162"/>
        <v>1823.55</v>
      </c>
      <c r="AD211" s="2">
        <f t="shared" si="190"/>
        <v>0</v>
      </c>
      <c r="AE211" s="2">
        <f t="shared" si="190"/>
        <v>0</v>
      </c>
      <c r="AF211" s="2">
        <f t="shared" si="190"/>
        <v>0</v>
      </c>
      <c r="AG211" s="2">
        <f t="shared" si="163"/>
        <v>0</v>
      </c>
      <c r="AH211" s="2">
        <f t="shared" si="191"/>
        <v>0</v>
      </c>
      <c r="AI211" s="2">
        <f t="shared" si="191"/>
        <v>0</v>
      </c>
      <c r="AJ211" s="2">
        <f t="shared" si="164"/>
        <v>0</v>
      </c>
      <c r="AK211" s="2">
        <v>1823.55</v>
      </c>
      <c r="AL211" s="2">
        <v>1823.55</v>
      </c>
      <c r="AM211" s="2">
        <v>0</v>
      </c>
      <c r="AN211" s="2">
        <v>0</v>
      </c>
      <c r="AO211" s="2">
        <v>0</v>
      </c>
      <c r="AP211" s="2">
        <v>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1</v>
      </c>
      <c r="AW211" s="2">
        <v>1</v>
      </c>
      <c r="AX211" s="2"/>
      <c r="AY211" s="2"/>
      <c r="AZ211" s="2">
        <v>1</v>
      </c>
      <c r="BA211" s="2">
        <v>1</v>
      </c>
      <c r="BB211" s="2">
        <v>1</v>
      </c>
      <c r="BC211" s="2">
        <v>1</v>
      </c>
      <c r="BD211" s="2" t="s">
        <v>3</v>
      </c>
      <c r="BE211" s="2" t="s">
        <v>3</v>
      </c>
      <c r="BF211" s="2" t="s">
        <v>3</v>
      </c>
      <c r="BG211" s="2" t="s">
        <v>3</v>
      </c>
      <c r="BH211" s="2">
        <v>3</v>
      </c>
      <c r="BI211" s="2">
        <v>1</v>
      </c>
      <c r="BJ211" s="2" t="s">
        <v>279</v>
      </c>
      <c r="BK211" s="2"/>
      <c r="BL211" s="2"/>
      <c r="BM211" s="2">
        <v>115</v>
      </c>
      <c r="BN211" s="2">
        <v>7156650</v>
      </c>
      <c r="BO211" s="2" t="s">
        <v>3</v>
      </c>
      <c r="BP211" s="2">
        <v>0</v>
      </c>
      <c r="BQ211" s="2">
        <v>30</v>
      </c>
      <c r="BR211" s="2">
        <v>0</v>
      </c>
      <c r="BS211" s="2">
        <v>1</v>
      </c>
      <c r="BT211" s="2">
        <v>1</v>
      </c>
      <c r="BU211" s="2">
        <v>1</v>
      </c>
      <c r="BV211" s="2">
        <v>1</v>
      </c>
      <c r="BW211" s="2">
        <v>1</v>
      </c>
      <c r="BX211" s="2">
        <v>1</v>
      </c>
      <c r="BY211" s="2" t="s">
        <v>3</v>
      </c>
      <c r="BZ211" s="2">
        <v>0</v>
      </c>
      <c r="CA211" s="2">
        <v>0</v>
      </c>
      <c r="CB211" s="2"/>
      <c r="CC211" s="2"/>
      <c r="CD211" s="2"/>
      <c r="CE211" s="2"/>
      <c r="CF211" s="2">
        <v>0</v>
      </c>
      <c r="CG211" s="2">
        <v>0</v>
      </c>
      <c r="CH211" s="2"/>
      <c r="CI211" s="2"/>
      <c r="CJ211" s="2"/>
      <c r="CK211" s="2"/>
      <c r="CL211" s="2"/>
      <c r="CM211" s="2">
        <v>0</v>
      </c>
      <c r="CN211" s="2" t="s">
        <v>3</v>
      </c>
      <c r="CO211" s="2">
        <v>0</v>
      </c>
      <c r="CP211" s="2">
        <f t="shared" si="165"/>
        <v>156.62</v>
      </c>
      <c r="CQ211" s="2">
        <f t="shared" si="166"/>
        <v>1823.55</v>
      </c>
      <c r="CR211" s="2">
        <f t="shared" si="167"/>
        <v>0</v>
      </c>
      <c r="CS211" s="2">
        <f t="shared" si="168"/>
        <v>0</v>
      </c>
      <c r="CT211" s="2">
        <f t="shared" si="169"/>
        <v>0</v>
      </c>
      <c r="CU211" s="2">
        <f t="shared" si="170"/>
        <v>0</v>
      </c>
      <c r="CV211" s="2">
        <f t="shared" si="171"/>
        <v>0</v>
      </c>
      <c r="CW211" s="2">
        <f t="shared" si="172"/>
        <v>0</v>
      </c>
      <c r="CX211" s="2">
        <f t="shared" si="173"/>
        <v>0</v>
      </c>
      <c r="CY211" s="2">
        <f t="shared" si="174"/>
        <v>0</v>
      </c>
      <c r="CZ211" s="2">
        <f t="shared" si="175"/>
        <v>0</v>
      </c>
      <c r="DA211" s="2"/>
      <c r="DB211" s="2"/>
      <c r="DC211" s="2" t="s">
        <v>3</v>
      </c>
      <c r="DD211" s="2" t="s">
        <v>3</v>
      </c>
      <c r="DE211" s="2" t="s">
        <v>3</v>
      </c>
      <c r="DF211" s="2" t="s">
        <v>3</v>
      </c>
      <c r="DG211" s="2" t="s">
        <v>3</v>
      </c>
      <c r="DH211" s="2" t="s">
        <v>3</v>
      </c>
      <c r="DI211" s="2" t="s">
        <v>3</v>
      </c>
      <c r="DJ211" s="2" t="s">
        <v>3</v>
      </c>
      <c r="DK211" s="2" t="s">
        <v>3</v>
      </c>
      <c r="DL211" s="2" t="s">
        <v>3</v>
      </c>
      <c r="DM211" s="2" t="s">
        <v>3</v>
      </c>
      <c r="DN211" s="2">
        <v>100</v>
      </c>
      <c r="DO211" s="2">
        <v>64</v>
      </c>
      <c r="DP211" s="2">
        <v>1.0249999999999999</v>
      </c>
      <c r="DQ211" s="2">
        <v>1</v>
      </c>
      <c r="DR211" s="2"/>
      <c r="DS211" s="2"/>
      <c r="DT211" s="2"/>
      <c r="DU211" s="2">
        <v>1009</v>
      </c>
      <c r="DV211" s="2" t="s">
        <v>29</v>
      </c>
      <c r="DW211" s="2" t="s">
        <v>29</v>
      </c>
      <c r="DX211" s="2">
        <v>1000</v>
      </c>
      <c r="DY211" s="2"/>
      <c r="DZ211" s="2"/>
      <c r="EA211" s="2"/>
      <c r="EB211" s="2"/>
      <c r="EC211" s="2"/>
      <c r="ED211" s="2"/>
      <c r="EE211" s="2">
        <v>44846622</v>
      </c>
      <c r="EF211" s="2">
        <v>30</v>
      </c>
      <c r="EG211" s="2" t="s">
        <v>38</v>
      </c>
      <c r="EH211" s="2">
        <v>0</v>
      </c>
      <c r="EI211" s="2" t="s">
        <v>3</v>
      </c>
      <c r="EJ211" s="2">
        <v>1</v>
      </c>
      <c r="EK211" s="2">
        <v>115</v>
      </c>
      <c r="EL211" s="2" t="s">
        <v>270</v>
      </c>
      <c r="EM211" s="2" t="s">
        <v>271</v>
      </c>
      <c r="EN211" s="2"/>
      <c r="EO211" s="2" t="s">
        <v>3</v>
      </c>
      <c r="EP211" s="2"/>
      <c r="EQ211" s="2">
        <v>0</v>
      </c>
      <c r="ER211" s="2">
        <v>1823.55</v>
      </c>
      <c r="ES211" s="2">
        <v>1823.55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/>
      <c r="EZ211" s="2"/>
      <c r="FA211" s="2"/>
      <c r="FB211" s="2"/>
      <c r="FC211" s="2"/>
      <c r="FD211" s="2"/>
      <c r="FE211" s="2"/>
      <c r="FF211" s="2"/>
      <c r="FG211" s="2"/>
      <c r="FH211" s="2"/>
      <c r="FI211" s="2"/>
      <c r="FJ211" s="2"/>
      <c r="FK211" s="2"/>
      <c r="FL211" s="2"/>
      <c r="FM211" s="2"/>
      <c r="FN211" s="2"/>
      <c r="FO211" s="2"/>
      <c r="FP211" s="2"/>
      <c r="FQ211" s="2">
        <v>0</v>
      </c>
      <c r="FR211" s="2">
        <f t="shared" si="176"/>
        <v>0</v>
      </c>
      <c r="FS211" s="2">
        <v>0</v>
      </c>
      <c r="FT211" s="2"/>
      <c r="FU211" s="2"/>
      <c r="FV211" s="2"/>
      <c r="FW211" s="2"/>
      <c r="FX211" s="2">
        <v>100</v>
      </c>
      <c r="FY211" s="2">
        <v>64</v>
      </c>
      <c r="FZ211" s="2"/>
      <c r="GA211" s="2" t="s">
        <v>3</v>
      </c>
      <c r="GB211" s="2"/>
      <c r="GC211" s="2"/>
      <c r="GD211" s="2">
        <v>0</v>
      </c>
      <c r="GE211" s="2"/>
      <c r="GF211" s="2">
        <v>1872927496</v>
      </c>
      <c r="GG211" s="2">
        <v>2</v>
      </c>
      <c r="GH211" s="2">
        <v>1</v>
      </c>
      <c r="GI211" s="2">
        <v>3</v>
      </c>
      <c r="GJ211" s="2">
        <v>0</v>
      </c>
      <c r="GK211" s="2">
        <f>ROUND(R211*(R12)/100,2)</f>
        <v>0</v>
      </c>
      <c r="GL211" s="2">
        <f t="shared" si="177"/>
        <v>0</v>
      </c>
      <c r="GM211" s="2">
        <f t="shared" si="178"/>
        <v>156.62</v>
      </c>
      <c r="GN211" s="2">
        <f t="shared" si="179"/>
        <v>156.62</v>
      </c>
      <c r="GO211" s="2">
        <f t="shared" si="180"/>
        <v>0</v>
      </c>
      <c r="GP211" s="2">
        <f t="shared" si="181"/>
        <v>0</v>
      </c>
      <c r="GQ211" s="2"/>
      <c r="GR211" s="2">
        <v>0</v>
      </c>
      <c r="GS211" s="2">
        <v>3</v>
      </c>
      <c r="GT211" s="2">
        <v>0</v>
      </c>
      <c r="GU211" s="2" t="s">
        <v>3</v>
      </c>
      <c r="GV211" s="2">
        <f t="shared" si="182"/>
        <v>0</v>
      </c>
      <c r="GW211" s="2">
        <v>1</v>
      </c>
      <c r="GX211" s="2">
        <f t="shared" si="183"/>
        <v>0</v>
      </c>
      <c r="GY211" s="2"/>
      <c r="GZ211" s="2"/>
      <c r="HA211" s="2">
        <v>0</v>
      </c>
      <c r="HB211" s="2">
        <v>0</v>
      </c>
      <c r="HC211" s="2"/>
      <c r="HD211" s="2"/>
      <c r="HE211" s="2"/>
      <c r="HF211" s="2"/>
      <c r="HG211" s="2"/>
      <c r="HH211" s="2"/>
      <c r="HI211" s="2"/>
      <c r="HJ211" s="2"/>
      <c r="HK211" s="2"/>
      <c r="HL211" s="2"/>
      <c r="HM211" s="2"/>
      <c r="HN211" s="2"/>
      <c r="HO211" s="2"/>
      <c r="HP211" s="2"/>
      <c r="HQ211" s="2"/>
      <c r="HR211" s="2"/>
      <c r="HS211" s="2"/>
      <c r="HT211" s="2"/>
      <c r="HU211" s="2"/>
      <c r="HV211" s="2"/>
      <c r="HW211" s="2"/>
      <c r="HX211" s="2"/>
      <c r="HY211" s="2"/>
      <c r="HZ211" s="2"/>
      <c r="IA211" s="2"/>
      <c r="IB211" s="2"/>
      <c r="IC211" s="2"/>
      <c r="ID211" s="2"/>
      <c r="IE211" s="2"/>
      <c r="IF211" s="2"/>
      <c r="IG211" s="2"/>
      <c r="IH211" s="2"/>
      <c r="II211" s="2"/>
      <c r="IJ211" s="2"/>
      <c r="IK211" s="2">
        <v>0</v>
      </c>
      <c r="IL211" s="2"/>
      <c r="IM211" s="2"/>
      <c r="IN211" s="2"/>
      <c r="IO211" s="2"/>
      <c r="IP211" s="2"/>
      <c r="IQ211" s="2"/>
      <c r="IR211" s="2"/>
      <c r="IS211" s="2"/>
      <c r="IT211" s="2"/>
      <c r="IU211" s="2"/>
    </row>
    <row r="212" spans="1:255" x14ac:dyDescent="0.2">
      <c r="A212">
        <v>18</v>
      </c>
      <c r="B212">
        <v>1</v>
      </c>
      <c r="C212">
        <v>167</v>
      </c>
      <c r="E212" t="s">
        <v>276</v>
      </c>
      <c r="F212" t="s">
        <v>277</v>
      </c>
      <c r="G212" t="s">
        <v>278</v>
      </c>
      <c r="H212" t="s">
        <v>29</v>
      </c>
      <c r="I212">
        <f>I208*J212</f>
        <v>8.5888000000000006E-2</v>
      </c>
      <c r="J212">
        <v>1.4080000000000001</v>
      </c>
      <c r="O212">
        <f t="shared" si="150"/>
        <v>379.02</v>
      </c>
      <c r="P212">
        <f t="shared" si="151"/>
        <v>379.02</v>
      </c>
      <c r="Q212">
        <f t="shared" si="152"/>
        <v>0</v>
      </c>
      <c r="R212">
        <f t="shared" si="153"/>
        <v>0</v>
      </c>
      <c r="S212">
        <f t="shared" si="154"/>
        <v>0</v>
      </c>
      <c r="T212">
        <f t="shared" si="155"/>
        <v>0</v>
      </c>
      <c r="U212">
        <f t="shared" si="156"/>
        <v>0</v>
      </c>
      <c r="V212">
        <f t="shared" si="157"/>
        <v>0</v>
      </c>
      <c r="W212">
        <f t="shared" si="158"/>
        <v>0</v>
      </c>
      <c r="X212">
        <f t="shared" si="159"/>
        <v>0</v>
      </c>
      <c r="Y212">
        <f t="shared" si="160"/>
        <v>0</v>
      </c>
      <c r="AA212">
        <v>45037307</v>
      </c>
      <c r="AB212">
        <f t="shared" si="161"/>
        <v>1823.55</v>
      </c>
      <c r="AC212">
        <f t="shared" si="162"/>
        <v>1823.55</v>
      </c>
      <c r="AD212">
        <f t="shared" si="190"/>
        <v>0</v>
      </c>
      <c r="AE212">
        <f t="shared" si="190"/>
        <v>0</v>
      </c>
      <c r="AF212">
        <f t="shared" si="190"/>
        <v>0</v>
      </c>
      <c r="AG212">
        <f t="shared" si="163"/>
        <v>0</v>
      </c>
      <c r="AH212">
        <f t="shared" si="191"/>
        <v>0</v>
      </c>
      <c r="AI212">
        <f t="shared" si="191"/>
        <v>0</v>
      </c>
      <c r="AJ212">
        <f t="shared" si="164"/>
        <v>0</v>
      </c>
      <c r="AK212">
        <v>1823.55</v>
      </c>
      <c r="AL212">
        <v>1823.55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1</v>
      </c>
      <c r="AW212">
        <v>1</v>
      </c>
      <c r="AZ212">
        <v>1</v>
      </c>
      <c r="BA212">
        <v>1</v>
      </c>
      <c r="BB212">
        <v>1</v>
      </c>
      <c r="BC212">
        <v>2.42</v>
      </c>
      <c r="BD212" t="s">
        <v>3</v>
      </c>
      <c r="BE212" t="s">
        <v>3</v>
      </c>
      <c r="BF212" t="s">
        <v>3</v>
      </c>
      <c r="BG212" t="s">
        <v>3</v>
      </c>
      <c r="BH212">
        <v>3</v>
      </c>
      <c r="BI212">
        <v>1</v>
      </c>
      <c r="BJ212" t="s">
        <v>279</v>
      </c>
      <c r="BM212">
        <v>115</v>
      </c>
      <c r="BN212">
        <v>7156650</v>
      </c>
      <c r="BO212" t="s">
        <v>277</v>
      </c>
      <c r="BP212">
        <v>1</v>
      </c>
      <c r="BQ212">
        <v>30</v>
      </c>
      <c r="BR212">
        <v>0</v>
      </c>
      <c r="BS212">
        <v>1</v>
      </c>
      <c r="BT212">
        <v>1</v>
      </c>
      <c r="BU212">
        <v>1</v>
      </c>
      <c r="BV212">
        <v>1</v>
      </c>
      <c r="BW212">
        <v>1</v>
      </c>
      <c r="BX212">
        <v>1</v>
      </c>
      <c r="BY212" t="s">
        <v>3</v>
      </c>
      <c r="BZ212">
        <v>0</v>
      </c>
      <c r="CA212">
        <v>0</v>
      </c>
      <c r="CF212">
        <v>0</v>
      </c>
      <c r="CG212">
        <v>0</v>
      </c>
      <c r="CM212">
        <v>0</v>
      </c>
      <c r="CN212" t="s">
        <v>3</v>
      </c>
      <c r="CO212">
        <v>0</v>
      </c>
      <c r="CP212">
        <f t="shared" si="165"/>
        <v>379.02</v>
      </c>
      <c r="CQ212">
        <f t="shared" si="166"/>
        <v>4412.991</v>
      </c>
      <c r="CR212">
        <f t="shared" si="167"/>
        <v>0</v>
      </c>
      <c r="CS212">
        <f t="shared" si="168"/>
        <v>0</v>
      </c>
      <c r="CT212">
        <f t="shared" si="169"/>
        <v>0</v>
      </c>
      <c r="CU212">
        <f t="shared" si="170"/>
        <v>0</v>
      </c>
      <c r="CV212">
        <f t="shared" si="171"/>
        <v>0</v>
      </c>
      <c r="CW212">
        <f t="shared" si="172"/>
        <v>0</v>
      </c>
      <c r="CX212">
        <f t="shared" si="173"/>
        <v>0</v>
      </c>
      <c r="CY212">
        <f t="shared" si="174"/>
        <v>0</v>
      </c>
      <c r="CZ212">
        <f t="shared" si="175"/>
        <v>0</v>
      </c>
      <c r="DC212" t="s">
        <v>3</v>
      </c>
      <c r="DD212" t="s">
        <v>3</v>
      </c>
      <c r="DE212" t="s">
        <v>3</v>
      </c>
      <c r="DF212" t="s">
        <v>3</v>
      </c>
      <c r="DG212" t="s">
        <v>3</v>
      </c>
      <c r="DH212" t="s">
        <v>3</v>
      </c>
      <c r="DI212" t="s">
        <v>3</v>
      </c>
      <c r="DJ212" t="s">
        <v>3</v>
      </c>
      <c r="DK212" t="s">
        <v>3</v>
      </c>
      <c r="DL212" t="s">
        <v>3</v>
      </c>
      <c r="DM212" t="s">
        <v>3</v>
      </c>
      <c r="DN212">
        <v>100</v>
      </c>
      <c r="DO212">
        <v>64</v>
      </c>
      <c r="DP212">
        <v>1.0249999999999999</v>
      </c>
      <c r="DQ212">
        <v>1</v>
      </c>
      <c r="DU212">
        <v>1009</v>
      </c>
      <c r="DV212" t="s">
        <v>29</v>
      </c>
      <c r="DW212" t="s">
        <v>29</v>
      </c>
      <c r="DX212">
        <v>1000</v>
      </c>
      <c r="EE212">
        <v>44846622</v>
      </c>
      <c r="EF212">
        <v>30</v>
      </c>
      <c r="EG212" t="s">
        <v>38</v>
      </c>
      <c r="EH212">
        <v>0</v>
      </c>
      <c r="EI212" t="s">
        <v>3</v>
      </c>
      <c r="EJ212">
        <v>1</v>
      </c>
      <c r="EK212">
        <v>115</v>
      </c>
      <c r="EL212" t="s">
        <v>270</v>
      </c>
      <c r="EM212" t="s">
        <v>271</v>
      </c>
      <c r="EO212" t="s">
        <v>3</v>
      </c>
      <c r="EQ212">
        <v>0</v>
      </c>
      <c r="ER212">
        <v>1823.55</v>
      </c>
      <c r="ES212">
        <v>1823.55</v>
      </c>
      <c r="ET212">
        <v>0</v>
      </c>
      <c r="EU212">
        <v>0</v>
      </c>
      <c r="EV212">
        <v>0</v>
      </c>
      <c r="EW212">
        <v>0</v>
      </c>
      <c r="EX212">
        <v>0</v>
      </c>
      <c r="FQ212">
        <v>0</v>
      </c>
      <c r="FR212">
        <f t="shared" si="176"/>
        <v>0</v>
      </c>
      <c r="FS212">
        <v>0</v>
      </c>
      <c r="FX212">
        <v>100</v>
      </c>
      <c r="FY212">
        <v>64</v>
      </c>
      <c r="GA212" t="s">
        <v>3</v>
      </c>
      <c r="GD212">
        <v>0</v>
      </c>
      <c r="GF212">
        <v>1872927496</v>
      </c>
      <c r="GG212">
        <v>2</v>
      </c>
      <c r="GH212">
        <v>1</v>
      </c>
      <c r="GI212">
        <v>3</v>
      </c>
      <c r="GJ212">
        <v>0</v>
      </c>
      <c r="GK212">
        <f>ROUND(R212*(S12)/100,2)</f>
        <v>0</v>
      </c>
      <c r="GL212">
        <f t="shared" si="177"/>
        <v>0</v>
      </c>
      <c r="GM212">
        <f t="shared" si="178"/>
        <v>379.02</v>
      </c>
      <c r="GN212">
        <f t="shared" si="179"/>
        <v>379.02</v>
      </c>
      <c r="GO212">
        <f t="shared" si="180"/>
        <v>0</v>
      </c>
      <c r="GP212">
        <f t="shared" si="181"/>
        <v>0</v>
      </c>
      <c r="GR212">
        <v>0</v>
      </c>
      <c r="GS212">
        <v>3</v>
      </c>
      <c r="GT212">
        <v>0</v>
      </c>
      <c r="GU212" t="s">
        <v>3</v>
      </c>
      <c r="GV212">
        <f t="shared" si="182"/>
        <v>0</v>
      </c>
      <c r="GW212">
        <v>1</v>
      </c>
      <c r="GX212">
        <f t="shared" si="183"/>
        <v>0</v>
      </c>
      <c r="HA212">
        <v>0</v>
      </c>
      <c r="HB212">
        <v>0</v>
      </c>
      <c r="IK212">
        <v>0</v>
      </c>
    </row>
    <row r="213" spans="1:255" x14ac:dyDescent="0.2">
      <c r="A213" s="2">
        <v>18</v>
      </c>
      <c r="B213" s="2">
        <v>1</v>
      </c>
      <c r="C213" s="2">
        <v>160</v>
      </c>
      <c r="D213" s="2"/>
      <c r="E213" s="2" t="s">
        <v>280</v>
      </c>
      <c r="F213" s="2" t="s">
        <v>281</v>
      </c>
      <c r="G213" s="2" t="s">
        <v>282</v>
      </c>
      <c r="H213" s="2" t="s">
        <v>80</v>
      </c>
      <c r="I213" s="2">
        <f>I207*J213</f>
        <v>0.20984</v>
      </c>
      <c r="J213" s="2">
        <v>3.44</v>
      </c>
      <c r="K213" s="2"/>
      <c r="L213" s="2"/>
      <c r="M213" s="2"/>
      <c r="N213" s="2"/>
      <c r="O213" s="2">
        <f t="shared" si="150"/>
        <v>92.56</v>
      </c>
      <c r="P213" s="2">
        <f t="shared" si="151"/>
        <v>92.56</v>
      </c>
      <c r="Q213" s="2">
        <f t="shared" si="152"/>
        <v>0</v>
      </c>
      <c r="R213" s="2">
        <f t="shared" si="153"/>
        <v>0</v>
      </c>
      <c r="S213" s="2">
        <f t="shared" si="154"/>
        <v>0</v>
      </c>
      <c r="T213" s="2">
        <f t="shared" si="155"/>
        <v>0</v>
      </c>
      <c r="U213" s="2">
        <f t="shared" si="156"/>
        <v>0</v>
      </c>
      <c r="V213" s="2">
        <f t="shared" si="157"/>
        <v>0</v>
      </c>
      <c r="W213" s="2">
        <f t="shared" si="158"/>
        <v>0</v>
      </c>
      <c r="X213" s="2">
        <f t="shared" si="159"/>
        <v>0</v>
      </c>
      <c r="Y213" s="2">
        <f t="shared" si="160"/>
        <v>0</v>
      </c>
      <c r="Z213" s="2"/>
      <c r="AA213" s="2">
        <v>45037306</v>
      </c>
      <c r="AB213" s="2">
        <f t="shared" si="161"/>
        <v>441.1</v>
      </c>
      <c r="AC213" s="2">
        <f t="shared" si="162"/>
        <v>441.1</v>
      </c>
      <c r="AD213" s="2">
        <f t="shared" si="190"/>
        <v>0</v>
      </c>
      <c r="AE213" s="2">
        <f t="shared" si="190"/>
        <v>0</v>
      </c>
      <c r="AF213" s="2">
        <f t="shared" si="190"/>
        <v>0</v>
      </c>
      <c r="AG213" s="2">
        <f t="shared" si="163"/>
        <v>0</v>
      </c>
      <c r="AH213" s="2">
        <f t="shared" si="191"/>
        <v>0</v>
      </c>
      <c r="AI213" s="2">
        <f t="shared" si="191"/>
        <v>0</v>
      </c>
      <c r="AJ213" s="2">
        <f t="shared" si="164"/>
        <v>0</v>
      </c>
      <c r="AK213" s="2">
        <v>441.1</v>
      </c>
      <c r="AL213" s="2">
        <v>441.1</v>
      </c>
      <c r="AM213" s="2">
        <v>0</v>
      </c>
      <c r="AN213" s="2">
        <v>0</v>
      </c>
      <c r="AO213" s="2">
        <v>0</v>
      </c>
      <c r="AP213" s="2">
        <v>0</v>
      </c>
      <c r="AQ213" s="2">
        <v>0</v>
      </c>
      <c r="AR213" s="2">
        <v>0</v>
      </c>
      <c r="AS213" s="2">
        <v>0</v>
      </c>
      <c r="AT213" s="2">
        <v>0</v>
      </c>
      <c r="AU213" s="2">
        <v>0</v>
      </c>
      <c r="AV213" s="2">
        <v>1</v>
      </c>
      <c r="AW213" s="2">
        <v>1</v>
      </c>
      <c r="AX213" s="2"/>
      <c r="AY213" s="2"/>
      <c r="AZ213" s="2">
        <v>1</v>
      </c>
      <c r="BA213" s="2">
        <v>1</v>
      </c>
      <c r="BB213" s="2">
        <v>1</v>
      </c>
      <c r="BC213" s="2">
        <v>1</v>
      </c>
      <c r="BD213" s="2" t="s">
        <v>3</v>
      </c>
      <c r="BE213" s="2" t="s">
        <v>3</v>
      </c>
      <c r="BF213" s="2" t="s">
        <v>3</v>
      </c>
      <c r="BG213" s="2" t="s">
        <v>3</v>
      </c>
      <c r="BH213" s="2">
        <v>3</v>
      </c>
      <c r="BI213" s="2">
        <v>1</v>
      </c>
      <c r="BJ213" s="2" t="s">
        <v>283</v>
      </c>
      <c r="BK213" s="2"/>
      <c r="BL213" s="2"/>
      <c r="BM213" s="2">
        <v>115</v>
      </c>
      <c r="BN213" s="2">
        <v>7156650</v>
      </c>
      <c r="BO213" s="2" t="s">
        <v>3</v>
      </c>
      <c r="BP213" s="2">
        <v>0</v>
      </c>
      <c r="BQ213" s="2">
        <v>30</v>
      </c>
      <c r="BR213" s="2">
        <v>0</v>
      </c>
      <c r="BS213" s="2">
        <v>1</v>
      </c>
      <c r="BT213" s="2">
        <v>1</v>
      </c>
      <c r="BU213" s="2">
        <v>1</v>
      </c>
      <c r="BV213" s="2">
        <v>1</v>
      </c>
      <c r="BW213" s="2">
        <v>1</v>
      </c>
      <c r="BX213" s="2">
        <v>1</v>
      </c>
      <c r="BY213" s="2" t="s">
        <v>3</v>
      </c>
      <c r="BZ213" s="2">
        <v>0</v>
      </c>
      <c r="CA213" s="2">
        <v>0</v>
      </c>
      <c r="CB213" s="2"/>
      <c r="CC213" s="2"/>
      <c r="CD213" s="2"/>
      <c r="CE213" s="2"/>
      <c r="CF213" s="2">
        <v>0</v>
      </c>
      <c r="CG213" s="2">
        <v>0</v>
      </c>
      <c r="CH213" s="2"/>
      <c r="CI213" s="2"/>
      <c r="CJ213" s="2"/>
      <c r="CK213" s="2"/>
      <c r="CL213" s="2"/>
      <c r="CM213" s="2">
        <v>0</v>
      </c>
      <c r="CN213" s="2" t="s">
        <v>3</v>
      </c>
      <c r="CO213" s="2">
        <v>0</v>
      </c>
      <c r="CP213" s="2">
        <f t="shared" si="165"/>
        <v>92.56</v>
      </c>
      <c r="CQ213" s="2">
        <f t="shared" si="166"/>
        <v>441.1</v>
      </c>
      <c r="CR213" s="2">
        <f t="shared" si="167"/>
        <v>0</v>
      </c>
      <c r="CS213" s="2">
        <f t="shared" si="168"/>
        <v>0</v>
      </c>
      <c r="CT213" s="2">
        <f t="shared" si="169"/>
        <v>0</v>
      </c>
      <c r="CU213" s="2">
        <f t="shared" si="170"/>
        <v>0</v>
      </c>
      <c r="CV213" s="2">
        <f t="shared" si="171"/>
        <v>0</v>
      </c>
      <c r="CW213" s="2">
        <f t="shared" si="172"/>
        <v>0</v>
      </c>
      <c r="CX213" s="2">
        <f t="shared" si="173"/>
        <v>0</v>
      </c>
      <c r="CY213" s="2">
        <f t="shared" si="174"/>
        <v>0</v>
      </c>
      <c r="CZ213" s="2">
        <f t="shared" si="175"/>
        <v>0</v>
      </c>
      <c r="DA213" s="2"/>
      <c r="DB213" s="2"/>
      <c r="DC213" s="2" t="s">
        <v>3</v>
      </c>
      <c r="DD213" s="2" t="s">
        <v>3</v>
      </c>
      <c r="DE213" s="2" t="s">
        <v>3</v>
      </c>
      <c r="DF213" s="2" t="s">
        <v>3</v>
      </c>
      <c r="DG213" s="2" t="s">
        <v>3</v>
      </c>
      <c r="DH213" s="2" t="s">
        <v>3</v>
      </c>
      <c r="DI213" s="2" t="s">
        <v>3</v>
      </c>
      <c r="DJ213" s="2" t="s">
        <v>3</v>
      </c>
      <c r="DK213" s="2" t="s">
        <v>3</v>
      </c>
      <c r="DL213" s="2" t="s">
        <v>3</v>
      </c>
      <c r="DM213" s="2" t="s">
        <v>3</v>
      </c>
      <c r="DN213" s="2">
        <v>100</v>
      </c>
      <c r="DO213" s="2">
        <v>64</v>
      </c>
      <c r="DP213" s="2">
        <v>1.0249999999999999</v>
      </c>
      <c r="DQ213" s="2">
        <v>1</v>
      </c>
      <c r="DR213" s="2"/>
      <c r="DS213" s="2"/>
      <c r="DT213" s="2"/>
      <c r="DU213" s="2">
        <v>1007</v>
      </c>
      <c r="DV213" s="2" t="s">
        <v>80</v>
      </c>
      <c r="DW213" s="2" t="s">
        <v>80</v>
      </c>
      <c r="DX213" s="2">
        <v>1</v>
      </c>
      <c r="DY213" s="2"/>
      <c r="DZ213" s="2"/>
      <c r="EA213" s="2"/>
      <c r="EB213" s="2"/>
      <c r="EC213" s="2"/>
      <c r="ED213" s="2"/>
      <c r="EE213" s="2">
        <v>44846622</v>
      </c>
      <c r="EF213" s="2">
        <v>30</v>
      </c>
      <c r="EG213" s="2" t="s">
        <v>38</v>
      </c>
      <c r="EH213" s="2">
        <v>0</v>
      </c>
      <c r="EI213" s="2" t="s">
        <v>3</v>
      </c>
      <c r="EJ213" s="2">
        <v>1</v>
      </c>
      <c r="EK213" s="2">
        <v>115</v>
      </c>
      <c r="EL213" s="2" t="s">
        <v>270</v>
      </c>
      <c r="EM213" s="2" t="s">
        <v>271</v>
      </c>
      <c r="EN213" s="2"/>
      <c r="EO213" s="2" t="s">
        <v>3</v>
      </c>
      <c r="EP213" s="2"/>
      <c r="EQ213" s="2">
        <v>0</v>
      </c>
      <c r="ER213" s="2">
        <v>441.1</v>
      </c>
      <c r="ES213" s="2">
        <v>441.1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/>
      <c r="EZ213" s="2"/>
      <c r="FA213" s="2"/>
      <c r="FB213" s="2"/>
      <c r="FC213" s="2"/>
      <c r="FD213" s="2"/>
      <c r="FE213" s="2"/>
      <c r="FF213" s="2"/>
      <c r="FG213" s="2"/>
      <c r="FH213" s="2"/>
      <c r="FI213" s="2"/>
      <c r="FJ213" s="2"/>
      <c r="FK213" s="2"/>
      <c r="FL213" s="2"/>
      <c r="FM213" s="2"/>
      <c r="FN213" s="2"/>
      <c r="FO213" s="2"/>
      <c r="FP213" s="2"/>
      <c r="FQ213" s="2">
        <v>0</v>
      </c>
      <c r="FR213" s="2">
        <f t="shared" si="176"/>
        <v>0</v>
      </c>
      <c r="FS213" s="2">
        <v>0</v>
      </c>
      <c r="FT213" s="2"/>
      <c r="FU213" s="2"/>
      <c r="FV213" s="2"/>
      <c r="FW213" s="2"/>
      <c r="FX213" s="2">
        <v>100</v>
      </c>
      <c r="FY213" s="2">
        <v>64</v>
      </c>
      <c r="FZ213" s="2"/>
      <c r="GA213" s="2" t="s">
        <v>3</v>
      </c>
      <c r="GB213" s="2"/>
      <c r="GC213" s="2"/>
      <c r="GD213" s="2">
        <v>0</v>
      </c>
      <c r="GE213" s="2"/>
      <c r="GF213" s="2">
        <v>-2018362707</v>
      </c>
      <c r="GG213" s="2">
        <v>2</v>
      </c>
      <c r="GH213" s="2">
        <v>1</v>
      </c>
      <c r="GI213" s="2">
        <v>3</v>
      </c>
      <c r="GJ213" s="2">
        <v>0</v>
      </c>
      <c r="GK213" s="2">
        <f>ROUND(R213*(R12)/100,2)</f>
        <v>0</v>
      </c>
      <c r="GL213" s="2">
        <f t="shared" si="177"/>
        <v>0</v>
      </c>
      <c r="GM213" s="2">
        <f t="shared" si="178"/>
        <v>92.56</v>
      </c>
      <c r="GN213" s="2">
        <f t="shared" si="179"/>
        <v>92.56</v>
      </c>
      <c r="GO213" s="2">
        <f t="shared" si="180"/>
        <v>0</v>
      </c>
      <c r="GP213" s="2">
        <f t="shared" si="181"/>
        <v>0</v>
      </c>
      <c r="GQ213" s="2"/>
      <c r="GR213" s="2">
        <v>0</v>
      </c>
      <c r="GS213" s="2">
        <v>3</v>
      </c>
      <c r="GT213" s="2">
        <v>0</v>
      </c>
      <c r="GU213" s="2" t="s">
        <v>3</v>
      </c>
      <c r="GV213" s="2">
        <f t="shared" si="182"/>
        <v>0</v>
      </c>
      <c r="GW213" s="2">
        <v>1</v>
      </c>
      <c r="GX213" s="2">
        <f t="shared" si="183"/>
        <v>0</v>
      </c>
      <c r="GY213" s="2"/>
      <c r="GZ213" s="2"/>
      <c r="HA213" s="2">
        <v>0</v>
      </c>
      <c r="HB213" s="2">
        <v>0</v>
      </c>
      <c r="HC213" s="2"/>
      <c r="HD213" s="2"/>
      <c r="HE213" s="2"/>
      <c r="HF213" s="2"/>
      <c r="HG213" s="2"/>
      <c r="HH213" s="2"/>
      <c r="HI213" s="2"/>
      <c r="HJ213" s="2"/>
      <c r="HK213" s="2"/>
      <c r="HL213" s="2"/>
      <c r="HM213" s="2"/>
      <c r="HN213" s="2"/>
      <c r="HO213" s="2"/>
      <c r="HP213" s="2"/>
      <c r="HQ213" s="2"/>
      <c r="HR213" s="2"/>
      <c r="HS213" s="2"/>
      <c r="HT213" s="2"/>
      <c r="HU213" s="2"/>
      <c r="HV213" s="2"/>
      <c r="HW213" s="2"/>
      <c r="HX213" s="2"/>
      <c r="HY213" s="2"/>
      <c r="HZ213" s="2"/>
      <c r="IA213" s="2"/>
      <c r="IB213" s="2"/>
      <c r="IC213" s="2"/>
      <c r="ID213" s="2"/>
      <c r="IE213" s="2"/>
      <c r="IF213" s="2"/>
      <c r="IG213" s="2"/>
      <c r="IH213" s="2"/>
      <c r="II213" s="2"/>
      <c r="IJ213" s="2"/>
      <c r="IK213" s="2">
        <v>0</v>
      </c>
      <c r="IL213" s="2"/>
      <c r="IM213" s="2"/>
      <c r="IN213" s="2"/>
      <c r="IO213" s="2"/>
      <c r="IP213" s="2"/>
      <c r="IQ213" s="2"/>
      <c r="IR213" s="2"/>
      <c r="IS213" s="2"/>
      <c r="IT213" s="2"/>
      <c r="IU213" s="2"/>
    </row>
    <row r="214" spans="1:255" x14ac:dyDescent="0.2">
      <c r="A214">
        <v>18</v>
      </c>
      <c r="B214">
        <v>1</v>
      </c>
      <c r="C214">
        <v>166</v>
      </c>
      <c r="E214" t="s">
        <v>280</v>
      </c>
      <c r="F214" t="s">
        <v>281</v>
      </c>
      <c r="G214" t="s">
        <v>282</v>
      </c>
      <c r="H214" t="s">
        <v>80</v>
      </c>
      <c r="I214">
        <f>I208*J214</f>
        <v>0.20984</v>
      </c>
      <c r="J214">
        <v>3.44</v>
      </c>
      <c r="O214">
        <f t="shared" si="150"/>
        <v>611.82000000000005</v>
      </c>
      <c r="P214">
        <f t="shared" si="151"/>
        <v>611.82000000000005</v>
      </c>
      <c r="Q214">
        <f t="shared" si="152"/>
        <v>0</v>
      </c>
      <c r="R214">
        <f t="shared" si="153"/>
        <v>0</v>
      </c>
      <c r="S214">
        <f t="shared" si="154"/>
        <v>0</v>
      </c>
      <c r="T214">
        <f t="shared" si="155"/>
        <v>0</v>
      </c>
      <c r="U214">
        <f t="shared" si="156"/>
        <v>0</v>
      </c>
      <c r="V214">
        <f t="shared" si="157"/>
        <v>0</v>
      </c>
      <c r="W214">
        <f t="shared" si="158"/>
        <v>0</v>
      </c>
      <c r="X214">
        <f t="shared" si="159"/>
        <v>0</v>
      </c>
      <c r="Y214">
        <f t="shared" si="160"/>
        <v>0</v>
      </c>
      <c r="AA214">
        <v>45037307</v>
      </c>
      <c r="AB214">
        <f t="shared" si="161"/>
        <v>441.1</v>
      </c>
      <c r="AC214">
        <f t="shared" si="162"/>
        <v>441.1</v>
      </c>
      <c r="AD214">
        <f t="shared" si="190"/>
        <v>0</v>
      </c>
      <c r="AE214">
        <f t="shared" si="190"/>
        <v>0</v>
      </c>
      <c r="AF214">
        <f t="shared" si="190"/>
        <v>0</v>
      </c>
      <c r="AG214">
        <f t="shared" si="163"/>
        <v>0</v>
      </c>
      <c r="AH214">
        <f t="shared" si="191"/>
        <v>0</v>
      </c>
      <c r="AI214">
        <f t="shared" si="191"/>
        <v>0</v>
      </c>
      <c r="AJ214">
        <f t="shared" si="164"/>
        <v>0</v>
      </c>
      <c r="AK214">
        <v>441.1</v>
      </c>
      <c r="AL214">
        <v>441.1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1</v>
      </c>
      <c r="AW214">
        <v>1</v>
      </c>
      <c r="AZ214">
        <v>1</v>
      </c>
      <c r="BA214">
        <v>1</v>
      </c>
      <c r="BB214">
        <v>1</v>
      </c>
      <c r="BC214">
        <v>6.61</v>
      </c>
      <c r="BD214" t="s">
        <v>3</v>
      </c>
      <c r="BE214" t="s">
        <v>3</v>
      </c>
      <c r="BF214" t="s">
        <v>3</v>
      </c>
      <c r="BG214" t="s">
        <v>3</v>
      </c>
      <c r="BH214">
        <v>3</v>
      </c>
      <c r="BI214">
        <v>1</v>
      </c>
      <c r="BJ214" t="s">
        <v>283</v>
      </c>
      <c r="BM214">
        <v>115</v>
      </c>
      <c r="BN214">
        <v>7156650</v>
      </c>
      <c r="BO214" t="s">
        <v>281</v>
      </c>
      <c r="BP214">
        <v>1</v>
      </c>
      <c r="BQ214">
        <v>30</v>
      </c>
      <c r="BR214">
        <v>0</v>
      </c>
      <c r="BS214">
        <v>1</v>
      </c>
      <c r="BT214">
        <v>1</v>
      </c>
      <c r="BU214">
        <v>1</v>
      </c>
      <c r="BV214">
        <v>1</v>
      </c>
      <c r="BW214">
        <v>1</v>
      </c>
      <c r="BX214">
        <v>1</v>
      </c>
      <c r="BY214" t="s">
        <v>3</v>
      </c>
      <c r="BZ214">
        <v>0</v>
      </c>
      <c r="CA214">
        <v>0</v>
      </c>
      <c r="CF214">
        <v>0</v>
      </c>
      <c r="CG214">
        <v>0</v>
      </c>
      <c r="CM214">
        <v>0</v>
      </c>
      <c r="CN214" t="s">
        <v>3</v>
      </c>
      <c r="CO214">
        <v>0</v>
      </c>
      <c r="CP214">
        <f t="shared" si="165"/>
        <v>611.82000000000005</v>
      </c>
      <c r="CQ214">
        <f t="shared" si="166"/>
        <v>2915.6710000000003</v>
      </c>
      <c r="CR214">
        <f t="shared" si="167"/>
        <v>0</v>
      </c>
      <c r="CS214">
        <f t="shared" si="168"/>
        <v>0</v>
      </c>
      <c r="CT214">
        <f t="shared" si="169"/>
        <v>0</v>
      </c>
      <c r="CU214">
        <f t="shared" si="170"/>
        <v>0</v>
      </c>
      <c r="CV214">
        <f t="shared" si="171"/>
        <v>0</v>
      </c>
      <c r="CW214">
        <f t="shared" si="172"/>
        <v>0</v>
      </c>
      <c r="CX214">
        <f t="shared" si="173"/>
        <v>0</v>
      </c>
      <c r="CY214">
        <f t="shared" si="174"/>
        <v>0</v>
      </c>
      <c r="CZ214">
        <f t="shared" si="175"/>
        <v>0</v>
      </c>
      <c r="DC214" t="s">
        <v>3</v>
      </c>
      <c r="DD214" t="s">
        <v>3</v>
      </c>
      <c r="DE214" t="s">
        <v>3</v>
      </c>
      <c r="DF214" t="s">
        <v>3</v>
      </c>
      <c r="DG214" t="s">
        <v>3</v>
      </c>
      <c r="DH214" t="s">
        <v>3</v>
      </c>
      <c r="DI214" t="s">
        <v>3</v>
      </c>
      <c r="DJ214" t="s">
        <v>3</v>
      </c>
      <c r="DK214" t="s">
        <v>3</v>
      </c>
      <c r="DL214" t="s">
        <v>3</v>
      </c>
      <c r="DM214" t="s">
        <v>3</v>
      </c>
      <c r="DN214">
        <v>100</v>
      </c>
      <c r="DO214">
        <v>64</v>
      </c>
      <c r="DP214">
        <v>1.0249999999999999</v>
      </c>
      <c r="DQ214">
        <v>1</v>
      </c>
      <c r="DU214">
        <v>1007</v>
      </c>
      <c r="DV214" t="s">
        <v>80</v>
      </c>
      <c r="DW214" t="s">
        <v>80</v>
      </c>
      <c r="DX214">
        <v>1</v>
      </c>
      <c r="EE214">
        <v>44846622</v>
      </c>
      <c r="EF214">
        <v>30</v>
      </c>
      <c r="EG214" t="s">
        <v>38</v>
      </c>
      <c r="EH214">
        <v>0</v>
      </c>
      <c r="EI214" t="s">
        <v>3</v>
      </c>
      <c r="EJ214">
        <v>1</v>
      </c>
      <c r="EK214">
        <v>115</v>
      </c>
      <c r="EL214" t="s">
        <v>270</v>
      </c>
      <c r="EM214" t="s">
        <v>271</v>
      </c>
      <c r="EO214" t="s">
        <v>3</v>
      </c>
      <c r="EQ214">
        <v>0</v>
      </c>
      <c r="ER214">
        <v>441.1</v>
      </c>
      <c r="ES214">
        <v>441.1</v>
      </c>
      <c r="ET214">
        <v>0</v>
      </c>
      <c r="EU214">
        <v>0</v>
      </c>
      <c r="EV214">
        <v>0</v>
      </c>
      <c r="EW214">
        <v>0</v>
      </c>
      <c r="EX214">
        <v>0</v>
      </c>
      <c r="FQ214">
        <v>0</v>
      </c>
      <c r="FR214">
        <f t="shared" si="176"/>
        <v>0</v>
      </c>
      <c r="FS214">
        <v>0</v>
      </c>
      <c r="FX214">
        <v>100</v>
      </c>
      <c r="FY214">
        <v>64</v>
      </c>
      <c r="GA214" t="s">
        <v>3</v>
      </c>
      <c r="GD214">
        <v>0</v>
      </c>
      <c r="GF214">
        <v>-2018362707</v>
      </c>
      <c r="GG214">
        <v>2</v>
      </c>
      <c r="GH214">
        <v>1</v>
      </c>
      <c r="GI214">
        <v>3</v>
      </c>
      <c r="GJ214">
        <v>0</v>
      </c>
      <c r="GK214">
        <f>ROUND(R214*(S12)/100,2)</f>
        <v>0</v>
      </c>
      <c r="GL214">
        <f t="shared" si="177"/>
        <v>0</v>
      </c>
      <c r="GM214">
        <f t="shared" si="178"/>
        <v>611.82000000000005</v>
      </c>
      <c r="GN214">
        <f t="shared" si="179"/>
        <v>611.82000000000005</v>
      </c>
      <c r="GO214">
        <f t="shared" si="180"/>
        <v>0</v>
      </c>
      <c r="GP214">
        <f t="shared" si="181"/>
        <v>0</v>
      </c>
      <c r="GR214">
        <v>0</v>
      </c>
      <c r="GS214">
        <v>3</v>
      </c>
      <c r="GT214">
        <v>0</v>
      </c>
      <c r="GU214" t="s">
        <v>3</v>
      </c>
      <c r="GV214">
        <f t="shared" si="182"/>
        <v>0</v>
      </c>
      <c r="GW214">
        <v>1</v>
      </c>
      <c r="GX214">
        <f t="shared" si="183"/>
        <v>0</v>
      </c>
      <c r="HA214">
        <v>0</v>
      </c>
      <c r="HB214">
        <v>0</v>
      </c>
      <c r="IK214">
        <v>0</v>
      </c>
    </row>
    <row r="215" spans="1:255" x14ac:dyDescent="0.2">
      <c r="A215" s="2">
        <v>17</v>
      </c>
      <c r="B215" s="2">
        <v>1</v>
      </c>
      <c r="C215" s="2">
        <f>ROW(SmtRes!A173)</f>
        <v>173</v>
      </c>
      <c r="D215" s="2">
        <f>ROW(EtalonRes!A174)</f>
        <v>174</v>
      </c>
      <c r="E215" s="2" t="s">
        <v>284</v>
      </c>
      <c r="F215" s="2" t="s">
        <v>285</v>
      </c>
      <c r="G215" s="2" t="s">
        <v>286</v>
      </c>
      <c r="H215" s="2" t="s">
        <v>287</v>
      </c>
      <c r="I215" s="2">
        <f>ROUND(6.1/100,9)</f>
        <v>6.0999999999999999E-2</v>
      </c>
      <c r="J215" s="2">
        <v>0</v>
      </c>
      <c r="K215" s="2"/>
      <c r="L215" s="2"/>
      <c r="M215" s="2"/>
      <c r="N215" s="2"/>
      <c r="O215" s="2">
        <f t="shared" ref="O215:O236" si="192">ROUND(CP215,2)</f>
        <v>34.75</v>
      </c>
      <c r="P215" s="2">
        <f t="shared" ref="P215:P236" si="193">ROUND(CQ215*I215,2)</f>
        <v>0.37</v>
      </c>
      <c r="Q215" s="2">
        <f t="shared" ref="Q215:Q236" si="194">ROUND(CR215*I215,2)</f>
        <v>2.21</v>
      </c>
      <c r="R215" s="2">
        <f t="shared" ref="R215:R236" si="195">ROUND(CS215*I215,2)</f>
        <v>0.52</v>
      </c>
      <c r="S215" s="2">
        <f t="shared" ref="S215:S236" si="196">ROUND(CT215*I215,2)</f>
        <v>32.17</v>
      </c>
      <c r="T215" s="2">
        <f t="shared" ref="T215:T236" si="197">ROUND(CU215*I215,2)</f>
        <v>0</v>
      </c>
      <c r="U215" s="2">
        <f t="shared" ref="U215:U236" si="198">CV215*I215</f>
        <v>2.7358499999999997</v>
      </c>
      <c r="V215" s="2">
        <f t="shared" ref="V215:V236" si="199">CW215*I215</f>
        <v>0</v>
      </c>
      <c r="W215" s="2">
        <f t="shared" ref="W215:W236" si="200">ROUND(CX215*I215,2)</f>
        <v>0</v>
      </c>
      <c r="X215" s="2">
        <f t="shared" ref="X215:X236" si="201">ROUND(CY215,2)</f>
        <v>0</v>
      </c>
      <c r="Y215" s="2">
        <f t="shared" ref="Y215:Y236" si="202">ROUND(CZ215,2)</f>
        <v>0</v>
      </c>
      <c r="Z215" s="2"/>
      <c r="AA215" s="2">
        <v>45037306</v>
      </c>
      <c r="AB215" s="2">
        <f t="shared" ref="AB215:AB236" si="203">ROUND((AC215+AD215+AF215),6)</f>
        <v>569.81349999999998</v>
      </c>
      <c r="AC215" s="2">
        <f t="shared" ref="AC215:AC236" si="204">ROUND((ES215),6)</f>
        <v>6.09</v>
      </c>
      <c r="AD215" s="2">
        <f>ROUND(((ET215*1.25)),6)</f>
        <v>36.287500000000001</v>
      </c>
      <c r="AE215" s="2">
        <f>ROUND(((EU215*1.25)),6)</f>
        <v>8.5749999999999993</v>
      </c>
      <c r="AF215" s="2">
        <f>ROUND(((EV215*1.15)),6)</f>
        <v>527.43600000000004</v>
      </c>
      <c r="AG215" s="2">
        <f t="shared" ref="AG215:AG236" si="205">ROUND((AP215),6)</f>
        <v>0</v>
      </c>
      <c r="AH215" s="2">
        <f>((EW215*1.15))</f>
        <v>44.849999999999994</v>
      </c>
      <c r="AI215" s="2">
        <f>((EX215*1.25))</f>
        <v>0</v>
      </c>
      <c r="AJ215" s="2">
        <f t="shared" ref="AJ215:AJ236" si="206">ROUND((AS215),6)</f>
        <v>0</v>
      </c>
      <c r="AK215" s="2">
        <v>493.76</v>
      </c>
      <c r="AL215" s="2">
        <v>6.09</v>
      </c>
      <c r="AM215" s="2">
        <v>29.03</v>
      </c>
      <c r="AN215" s="2">
        <v>6.86</v>
      </c>
      <c r="AO215" s="2">
        <v>458.64</v>
      </c>
      <c r="AP215" s="2">
        <v>0</v>
      </c>
      <c r="AQ215" s="2">
        <v>39</v>
      </c>
      <c r="AR215" s="2">
        <v>0</v>
      </c>
      <c r="AS215" s="2">
        <v>0</v>
      </c>
      <c r="AT215" s="2">
        <v>0</v>
      </c>
      <c r="AU215" s="2">
        <v>0</v>
      </c>
      <c r="AV215" s="2">
        <v>1</v>
      </c>
      <c r="AW215" s="2">
        <v>1</v>
      </c>
      <c r="AX215" s="2"/>
      <c r="AY215" s="2"/>
      <c r="AZ215" s="2">
        <v>1</v>
      </c>
      <c r="BA215" s="2">
        <v>1</v>
      </c>
      <c r="BB215" s="2">
        <v>1</v>
      </c>
      <c r="BC215" s="2">
        <v>1</v>
      </c>
      <c r="BD215" s="2" t="s">
        <v>3</v>
      </c>
      <c r="BE215" s="2" t="s">
        <v>3</v>
      </c>
      <c r="BF215" s="2" t="s">
        <v>3</v>
      </c>
      <c r="BG215" s="2" t="s">
        <v>3</v>
      </c>
      <c r="BH215" s="2">
        <v>0</v>
      </c>
      <c r="BI215" s="2">
        <v>1</v>
      </c>
      <c r="BJ215" s="2" t="s">
        <v>288</v>
      </c>
      <c r="BK215" s="2"/>
      <c r="BL215" s="2"/>
      <c r="BM215" s="2">
        <v>117</v>
      </c>
      <c r="BN215" s="2">
        <v>7156650</v>
      </c>
      <c r="BO215" s="2" t="s">
        <v>3</v>
      </c>
      <c r="BP215" s="2">
        <v>0</v>
      </c>
      <c r="BQ215" s="2">
        <v>30</v>
      </c>
      <c r="BR215" s="2">
        <v>0</v>
      </c>
      <c r="BS215" s="2">
        <v>1</v>
      </c>
      <c r="BT215" s="2">
        <v>1</v>
      </c>
      <c r="BU215" s="2">
        <v>1</v>
      </c>
      <c r="BV215" s="2">
        <v>1</v>
      </c>
      <c r="BW215" s="2">
        <v>1</v>
      </c>
      <c r="BX215" s="2">
        <v>1</v>
      </c>
      <c r="BY215" s="2" t="s">
        <v>3</v>
      </c>
      <c r="BZ215" s="2">
        <v>0</v>
      </c>
      <c r="CA215" s="2">
        <v>0</v>
      </c>
      <c r="CB215" s="2"/>
      <c r="CC215" s="2"/>
      <c r="CD215" s="2"/>
      <c r="CE215" s="2"/>
      <c r="CF215" s="2">
        <v>0</v>
      </c>
      <c r="CG215" s="2">
        <v>0</v>
      </c>
      <c r="CH215" s="2"/>
      <c r="CI215" s="2"/>
      <c r="CJ215" s="2"/>
      <c r="CK215" s="2"/>
      <c r="CL215" s="2"/>
      <c r="CM215" s="2">
        <v>0</v>
      </c>
      <c r="CN215" s="2" t="s">
        <v>3</v>
      </c>
      <c r="CO215" s="2">
        <v>0</v>
      </c>
      <c r="CP215" s="2">
        <f t="shared" ref="CP215:CP236" si="207">(P215+Q215+S215)</f>
        <v>34.75</v>
      </c>
      <c r="CQ215" s="2">
        <f t="shared" ref="CQ215:CQ236" si="208">(AC215*BC215*AW215)</f>
        <v>6.09</v>
      </c>
      <c r="CR215" s="2">
        <f t="shared" ref="CR215:CR236" si="209">(AD215*BB215*AV215)</f>
        <v>36.287500000000001</v>
      </c>
      <c r="CS215" s="2">
        <f t="shared" ref="CS215:CS236" si="210">(AE215*BS215*AV215)</f>
        <v>8.5749999999999993</v>
      </c>
      <c r="CT215" s="2">
        <f t="shared" ref="CT215:CT236" si="211">(AF215*BA215*AV215)</f>
        <v>527.43600000000004</v>
      </c>
      <c r="CU215" s="2">
        <f t="shared" ref="CU215:CU236" si="212">AG215</f>
        <v>0</v>
      </c>
      <c r="CV215" s="2">
        <f t="shared" ref="CV215:CV236" si="213">(AH215*AV215)</f>
        <v>44.849999999999994</v>
      </c>
      <c r="CW215" s="2">
        <f t="shared" ref="CW215:CW236" si="214">AI215</f>
        <v>0</v>
      </c>
      <c r="CX215" s="2">
        <f t="shared" ref="CX215:CX236" si="215">AJ215</f>
        <v>0</v>
      </c>
      <c r="CY215" s="2">
        <f t="shared" ref="CY215:CY236" si="216">S215*(BZ215/100)</f>
        <v>0</v>
      </c>
      <c r="CZ215" s="2">
        <f t="shared" ref="CZ215:CZ236" si="217">S215*(CA215/100)</f>
        <v>0</v>
      </c>
      <c r="DA215" s="2"/>
      <c r="DB215" s="2"/>
      <c r="DC215" s="2" t="s">
        <v>3</v>
      </c>
      <c r="DD215" s="2" t="s">
        <v>3</v>
      </c>
      <c r="DE215" s="2" t="s">
        <v>36</v>
      </c>
      <c r="DF215" s="2" t="s">
        <v>36</v>
      </c>
      <c r="DG215" s="2" t="s">
        <v>37</v>
      </c>
      <c r="DH215" s="2" t="s">
        <v>3</v>
      </c>
      <c r="DI215" s="2" t="s">
        <v>37</v>
      </c>
      <c r="DJ215" s="2" t="s">
        <v>36</v>
      </c>
      <c r="DK215" s="2" t="s">
        <v>3</v>
      </c>
      <c r="DL215" s="2" t="s">
        <v>3</v>
      </c>
      <c r="DM215" s="2" t="s">
        <v>3</v>
      </c>
      <c r="DN215" s="2">
        <v>100</v>
      </c>
      <c r="DO215" s="2">
        <v>64</v>
      </c>
      <c r="DP215" s="2">
        <v>1.0249999999999999</v>
      </c>
      <c r="DQ215" s="2">
        <v>1</v>
      </c>
      <c r="DR215" s="2"/>
      <c r="DS215" s="2"/>
      <c r="DT215" s="2"/>
      <c r="DU215" s="2">
        <v>1005</v>
      </c>
      <c r="DV215" s="2" t="s">
        <v>287</v>
      </c>
      <c r="DW215" s="2" t="s">
        <v>287</v>
      </c>
      <c r="DX215" s="2">
        <v>100</v>
      </c>
      <c r="DY215" s="2"/>
      <c r="DZ215" s="2"/>
      <c r="EA215" s="2"/>
      <c r="EB215" s="2"/>
      <c r="EC215" s="2"/>
      <c r="ED215" s="2"/>
      <c r="EE215" s="2">
        <v>44846624</v>
      </c>
      <c r="EF215" s="2">
        <v>30</v>
      </c>
      <c r="EG215" s="2" t="s">
        <v>38</v>
      </c>
      <c r="EH215" s="2">
        <v>0</v>
      </c>
      <c r="EI215" s="2" t="s">
        <v>3</v>
      </c>
      <c r="EJ215" s="2">
        <v>1</v>
      </c>
      <c r="EK215" s="2">
        <v>117</v>
      </c>
      <c r="EL215" s="2" t="s">
        <v>289</v>
      </c>
      <c r="EM215" s="2" t="s">
        <v>290</v>
      </c>
      <c r="EN215" s="2"/>
      <c r="EO215" s="2" t="s">
        <v>3</v>
      </c>
      <c r="EP215" s="2"/>
      <c r="EQ215" s="2">
        <v>131072</v>
      </c>
      <c r="ER215" s="2">
        <v>493.76</v>
      </c>
      <c r="ES215" s="2">
        <v>6.09</v>
      </c>
      <c r="ET215" s="2">
        <v>29.03</v>
      </c>
      <c r="EU215" s="2">
        <v>6.86</v>
      </c>
      <c r="EV215" s="2">
        <v>458.64</v>
      </c>
      <c r="EW215" s="2">
        <v>39</v>
      </c>
      <c r="EX215" s="2">
        <v>0</v>
      </c>
      <c r="EY215" s="2">
        <v>0</v>
      </c>
      <c r="EZ215" s="2"/>
      <c r="FA215" s="2"/>
      <c r="FB215" s="2"/>
      <c r="FC215" s="2"/>
      <c r="FD215" s="2"/>
      <c r="FE215" s="2"/>
      <c r="FF215" s="2"/>
      <c r="FG215" s="2"/>
      <c r="FH215" s="2"/>
      <c r="FI215" s="2"/>
      <c r="FJ215" s="2"/>
      <c r="FK215" s="2"/>
      <c r="FL215" s="2"/>
      <c r="FM215" s="2"/>
      <c r="FN215" s="2"/>
      <c r="FO215" s="2"/>
      <c r="FP215" s="2"/>
      <c r="FQ215" s="2">
        <v>0</v>
      </c>
      <c r="FR215" s="2">
        <f t="shared" ref="FR215:FR236" si="218">ROUND(IF(AND(BH215=3,BI215=3),P215,0),2)</f>
        <v>0</v>
      </c>
      <c r="FS215" s="2">
        <v>0</v>
      </c>
      <c r="FT215" s="2"/>
      <c r="FU215" s="2"/>
      <c r="FV215" s="2"/>
      <c r="FW215" s="2"/>
      <c r="FX215" s="2">
        <v>100</v>
      </c>
      <c r="FY215" s="2">
        <v>64</v>
      </c>
      <c r="FZ215" s="2"/>
      <c r="GA215" s="2" t="s">
        <v>3</v>
      </c>
      <c r="GB215" s="2"/>
      <c r="GC215" s="2"/>
      <c r="GD215" s="2">
        <v>0</v>
      </c>
      <c r="GE215" s="2"/>
      <c r="GF215" s="2">
        <v>1023748172</v>
      </c>
      <c r="GG215" s="2">
        <v>2</v>
      </c>
      <c r="GH215" s="2">
        <v>1</v>
      </c>
      <c r="GI215" s="2">
        <v>3</v>
      </c>
      <c r="GJ215" s="2">
        <v>0</v>
      </c>
      <c r="GK215" s="2">
        <f>ROUND(R215*(R12)/100,2)</f>
        <v>0.94</v>
      </c>
      <c r="GL215" s="2">
        <f t="shared" ref="GL215:GL236" si="219">ROUND(IF(AND(BH215=3,BI215=3,FS215&lt;&gt;0),P215,0),2)</f>
        <v>0</v>
      </c>
      <c r="GM215" s="2">
        <f t="shared" ref="GM215:GM236" si="220">ROUND(O215+X215+Y215+GK215,2)+GX215</f>
        <v>35.69</v>
      </c>
      <c r="GN215" s="2">
        <f t="shared" ref="GN215:GN236" si="221">IF(OR(BI215=0,BI215=1),ROUND(O215+X215+Y215+GK215,2),0)</f>
        <v>35.69</v>
      </c>
      <c r="GO215" s="2">
        <f t="shared" ref="GO215:GO236" si="222">IF(BI215=2,ROUND(O215+X215+Y215+GK215,2),0)</f>
        <v>0</v>
      </c>
      <c r="GP215" s="2">
        <f t="shared" ref="GP215:GP236" si="223">IF(BI215=4,ROUND(O215+X215+Y215+GK215,2)+GX215,0)</f>
        <v>0</v>
      </c>
      <c r="GQ215" s="2"/>
      <c r="GR215" s="2">
        <v>0</v>
      </c>
      <c r="GS215" s="2">
        <v>3</v>
      </c>
      <c r="GT215" s="2">
        <v>0</v>
      </c>
      <c r="GU215" s="2" t="s">
        <v>3</v>
      </c>
      <c r="GV215" s="2">
        <f t="shared" ref="GV215:GV236" si="224">ROUND(GT215,6)</f>
        <v>0</v>
      </c>
      <c r="GW215" s="2">
        <v>1</v>
      </c>
      <c r="GX215" s="2">
        <f t="shared" ref="GX215:GX236" si="225">ROUND(GV215*GW215*I215,2)</f>
        <v>0</v>
      </c>
      <c r="GY215" s="2"/>
      <c r="GZ215" s="2"/>
      <c r="HA215" s="2">
        <v>0</v>
      </c>
      <c r="HB215" s="2">
        <v>0</v>
      </c>
      <c r="HC215" s="2"/>
      <c r="HD215" s="2"/>
      <c r="HE215" s="2"/>
      <c r="HF215" s="2"/>
      <c r="HG215" s="2"/>
      <c r="HH215" s="2"/>
      <c r="HI215" s="2"/>
      <c r="HJ215" s="2"/>
      <c r="HK215" s="2"/>
      <c r="HL215" s="2"/>
      <c r="HM215" s="2"/>
      <c r="HN215" s="2"/>
      <c r="HO215" s="2"/>
      <c r="HP215" s="2"/>
      <c r="HQ215" s="2"/>
      <c r="HR215" s="2"/>
      <c r="HS215" s="2"/>
      <c r="HT215" s="2"/>
      <c r="HU215" s="2"/>
      <c r="HV215" s="2"/>
      <c r="HW215" s="2"/>
      <c r="HX215" s="2"/>
      <c r="HY215" s="2"/>
      <c r="HZ215" s="2"/>
      <c r="IA215" s="2"/>
      <c r="IB215" s="2"/>
      <c r="IC215" s="2"/>
      <c r="ID215" s="2"/>
      <c r="IE215" s="2"/>
      <c r="IF215" s="2"/>
      <c r="IG215" s="2"/>
      <c r="IH215" s="2"/>
      <c r="II215" s="2"/>
      <c r="IJ215" s="2"/>
      <c r="IK215" s="2">
        <v>0</v>
      </c>
      <c r="IL215" s="2"/>
      <c r="IM215" s="2"/>
      <c r="IN215" s="2"/>
      <c r="IO215" s="2"/>
      <c r="IP215" s="2"/>
      <c r="IQ215" s="2"/>
      <c r="IR215" s="2"/>
      <c r="IS215" s="2"/>
      <c r="IT215" s="2"/>
      <c r="IU215" s="2"/>
    </row>
    <row r="216" spans="1:255" x14ac:dyDescent="0.2">
      <c r="A216">
        <v>17</v>
      </c>
      <c r="B216">
        <v>1</v>
      </c>
      <c r="C216">
        <f>ROW(SmtRes!A178)</f>
        <v>178</v>
      </c>
      <c r="D216">
        <f>ROW(EtalonRes!A180)</f>
        <v>180</v>
      </c>
      <c r="E216" t="s">
        <v>284</v>
      </c>
      <c r="F216" t="s">
        <v>285</v>
      </c>
      <c r="G216" t="s">
        <v>286</v>
      </c>
      <c r="H216" t="s">
        <v>287</v>
      </c>
      <c r="I216">
        <f>ROUND(6.1/100,9)</f>
        <v>6.0999999999999999E-2</v>
      </c>
      <c r="J216">
        <v>0</v>
      </c>
      <c r="O216">
        <f t="shared" si="192"/>
        <v>678.09</v>
      </c>
      <c r="P216">
        <f t="shared" si="193"/>
        <v>1.94</v>
      </c>
      <c r="Q216">
        <f t="shared" si="194"/>
        <v>19.809999999999999</v>
      </c>
      <c r="R216">
        <f t="shared" si="195"/>
        <v>10.67</v>
      </c>
      <c r="S216">
        <f t="shared" si="196"/>
        <v>656.34</v>
      </c>
      <c r="T216">
        <f t="shared" si="197"/>
        <v>0</v>
      </c>
      <c r="U216">
        <f t="shared" si="198"/>
        <v>2.7358499999999997</v>
      </c>
      <c r="V216">
        <f t="shared" si="199"/>
        <v>0</v>
      </c>
      <c r="W216">
        <f t="shared" si="200"/>
        <v>0</v>
      </c>
      <c r="X216">
        <f t="shared" si="201"/>
        <v>531.64</v>
      </c>
      <c r="Y216">
        <f t="shared" si="202"/>
        <v>269.10000000000002</v>
      </c>
      <c r="AA216">
        <v>45037307</v>
      </c>
      <c r="AB216">
        <f t="shared" si="203"/>
        <v>569.81349999999998</v>
      </c>
      <c r="AC216">
        <f t="shared" si="204"/>
        <v>6.09</v>
      </c>
      <c r="AD216">
        <f>ROUND(((ET216*1.25)),6)</f>
        <v>36.287500000000001</v>
      </c>
      <c r="AE216">
        <f>ROUND(((EU216*1.25)),6)</f>
        <v>8.5749999999999993</v>
      </c>
      <c r="AF216">
        <f>ROUND(((EV216*1.15)),6)</f>
        <v>527.43600000000004</v>
      </c>
      <c r="AG216">
        <f t="shared" si="205"/>
        <v>0</v>
      </c>
      <c r="AH216">
        <f>((EW216*1.15))</f>
        <v>44.849999999999994</v>
      </c>
      <c r="AI216">
        <f>((EX216*1.25))</f>
        <v>0</v>
      </c>
      <c r="AJ216">
        <f t="shared" si="206"/>
        <v>0</v>
      </c>
      <c r="AK216">
        <v>493.76</v>
      </c>
      <c r="AL216">
        <v>6.09</v>
      </c>
      <c r="AM216">
        <v>29.03</v>
      </c>
      <c r="AN216">
        <v>6.86</v>
      </c>
      <c r="AO216">
        <v>458.64</v>
      </c>
      <c r="AP216">
        <v>0</v>
      </c>
      <c r="AQ216">
        <v>39</v>
      </c>
      <c r="AR216">
        <v>0</v>
      </c>
      <c r="AS216">
        <v>0</v>
      </c>
      <c r="AT216">
        <v>81</v>
      </c>
      <c r="AU216">
        <v>41</v>
      </c>
      <c r="AV216">
        <v>1</v>
      </c>
      <c r="AW216">
        <v>1</v>
      </c>
      <c r="AZ216">
        <v>1</v>
      </c>
      <c r="BA216">
        <v>20.399999999999999</v>
      </c>
      <c r="BB216">
        <v>8.9499999999999993</v>
      </c>
      <c r="BC216">
        <v>5.23</v>
      </c>
      <c r="BD216" t="s">
        <v>3</v>
      </c>
      <c r="BE216" t="s">
        <v>3</v>
      </c>
      <c r="BF216" t="s">
        <v>3</v>
      </c>
      <c r="BG216" t="s">
        <v>3</v>
      </c>
      <c r="BH216">
        <v>0</v>
      </c>
      <c r="BI216">
        <v>1</v>
      </c>
      <c r="BJ216" t="s">
        <v>288</v>
      </c>
      <c r="BM216">
        <v>117</v>
      </c>
      <c r="BN216">
        <v>7156650</v>
      </c>
      <c r="BO216" t="s">
        <v>285</v>
      </c>
      <c r="BP216">
        <v>1</v>
      </c>
      <c r="BQ216">
        <v>30</v>
      </c>
      <c r="BR216">
        <v>0</v>
      </c>
      <c r="BS216">
        <v>20.399999999999999</v>
      </c>
      <c r="BT216">
        <v>1</v>
      </c>
      <c r="BU216">
        <v>1</v>
      </c>
      <c r="BV216">
        <v>1</v>
      </c>
      <c r="BW216">
        <v>1</v>
      </c>
      <c r="BX216">
        <v>1</v>
      </c>
      <c r="BY216" t="s">
        <v>3</v>
      </c>
      <c r="BZ216">
        <v>81</v>
      </c>
      <c r="CA216">
        <v>41</v>
      </c>
      <c r="CF216">
        <v>0</v>
      </c>
      <c r="CG216">
        <v>0</v>
      </c>
      <c r="CM216">
        <v>0</v>
      </c>
      <c r="CN216" t="s">
        <v>3</v>
      </c>
      <c r="CO216">
        <v>0</v>
      </c>
      <c r="CP216">
        <f t="shared" si="207"/>
        <v>678.09</v>
      </c>
      <c r="CQ216">
        <f t="shared" si="208"/>
        <v>31.850700000000003</v>
      </c>
      <c r="CR216">
        <f t="shared" si="209"/>
        <v>324.77312499999999</v>
      </c>
      <c r="CS216">
        <f t="shared" si="210"/>
        <v>174.92999999999998</v>
      </c>
      <c r="CT216">
        <f t="shared" si="211"/>
        <v>10759.6944</v>
      </c>
      <c r="CU216">
        <f t="shared" si="212"/>
        <v>0</v>
      </c>
      <c r="CV216">
        <f t="shared" si="213"/>
        <v>44.849999999999994</v>
      </c>
      <c r="CW216">
        <f t="shared" si="214"/>
        <v>0</v>
      </c>
      <c r="CX216">
        <f t="shared" si="215"/>
        <v>0</v>
      </c>
      <c r="CY216">
        <f t="shared" si="216"/>
        <v>531.6354</v>
      </c>
      <c r="CZ216">
        <f t="shared" si="217"/>
        <v>269.0994</v>
      </c>
      <c r="DC216" t="s">
        <v>3</v>
      </c>
      <c r="DD216" t="s">
        <v>3</v>
      </c>
      <c r="DE216" t="s">
        <v>36</v>
      </c>
      <c r="DF216" t="s">
        <v>36</v>
      </c>
      <c r="DG216" t="s">
        <v>37</v>
      </c>
      <c r="DH216" t="s">
        <v>3</v>
      </c>
      <c r="DI216" t="s">
        <v>37</v>
      </c>
      <c r="DJ216" t="s">
        <v>36</v>
      </c>
      <c r="DK216" t="s">
        <v>3</v>
      </c>
      <c r="DL216" t="s">
        <v>3</v>
      </c>
      <c r="DM216" t="s">
        <v>3</v>
      </c>
      <c r="DN216">
        <v>100</v>
      </c>
      <c r="DO216">
        <v>64</v>
      </c>
      <c r="DP216">
        <v>1.0249999999999999</v>
      </c>
      <c r="DQ216">
        <v>1</v>
      </c>
      <c r="DU216">
        <v>1005</v>
      </c>
      <c r="DV216" t="s">
        <v>287</v>
      </c>
      <c r="DW216" t="s">
        <v>287</v>
      </c>
      <c r="DX216">
        <v>100</v>
      </c>
      <c r="EE216">
        <v>44846624</v>
      </c>
      <c r="EF216">
        <v>30</v>
      </c>
      <c r="EG216" t="s">
        <v>38</v>
      </c>
      <c r="EH216">
        <v>0</v>
      </c>
      <c r="EI216" t="s">
        <v>3</v>
      </c>
      <c r="EJ216">
        <v>1</v>
      </c>
      <c r="EK216">
        <v>117</v>
      </c>
      <c r="EL216" t="s">
        <v>289</v>
      </c>
      <c r="EM216" t="s">
        <v>290</v>
      </c>
      <c r="EO216" t="s">
        <v>3</v>
      </c>
      <c r="EQ216">
        <v>131072</v>
      </c>
      <c r="ER216">
        <v>493.76</v>
      </c>
      <c r="ES216">
        <v>6.09</v>
      </c>
      <c r="ET216">
        <v>29.03</v>
      </c>
      <c r="EU216">
        <v>6.86</v>
      </c>
      <c r="EV216">
        <v>458.64</v>
      </c>
      <c r="EW216">
        <v>39</v>
      </c>
      <c r="EX216">
        <v>0</v>
      </c>
      <c r="EY216">
        <v>0</v>
      </c>
      <c r="FQ216">
        <v>0</v>
      </c>
      <c r="FR216">
        <f t="shared" si="218"/>
        <v>0</v>
      </c>
      <c r="FS216">
        <v>0</v>
      </c>
      <c r="FX216">
        <v>100</v>
      </c>
      <c r="FY216">
        <v>64</v>
      </c>
      <c r="GA216" t="s">
        <v>3</v>
      </c>
      <c r="GD216">
        <v>0</v>
      </c>
      <c r="GF216">
        <v>1023748172</v>
      </c>
      <c r="GG216">
        <v>2</v>
      </c>
      <c r="GH216">
        <v>1</v>
      </c>
      <c r="GI216">
        <v>3</v>
      </c>
      <c r="GJ216">
        <v>0</v>
      </c>
      <c r="GK216">
        <f>ROUND(R216*(S12)/100,2)</f>
        <v>17.93</v>
      </c>
      <c r="GL216">
        <f t="shared" si="219"/>
        <v>0</v>
      </c>
      <c r="GM216">
        <f t="shared" si="220"/>
        <v>1496.76</v>
      </c>
      <c r="GN216">
        <f t="shared" si="221"/>
        <v>1496.76</v>
      </c>
      <c r="GO216">
        <f t="shared" si="222"/>
        <v>0</v>
      </c>
      <c r="GP216">
        <f t="shared" si="223"/>
        <v>0</v>
      </c>
      <c r="GR216">
        <v>0</v>
      </c>
      <c r="GS216">
        <v>3</v>
      </c>
      <c r="GT216">
        <v>0</v>
      </c>
      <c r="GU216" t="s">
        <v>3</v>
      </c>
      <c r="GV216">
        <f t="shared" si="224"/>
        <v>0</v>
      </c>
      <c r="GW216">
        <v>1</v>
      </c>
      <c r="GX216">
        <f t="shared" si="225"/>
        <v>0</v>
      </c>
      <c r="HA216">
        <v>0</v>
      </c>
      <c r="HB216">
        <v>0</v>
      </c>
      <c r="IK216">
        <v>0</v>
      </c>
    </row>
    <row r="217" spans="1:255" x14ac:dyDescent="0.2">
      <c r="A217" s="2">
        <v>18</v>
      </c>
      <c r="B217" s="2">
        <v>1</v>
      </c>
      <c r="C217" s="2">
        <v>171</v>
      </c>
      <c r="D217" s="2"/>
      <c r="E217" s="2" t="s">
        <v>291</v>
      </c>
      <c r="F217" s="2" t="s">
        <v>292</v>
      </c>
      <c r="G217" s="2" t="s">
        <v>293</v>
      </c>
      <c r="H217" s="2" t="s">
        <v>29</v>
      </c>
      <c r="I217" s="2">
        <f>I215*J217</f>
        <v>3.1110000000000001E-3</v>
      </c>
      <c r="J217" s="2">
        <v>5.1000000000000004E-2</v>
      </c>
      <c r="K217" s="2"/>
      <c r="L217" s="2"/>
      <c r="M217" s="2"/>
      <c r="N217" s="2"/>
      <c r="O217" s="2">
        <f t="shared" si="192"/>
        <v>7.09</v>
      </c>
      <c r="P217" s="2">
        <f t="shared" si="193"/>
        <v>7.09</v>
      </c>
      <c r="Q217" s="2">
        <f t="shared" si="194"/>
        <v>0</v>
      </c>
      <c r="R217" s="2">
        <f t="shared" si="195"/>
        <v>0</v>
      </c>
      <c r="S217" s="2">
        <f t="shared" si="196"/>
        <v>0</v>
      </c>
      <c r="T217" s="2">
        <f t="shared" si="197"/>
        <v>0</v>
      </c>
      <c r="U217" s="2">
        <f t="shared" si="198"/>
        <v>0</v>
      </c>
      <c r="V217" s="2">
        <f t="shared" si="199"/>
        <v>0</v>
      </c>
      <c r="W217" s="2">
        <f t="shared" si="200"/>
        <v>0</v>
      </c>
      <c r="X217" s="2">
        <f t="shared" si="201"/>
        <v>0</v>
      </c>
      <c r="Y217" s="2">
        <f t="shared" si="202"/>
        <v>0</v>
      </c>
      <c r="Z217" s="2"/>
      <c r="AA217" s="2">
        <v>45037306</v>
      </c>
      <c r="AB217" s="2">
        <f t="shared" si="203"/>
        <v>2278.84</v>
      </c>
      <c r="AC217" s="2">
        <f t="shared" si="204"/>
        <v>2278.84</v>
      </c>
      <c r="AD217" s="2">
        <f t="shared" ref="AD217:AF220" si="226">ROUND((ET217),6)</f>
        <v>0</v>
      </c>
      <c r="AE217" s="2">
        <f t="shared" si="226"/>
        <v>0</v>
      </c>
      <c r="AF217" s="2">
        <f t="shared" si="226"/>
        <v>0</v>
      </c>
      <c r="AG217" s="2">
        <f t="shared" si="205"/>
        <v>0</v>
      </c>
      <c r="AH217" s="2">
        <f t="shared" ref="AH217:AI220" si="227">(EW217)</f>
        <v>0</v>
      </c>
      <c r="AI217" s="2">
        <f t="shared" si="227"/>
        <v>0</v>
      </c>
      <c r="AJ217" s="2">
        <f t="shared" si="206"/>
        <v>0</v>
      </c>
      <c r="AK217" s="2">
        <v>2278.84</v>
      </c>
      <c r="AL217" s="2">
        <v>2278.84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1</v>
      </c>
      <c r="AW217" s="2">
        <v>1</v>
      </c>
      <c r="AX217" s="2"/>
      <c r="AY217" s="2"/>
      <c r="AZ217" s="2">
        <v>1</v>
      </c>
      <c r="BA217" s="2">
        <v>1</v>
      </c>
      <c r="BB217" s="2">
        <v>1</v>
      </c>
      <c r="BC217" s="2">
        <v>1</v>
      </c>
      <c r="BD217" s="2" t="s">
        <v>3</v>
      </c>
      <c r="BE217" s="2" t="s">
        <v>3</v>
      </c>
      <c r="BF217" s="2" t="s">
        <v>3</v>
      </c>
      <c r="BG217" s="2" t="s">
        <v>3</v>
      </c>
      <c r="BH217" s="2">
        <v>3</v>
      </c>
      <c r="BI217" s="2">
        <v>1</v>
      </c>
      <c r="BJ217" s="2" t="s">
        <v>294</v>
      </c>
      <c r="BK217" s="2"/>
      <c r="BL217" s="2"/>
      <c r="BM217" s="2">
        <v>117</v>
      </c>
      <c r="BN217" s="2">
        <v>7156650</v>
      </c>
      <c r="BO217" s="2" t="s">
        <v>3</v>
      </c>
      <c r="BP217" s="2">
        <v>0</v>
      </c>
      <c r="BQ217" s="2">
        <v>30</v>
      </c>
      <c r="BR217" s="2">
        <v>0</v>
      </c>
      <c r="BS217" s="2">
        <v>1</v>
      </c>
      <c r="BT217" s="2">
        <v>1</v>
      </c>
      <c r="BU217" s="2">
        <v>1</v>
      </c>
      <c r="BV217" s="2">
        <v>1</v>
      </c>
      <c r="BW217" s="2">
        <v>1</v>
      </c>
      <c r="BX217" s="2">
        <v>1</v>
      </c>
      <c r="BY217" s="2" t="s">
        <v>3</v>
      </c>
      <c r="BZ217" s="2">
        <v>0</v>
      </c>
      <c r="CA217" s="2">
        <v>0</v>
      </c>
      <c r="CB217" s="2"/>
      <c r="CC217" s="2"/>
      <c r="CD217" s="2"/>
      <c r="CE217" s="2"/>
      <c r="CF217" s="2">
        <v>0</v>
      </c>
      <c r="CG217" s="2">
        <v>0</v>
      </c>
      <c r="CH217" s="2"/>
      <c r="CI217" s="2"/>
      <c r="CJ217" s="2"/>
      <c r="CK217" s="2"/>
      <c r="CL217" s="2"/>
      <c r="CM217" s="2">
        <v>0</v>
      </c>
      <c r="CN217" s="2" t="s">
        <v>3</v>
      </c>
      <c r="CO217" s="2">
        <v>0</v>
      </c>
      <c r="CP217" s="2">
        <f t="shared" si="207"/>
        <v>7.09</v>
      </c>
      <c r="CQ217" s="2">
        <f t="shared" si="208"/>
        <v>2278.84</v>
      </c>
      <c r="CR217" s="2">
        <f t="shared" si="209"/>
        <v>0</v>
      </c>
      <c r="CS217" s="2">
        <f t="shared" si="210"/>
        <v>0</v>
      </c>
      <c r="CT217" s="2">
        <f t="shared" si="211"/>
        <v>0</v>
      </c>
      <c r="CU217" s="2">
        <f t="shared" si="212"/>
        <v>0</v>
      </c>
      <c r="CV217" s="2">
        <f t="shared" si="213"/>
        <v>0</v>
      </c>
      <c r="CW217" s="2">
        <f t="shared" si="214"/>
        <v>0</v>
      </c>
      <c r="CX217" s="2">
        <f t="shared" si="215"/>
        <v>0</v>
      </c>
      <c r="CY217" s="2">
        <f t="shared" si="216"/>
        <v>0</v>
      </c>
      <c r="CZ217" s="2">
        <f t="shared" si="217"/>
        <v>0</v>
      </c>
      <c r="DA217" s="2"/>
      <c r="DB217" s="2"/>
      <c r="DC217" s="2" t="s">
        <v>3</v>
      </c>
      <c r="DD217" s="2" t="s">
        <v>3</v>
      </c>
      <c r="DE217" s="2" t="s">
        <v>3</v>
      </c>
      <c r="DF217" s="2" t="s">
        <v>3</v>
      </c>
      <c r="DG217" s="2" t="s">
        <v>3</v>
      </c>
      <c r="DH217" s="2" t="s">
        <v>3</v>
      </c>
      <c r="DI217" s="2" t="s">
        <v>3</v>
      </c>
      <c r="DJ217" s="2" t="s">
        <v>3</v>
      </c>
      <c r="DK217" s="2" t="s">
        <v>3</v>
      </c>
      <c r="DL217" s="2" t="s">
        <v>3</v>
      </c>
      <c r="DM217" s="2" t="s">
        <v>3</v>
      </c>
      <c r="DN217" s="2">
        <v>100</v>
      </c>
      <c r="DO217" s="2">
        <v>64</v>
      </c>
      <c r="DP217" s="2">
        <v>1.0249999999999999</v>
      </c>
      <c r="DQ217" s="2">
        <v>1</v>
      </c>
      <c r="DR217" s="2"/>
      <c r="DS217" s="2"/>
      <c r="DT217" s="2"/>
      <c r="DU217" s="2">
        <v>1009</v>
      </c>
      <c r="DV217" s="2" t="s">
        <v>29</v>
      </c>
      <c r="DW217" s="2" t="s">
        <v>29</v>
      </c>
      <c r="DX217" s="2">
        <v>1000</v>
      </c>
      <c r="DY217" s="2"/>
      <c r="DZ217" s="2"/>
      <c r="EA217" s="2"/>
      <c r="EB217" s="2"/>
      <c r="EC217" s="2"/>
      <c r="ED217" s="2"/>
      <c r="EE217" s="2">
        <v>44846624</v>
      </c>
      <c r="EF217" s="2">
        <v>30</v>
      </c>
      <c r="EG217" s="2" t="s">
        <v>38</v>
      </c>
      <c r="EH217" s="2">
        <v>0</v>
      </c>
      <c r="EI217" s="2" t="s">
        <v>3</v>
      </c>
      <c r="EJ217" s="2">
        <v>1</v>
      </c>
      <c r="EK217" s="2">
        <v>117</v>
      </c>
      <c r="EL217" s="2" t="s">
        <v>289</v>
      </c>
      <c r="EM217" s="2" t="s">
        <v>290</v>
      </c>
      <c r="EN217" s="2"/>
      <c r="EO217" s="2" t="s">
        <v>3</v>
      </c>
      <c r="EP217" s="2"/>
      <c r="EQ217" s="2">
        <v>0</v>
      </c>
      <c r="ER217" s="2">
        <v>2278.84</v>
      </c>
      <c r="ES217" s="2">
        <v>2278.84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/>
      <c r="EZ217" s="2"/>
      <c r="FA217" s="2"/>
      <c r="FB217" s="2"/>
      <c r="FC217" s="2"/>
      <c r="FD217" s="2"/>
      <c r="FE217" s="2"/>
      <c r="FF217" s="2"/>
      <c r="FG217" s="2"/>
      <c r="FH217" s="2"/>
      <c r="FI217" s="2"/>
      <c r="FJ217" s="2"/>
      <c r="FK217" s="2"/>
      <c r="FL217" s="2"/>
      <c r="FM217" s="2"/>
      <c r="FN217" s="2"/>
      <c r="FO217" s="2"/>
      <c r="FP217" s="2"/>
      <c r="FQ217" s="2">
        <v>0</v>
      </c>
      <c r="FR217" s="2">
        <f t="shared" si="218"/>
        <v>0</v>
      </c>
      <c r="FS217" s="2">
        <v>0</v>
      </c>
      <c r="FT217" s="2"/>
      <c r="FU217" s="2"/>
      <c r="FV217" s="2"/>
      <c r="FW217" s="2"/>
      <c r="FX217" s="2">
        <v>100</v>
      </c>
      <c r="FY217" s="2">
        <v>64</v>
      </c>
      <c r="FZ217" s="2"/>
      <c r="GA217" s="2" t="s">
        <v>3</v>
      </c>
      <c r="GB217" s="2"/>
      <c r="GC217" s="2"/>
      <c r="GD217" s="2">
        <v>0</v>
      </c>
      <c r="GE217" s="2"/>
      <c r="GF217" s="2">
        <v>1793685401</v>
      </c>
      <c r="GG217" s="2">
        <v>2</v>
      </c>
      <c r="GH217" s="2">
        <v>1</v>
      </c>
      <c r="GI217" s="2">
        <v>3</v>
      </c>
      <c r="GJ217" s="2">
        <v>0</v>
      </c>
      <c r="GK217" s="2">
        <f>ROUND(R217*(R12)/100,2)</f>
        <v>0</v>
      </c>
      <c r="GL217" s="2">
        <f t="shared" si="219"/>
        <v>0</v>
      </c>
      <c r="GM217" s="2">
        <f t="shared" si="220"/>
        <v>7.09</v>
      </c>
      <c r="GN217" s="2">
        <f t="shared" si="221"/>
        <v>7.09</v>
      </c>
      <c r="GO217" s="2">
        <f t="shared" si="222"/>
        <v>0</v>
      </c>
      <c r="GP217" s="2">
        <f t="shared" si="223"/>
        <v>0</v>
      </c>
      <c r="GQ217" s="2"/>
      <c r="GR217" s="2">
        <v>0</v>
      </c>
      <c r="GS217" s="2">
        <v>3</v>
      </c>
      <c r="GT217" s="2">
        <v>0</v>
      </c>
      <c r="GU217" s="2" t="s">
        <v>3</v>
      </c>
      <c r="GV217" s="2">
        <f t="shared" si="224"/>
        <v>0</v>
      </c>
      <c r="GW217" s="2">
        <v>1</v>
      </c>
      <c r="GX217" s="2">
        <f t="shared" si="225"/>
        <v>0</v>
      </c>
      <c r="GY217" s="2"/>
      <c r="GZ217" s="2"/>
      <c r="HA217" s="2">
        <v>0</v>
      </c>
      <c r="HB217" s="2">
        <v>0</v>
      </c>
      <c r="HC217" s="2"/>
      <c r="HD217" s="2"/>
      <c r="HE217" s="2"/>
      <c r="HF217" s="2"/>
      <c r="HG217" s="2"/>
      <c r="HH217" s="2"/>
      <c r="HI217" s="2"/>
      <c r="HJ217" s="2"/>
      <c r="HK217" s="2"/>
      <c r="HL217" s="2"/>
      <c r="HM217" s="2"/>
      <c r="HN217" s="2"/>
      <c r="HO217" s="2"/>
      <c r="HP217" s="2"/>
      <c r="HQ217" s="2"/>
      <c r="HR217" s="2"/>
      <c r="HS217" s="2"/>
      <c r="HT217" s="2"/>
      <c r="HU217" s="2"/>
      <c r="HV217" s="2"/>
      <c r="HW217" s="2"/>
      <c r="HX217" s="2"/>
      <c r="HY217" s="2"/>
      <c r="HZ217" s="2"/>
      <c r="IA217" s="2"/>
      <c r="IB217" s="2"/>
      <c r="IC217" s="2"/>
      <c r="ID217" s="2"/>
      <c r="IE217" s="2"/>
      <c r="IF217" s="2"/>
      <c r="IG217" s="2"/>
      <c r="IH217" s="2"/>
      <c r="II217" s="2"/>
      <c r="IJ217" s="2"/>
      <c r="IK217" s="2">
        <v>0</v>
      </c>
      <c r="IL217" s="2"/>
      <c r="IM217" s="2"/>
      <c r="IN217" s="2"/>
      <c r="IO217" s="2"/>
      <c r="IP217" s="2"/>
      <c r="IQ217" s="2"/>
      <c r="IR217" s="2"/>
      <c r="IS217" s="2"/>
      <c r="IT217" s="2"/>
      <c r="IU217" s="2"/>
    </row>
    <row r="218" spans="1:255" x14ac:dyDescent="0.2">
      <c r="A218">
        <v>18</v>
      </c>
      <c r="B218">
        <v>1</v>
      </c>
      <c r="C218">
        <v>176</v>
      </c>
      <c r="E218" t="s">
        <v>291</v>
      </c>
      <c r="F218" t="s">
        <v>292</v>
      </c>
      <c r="G218" t="s">
        <v>293</v>
      </c>
      <c r="H218" t="s">
        <v>29</v>
      </c>
      <c r="I218">
        <f>I216*J218</f>
        <v>3.1110000000000001E-3</v>
      </c>
      <c r="J218">
        <v>5.1000000000000004E-2</v>
      </c>
      <c r="O218">
        <f t="shared" si="192"/>
        <v>44.52</v>
      </c>
      <c r="P218">
        <f t="shared" si="193"/>
        <v>44.52</v>
      </c>
      <c r="Q218">
        <f t="shared" si="194"/>
        <v>0</v>
      </c>
      <c r="R218">
        <f t="shared" si="195"/>
        <v>0</v>
      </c>
      <c r="S218">
        <f t="shared" si="196"/>
        <v>0</v>
      </c>
      <c r="T218">
        <f t="shared" si="197"/>
        <v>0</v>
      </c>
      <c r="U218">
        <f t="shared" si="198"/>
        <v>0</v>
      </c>
      <c r="V218">
        <f t="shared" si="199"/>
        <v>0</v>
      </c>
      <c r="W218">
        <f t="shared" si="200"/>
        <v>0</v>
      </c>
      <c r="X218">
        <f t="shared" si="201"/>
        <v>0</v>
      </c>
      <c r="Y218">
        <f t="shared" si="202"/>
        <v>0</v>
      </c>
      <c r="AA218">
        <v>45037307</v>
      </c>
      <c r="AB218">
        <f t="shared" si="203"/>
        <v>2278.84</v>
      </c>
      <c r="AC218">
        <f t="shared" si="204"/>
        <v>2278.84</v>
      </c>
      <c r="AD218">
        <f t="shared" si="226"/>
        <v>0</v>
      </c>
      <c r="AE218">
        <f t="shared" si="226"/>
        <v>0</v>
      </c>
      <c r="AF218">
        <f t="shared" si="226"/>
        <v>0</v>
      </c>
      <c r="AG218">
        <f t="shared" si="205"/>
        <v>0</v>
      </c>
      <c r="AH218">
        <f t="shared" si="227"/>
        <v>0</v>
      </c>
      <c r="AI218">
        <f t="shared" si="227"/>
        <v>0</v>
      </c>
      <c r="AJ218">
        <f t="shared" si="206"/>
        <v>0</v>
      </c>
      <c r="AK218">
        <v>2278.84</v>
      </c>
      <c r="AL218">
        <v>2278.84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1</v>
      </c>
      <c r="AW218">
        <v>1</v>
      </c>
      <c r="AZ218">
        <v>1</v>
      </c>
      <c r="BA218">
        <v>1</v>
      </c>
      <c r="BB218">
        <v>1</v>
      </c>
      <c r="BC218">
        <v>6.28</v>
      </c>
      <c r="BD218" t="s">
        <v>3</v>
      </c>
      <c r="BE218" t="s">
        <v>3</v>
      </c>
      <c r="BF218" t="s">
        <v>3</v>
      </c>
      <c r="BG218" t="s">
        <v>3</v>
      </c>
      <c r="BH218">
        <v>3</v>
      </c>
      <c r="BI218">
        <v>1</v>
      </c>
      <c r="BJ218" t="s">
        <v>294</v>
      </c>
      <c r="BM218">
        <v>117</v>
      </c>
      <c r="BN218">
        <v>7156650</v>
      </c>
      <c r="BO218" t="s">
        <v>292</v>
      </c>
      <c r="BP218">
        <v>1</v>
      </c>
      <c r="BQ218">
        <v>30</v>
      </c>
      <c r="BR218">
        <v>0</v>
      </c>
      <c r="BS218">
        <v>1</v>
      </c>
      <c r="BT218">
        <v>1</v>
      </c>
      <c r="BU218">
        <v>1</v>
      </c>
      <c r="BV218">
        <v>1</v>
      </c>
      <c r="BW218">
        <v>1</v>
      </c>
      <c r="BX218">
        <v>1</v>
      </c>
      <c r="BY218" t="s">
        <v>3</v>
      </c>
      <c r="BZ218">
        <v>0</v>
      </c>
      <c r="CA218">
        <v>0</v>
      </c>
      <c r="CF218">
        <v>0</v>
      </c>
      <c r="CG218">
        <v>0</v>
      </c>
      <c r="CM218">
        <v>0</v>
      </c>
      <c r="CN218" t="s">
        <v>3</v>
      </c>
      <c r="CO218">
        <v>0</v>
      </c>
      <c r="CP218">
        <f t="shared" si="207"/>
        <v>44.52</v>
      </c>
      <c r="CQ218">
        <f t="shared" si="208"/>
        <v>14311.115200000002</v>
      </c>
      <c r="CR218">
        <f t="shared" si="209"/>
        <v>0</v>
      </c>
      <c r="CS218">
        <f t="shared" si="210"/>
        <v>0</v>
      </c>
      <c r="CT218">
        <f t="shared" si="211"/>
        <v>0</v>
      </c>
      <c r="CU218">
        <f t="shared" si="212"/>
        <v>0</v>
      </c>
      <c r="CV218">
        <f t="shared" si="213"/>
        <v>0</v>
      </c>
      <c r="CW218">
        <f t="shared" si="214"/>
        <v>0</v>
      </c>
      <c r="CX218">
        <f t="shared" si="215"/>
        <v>0</v>
      </c>
      <c r="CY218">
        <f t="shared" si="216"/>
        <v>0</v>
      </c>
      <c r="CZ218">
        <f t="shared" si="217"/>
        <v>0</v>
      </c>
      <c r="DC218" t="s">
        <v>3</v>
      </c>
      <c r="DD218" t="s">
        <v>3</v>
      </c>
      <c r="DE218" t="s">
        <v>3</v>
      </c>
      <c r="DF218" t="s">
        <v>3</v>
      </c>
      <c r="DG218" t="s">
        <v>3</v>
      </c>
      <c r="DH218" t="s">
        <v>3</v>
      </c>
      <c r="DI218" t="s">
        <v>3</v>
      </c>
      <c r="DJ218" t="s">
        <v>3</v>
      </c>
      <c r="DK218" t="s">
        <v>3</v>
      </c>
      <c r="DL218" t="s">
        <v>3</v>
      </c>
      <c r="DM218" t="s">
        <v>3</v>
      </c>
      <c r="DN218">
        <v>100</v>
      </c>
      <c r="DO218">
        <v>64</v>
      </c>
      <c r="DP218">
        <v>1.0249999999999999</v>
      </c>
      <c r="DQ218">
        <v>1</v>
      </c>
      <c r="DU218">
        <v>1009</v>
      </c>
      <c r="DV218" t="s">
        <v>29</v>
      </c>
      <c r="DW218" t="s">
        <v>29</v>
      </c>
      <c r="DX218">
        <v>1000</v>
      </c>
      <c r="EE218">
        <v>44846624</v>
      </c>
      <c r="EF218">
        <v>30</v>
      </c>
      <c r="EG218" t="s">
        <v>38</v>
      </c>
      <c r="EH218">
        <v>0</v>
      </c>
      <c r="EI218" t="s">
        <v>3</v>
      </c>
      <c r="EJ218">
        <v>1</v>
      </c>
      <c r="EK218">
        <v>117</v>
      </c>
      <c r="EL218" t="s">
        <v>289</v>
      </c>
      <c r="EM218" t="s">
        <v>290</v>
      </c>
      <c r="EO218" t="s">
        <v>3</v>
      </c>
      <c r="EQ218">
        <v>0</v>
      </c>
      <c r="ER218">
        <v>2278.84</v>
      </c>
      <c r="ES218">
        <v>2278.84</v>
      </c>
      <c r="ET218">
        <v>0</v>
      </c>
      <c r="EU218">
        <v>0</v>
      </c>
      <c r="EV218">
        <v>0</v>
      </c>
      <c r="EW218">
        <v>0</v>
      </c>
      <c r="EX218">
        <v>0</v>
      </c>
      <c r="FQ218">
        <v>0</v>
      </c>
      <c r="FR218">
        <f t="shared" si="218"/>
        <v>0</v>
      </c>
      <c r="FS218">
        <v>0</v>
      </c>
      <c r="FX218">
        <v>100</v>
      </c>
      <c r="FY218">
        <v>64</v>
      </c>
      <c r="GA218" t="s">
        <v>3</v>
      </c>
      <c r="GD218">
        <v>0</v>
      </c>
      <c r="GF218">
        <v>1793685401</v>
      </c>
      <c r="GG218">
        <v>2</v>
      </c>
      <c r="GH218">
        <v>1</v>
      </c>
      <c r="GI218">
        <v>3</v>
      </c>
      <c r="GJ218">
        <v>0</v>
      </c>
      <c r="GK218">
        <f>ROUND(R218*(S12)/100,2)</f>
        <v>0</v>
      </c>
      <c r="GL218">
        <f t="shared" si="219"/>
        <v>0</v>
      </c>
      <c r="GM218">
        <f t="shared" si="220"/>
        <v>44.52</v>
      </c>
      <c r="GN218">
        <f t="shared" si="221"/>
        <v>44.52</v>
      </c>
      <c r="GO218">
        <f t="shared" si="222"/>
        <v>0</v>
      </c>
      <c r="GP218">
        <f t="shared" si="223"/>
        <v>0</v>
      </c>
      <c r="GR218">
        <v>0</v>
      </c>
      <c r="GS218">
        <v>3</v>
      </c>
      <c r="GT218">
        <v>0</v>
      </c>
      <c r="GU218" t="s">
        <v>3</v>
      </c>
      <c r="GV218">
        <f t="shared" si="224"/>
        <v>0</v>
      </c>
      <c r="GW218">
        <v>1</v>
      </c>
      <c r="GX218">
        <f t="shared" si="225"/>
        <v>0</v>
      </c>
      <c r="HA218">
        <v>0</v>
      </c>
      <c r="HB218">
        <v>0</v>
      </c>
      <c r="IK218">
        <v>0</v>
      </c>
    </row>
    <row r="219" spans="1:255" x14ac:dyDescent="0.2">
      <c r="A219" s="2">
        <v>18</v>
      </c>
      <c r="B219" s="2">
        <v>1</v>
      </c>
      <c r="C219" s="2">
        <v>172</v>
      </c>
      <c r="D219" s="2"/>
      <c r="E219" s="2" t="s">
        <v>295</v>
      </c>
      <c r="F219" s="2" t="s">
        <v>296</v>
      </c>
      <c r="G219" s="2" t="s">
        <v>297</v>
      </c>
      <c r="H219" s="2" t="s">
        <v>29</v>
      </c>
      <c r="I219" s="2">
        <f>I215*J219</f>
        <v>3.8430000000000001E-3</v>
      </c>
      <c r="J219" s="2">
        <v>6.3E-2</v>
      </c>
      <c r="K219" s="2"/>
      <c r="L219" s="2"/>
      <c r="M219" s="2"/>
      <c r="N219" s="2"/>
      <c r="O219" s="2">
        <f t="shared" si="192"/>
        <v>87.05</v>
      </c>
      <c r="P219" s="2">
        <f t="shared" si="193"/>
        <v>87.05</v>
      </c>
      <c r="Q219" s="2">
        <f t="shared" si="194"/>
        <v>0</v>
      </c>
      <c r="R219" s="2">
        <f t="shared" si="195"/>
        <v>0</v>
      </c>
      <c r="S219" s="2">
        <f t="shared" si="196"/>
        <v>0</v>
      </c>
      <c r="T219" s="2">
        <f t="shared" si="197"/>
        <v>0</v>
      </c>
      <c r="U219" s="2">
        <f t="shared" si="198"/>
        <v>0</v>
      </c>
      <c r="V219" s="2">
        <f t="shared" si="199"/>
        <v>0</v>
      </c>
      <c r="W219" s="2">
        <f t="shared" si="200"/>
        <v>0</v>
      </c>
      <c r="X219" s="2">
        <f t="shared" si="201"/>
        <v>0</v>
      </c>
      <c r="Y219" s="2">
        <f t="shared" si="202"/>
        <v>0</v>
      </c>
      <c r="Z219" s="2"/>
      <c r="AA219" s="2">
        <v>45037306</v>
      </c>
      <c r="AB219" s="2">
        <f t="shared" si="203"/>
        <v>22652.13</v>
      </c>
      <c r="AC219" s="2">
        <f t="shared" si="204"/>
        <v>22652.13</v>
      </c>
      <c r="AD219" s="2">
        <f t="shared" si="226"/>
        <v>0</v>
      </c>
      <c r="AE219" s="2">
        <f t="shared" si="226"/>
        <v>0</v>
      </c>
      <c r="AF219" s="2">
        <f t="shared" si="226"/>
        <v>0</v>
      </c>
      <c r="AG219" s="2">
        <f t="shared" si="205"/>
        <v>0</v>
      </c>
      <c r="AH219" s="2">
        <f t="shared" si="227"/>
        <v>0</v>
      </c>
      <c r="AI219" s="2">
        <f t="shared" si="227"/>
        <v>0</v>
      </c>
      <c r="AJ219" s="2">
        <f t="shared" si="206"/>
        <v>0</v>
      </c>
      <c r="AK219" s="2">
        <v>22652.13</v>
      </c>
      <c r="AL219" s="2">
        <v>22652.13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0</v>
      </c>
      <c r="AS219" s="2">
        <v>0</v>
      </c>
      <c r="AT219" s="2">
        <v>0</v>
      </c>
      <c r="AU219" s="2">
        <v>0</v>
      </c>
      <c r="AV219" s="2">
        <v>1</v>
      </c>
      <c r="AW219" s="2">
        <v>1</v>
      </c>
      <c r="AX219" s="2"/>
      <c r="AY219" s="2"/>
      <c r="AZ219" s="2">
        <v>1</v>
      </c>
      <c r="BA219" s="2">
        <v>1</v>
      </c>
      <c r="BB219" s="2">
        <v>1</v>
      </c>
      <c r="BC219" s="2">
        <v>1</v>
      </c>
      <c r="BD219" s="2" t="s">
        <v>3</v>
      </c>
      <c r="BE219" s="2" t="s">
        <v>3</v>
      </c>
      <c r="BF219" s="2" t="s">
        <v>3</v>
      </c>
      <c r="BG219" s="2" t="s">
        <v>3</v>
      </c>
      <c r="BH219" s="2">
        <v>3</v>
      </c>
      <c r="BI219" s="2">
        <v>1</v>
      </c>
      <c r="BJ219" s="2" t="s">
        <v>298</v>
      </c>
      <c r="BK219" s="2"/>
      <c r="BL219" s="2"/>
      <c r="BM219" s="2">
        <v>117</v>
      </c>
      <c r="BN219" s="2">
        <v>7156650</v>
      </c>
      <c r="BO219" s="2" t="s">
        <v>3</v>
      </c>
      <c r="BP219" s="2">
        <v>0</v>
      </c>
      <c r="BQ219" s="2">
        <v>30</v>
      </c>
      <c r="BR219" s="2">
        <v>0</v>
      </c>
      <c r="BS219" s="2">
        <v>1</v>
      </c>
      <c r="BT219" s="2">
        <v>1</v>
      </c>
      <c r="BU219" s="2">
        <v>1</v>
      </c>
      <c r="BV219" s="2">
        <v>1</v>
      </c>
      <c r="BW219" s="2">
        <v>1</v>
      </c>
      <c r="BX219" s="2">
        <v>1</v>
      </c>
      <c r="BY219" s="2" t="s">
        <v>3</v>
      </c>
      <c r="BZ219" s="2">
        <v>0</v>
      </c>
      <c r="CA219" s="2">
        <v>0</v>
      </c>
      <c r="CB219" s="2"/>
      <c r="CC219" s="2"/>
      <c r="CD219" s="2"/>
      <c r="CE219" s="2"/>
      <c r="CF219" s="2">
        <v>0</v>
      </c>
      <c r="CG219" s="2">
        <v>0</v>
      </c>
      <c r="CH219" s="2"/>
      <c r="CI219" s="2"/>
      <c r="CJ219" s="2"/>
      <c r="CK219" s="2"/>
      <c r="CL219" s="2"/>
      <c r="CM219" s="2">
        <v>0</v>
      </c>
      <c r="CN219" s="2" t="s">
        <v>3</v>
      </c>
      <c r="CO219" s="2">
        <v>0</v>
      </c>
      <c r="CP219" s="2">
        <f t="shared" si="207"/>
        <v>87.05</v>
      </c>
      <c r="CQ219" s="2">
        <f t="shared" si="208"/>
        <v>22652.13</v>
      </c>
      <c r="CR219" s="2">
        <f t="shared" si="209"/>
        <v>0</v>
      </c>
      <c r="CS219" s="2">
        <f t="shared" si="210"/>
        <v>0</v>
      </c>
      <c r="CT219" s="2">
        <f t="shared" si="211"/>
        <v>0</v>
      </c>
      <c r="CU219" s="2">
        <f t="shared" si="212"/>
        <v>0</v>
      </c>
      <c r="CV219" s="2">
        <f t="shared" si="213"/>
        <v>0</v>
      </c>
      <c r="CW219" s="2">
        <f t="shared" si="214"/>
        <v>0</v>
      </c>
      <c r="CX219" s="2">
        <f t="shared" si="215"/>
        <v>0</v>
      </c>
      <c r="CY219" s="2">
        <f t="shared" si="216"/>
        <v>0</v>
      </c>
      <c r="CZ219" s="2">
        <f t="shared" si="217"/>
        <v>0</v>
      </c>
      <c r="DA219" s="2"/>
      <c r="DB219" s="2"/>
      <c r="DC219" s="2" t="s">
        <v>3</v>
      </c>
      <c r="DD219" s="2" t="s">
        <v>3</v>
      </c>
      <c r="DE219" s="2" t="s">
        <v>3</v>
      </c>
      <c r="DF219" s="2" t="s">
        <v>3</v>
      </c>
      <c r="DG219" s="2" t="s">
        <v>3</v>
      </c>
      <c r="DH219" s="2" t="s">
        <v>3</v>
      </c>
      <c r="DI219" s="2" t="s">
        <v>3</v>
      </c>
      <c r="DJ219" s="2" t="s">
        <v>3</v>
      </c>
      <c r="DK219" s="2" t="s">
        <v>3</v>
      </c>
      <c r="DL219" s="2" t="s">
        <v>3</v>
      </c>
      <c r="DM219" s="2" t="s">
        <v>3</v>
      </c>
      <c r="DN219" s="2">
        <v>100</v>
      </c>
      <c r="DO219" s="2">
        <v>64</v>
      </c>
      <c r="DP219" s="2">
        <v>1.0249999999999999</v>
      </c>
      <c r="DQ219" s="2">
        <v>1</v>
      </c>
      <c r="DR219" s="2"/>
      <c r="DS219" s="2"/>
      <c r="DT219" s="2"/>
      <c r="DU219" s="2">
        <v>1009</v>
      </c>
      <c r="DV219" s="2" t="s">
        <v>29</v>
      </c>
      <c r="DW219" s="2" t="s">
        <v>29</v>
      </c>
      <c r="DX219" s="2">
        <v>1000</v>
      </c>
      <c r="DY219" s="2"/>
      <c r="DZ219" s="2"/>
      <c r="EA219" s="2"/>
      <c r="EB219" s="2"/>
      <c r="EC219" s="2"/>
      <c r="ED219" s="2"/>
      <c r="EE219" s="2">
        <v>44846624</v>
      </c>
      <c r="EF219" s="2">
        <v>30</v>
      </c>
      <c r="EG219" s="2" t="s">
        <v>38</v>
      </c>
      <c r="EH219" s="2">
        <v>0</v>
      </c>
      <c r="EI219" s="2" t="s">
        <v>3</v>
      </c>
      <c r="EJ219" s="2">
        <v>1</v>
      </c>
      <c r="EK219" s="2">
        <v>117</v>
      </c>
      <c r="EL219" s="2" t="s">
        <v>289</v>
      </c>
      <c r="EM219" s="2" t="s">
        <v>290</v>
      </c>
      <c r="EN219" s="2"/>
      <c r="EO219" s="2" t="s">
        <v>3</v>
      </c>
      <c r="EP219" s="2"/>
      <c r="EQ219" s="2">
        <v>0</v>
      </c>
      <c r="ER219" s="2">
        <v>22652.13</v>
      </c>
      <c r="ES219" s="2">
        <v>22652.13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>
        <v>0</v>
      </c>
      <c r="FR219" s="2">
        <f t="shared" si="218"/>
        <v>0</v>
      </c>
      <c r="FS219" s="2">
        <v>0</v>
      </c>
      <c r="FT219" s="2"/>
      <c r="FU219" s="2"/>
      <c r="FV219" s="2"/>
      <c r="FW219" s="2"/>
      <c r="FX219" s="2">
        <v>100</v>
      </c>
      <c r="FY219" s="2">
        <v>64</v>
      </c>
      <c r="FZ219" s="2"/>
      <c r="GA219" s="2" t="s">
        <v>3</v>
      </c>
      <c r="GB219" s="2"/>
      <c r="GC219" s="2"/>
      <c r="GD219" s="2">
        <v>0</v>
      </c>
      <c r="GE219" s="2"/>
      <c r="GF219" s="2">
        <v>-908598485</v>
      </c>
      <c r="GG219" s="2">
        <v>2</v>
      </c>
      <c r="GH219" s="2">
        <v>1</v>
      </c>
      <c r="GI219" s="2">
        <v>3</v>
      </c>
      <c r="GJ219" s="2">
        <v>0</v>
      </c>
      <c r="GK219" s="2">
        <f>ROUND(R219*(R12)/100,2)</f>
        <v>0</v>
      </c>
      <c r="GL219" s="2">
        <f t="shared" si="219"/>
        <v>0</v>
      </c>
      <c r="GM219" s="2">
        <f t="shared" si="220"/>
        <v>87.05</v>
      </c>
      <c r="GN219" s="2">
        <f t="shared" si="221"/>
        <v>87.05</v>
      </c>
      <c r="GO219" s="2">
        <f t="shared" si="222"/>
        <v>0</v>
      </c>
      <c r="GP219" s="2">
        <f t="shared" si="223"/>
        <v>0</v>
      </c>
      <c r="GQ219" s="2"/>
      <c r="GR219" s="2">
        <v>0</v>
      </c>
      <c r="GS219" s="2">
        <v>3</v>
      </c>
      <c r="GT219" s="2">
        <v>0</v>
      </c>
      <c r="GU219" s="2" t="s">
        <v>3</v>
      </c>
      <c r="GV219" s="2">
        <f t="shared" si="224"/>
        <v>0</v>
      </c>
      <c r="GW219" s="2">
        <v>1</v>
      </c>
      <c r="GX219" s="2">
        <f t="shared" si="225"/>
        <v>0</v>
      </c>
      <c r="GY219" s="2"/>
      <c r="GZ219" s="2"/>
      <c r="HA219" s="2">
        <v>0</v>
      </c>
      <c r="HB219" s="2">
        <v>0</v>
      </c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2"/>
      <c r="HZ219" s="2"/>
      <c r="IA219" s="2"/>
      <c r="IB219" s="2"/>
      <c r="IC219" s="2"/>
      <c r="ID219" s="2"/>
      <c r="IE219" s="2"/>
      <c r="IF219" s="2"/>
      <c r="IG219" s="2"/>
      <c r="IH219" s="2"/>
      <c r="II219" s="2"/>
      <c r="IJ219" s="2"/>
      <c r="IK219" s="2">
        <v>0</v>
      </c>
      <c r="IL219" s="2"/>
      <c r="IM219" s="2"/>
      <c r="IN219" s="2"/>
      <c r="IO219" s="2"/>
      <c r="IP219" s="2"/>
      <c r="IQ219" s="2"/>
      <c r="IR219" s="2"/>
      <c r="IS219" s="2"/>
      <c r="IT219" s="2"/>
      <c r="IU219" s="2"/>
    </row>
    <row r="220" spans="1:255" x14ac:dyDescent="0.2">
      <c r="A220">
        <v>18</v>
      </c>
      <c r="B220">
        <v>1</v>
      </c>
      <c r="C220">
        <v>177</v>
      </c>
      <c r="E220" t="s">
        <v>295</v>
      </c>
      <c r="F220" t="s">
        <v>296</v>
      </c>
      <c r="G220" t="s">
        <v>297</v>
      </c>
      <c r="H220" t="s">
        <v>29</v>
      </c>
      <c r="I220">
        <f>I216*J220</f>
        <v>3.8430000000000001E-3</v>
      </c>
      <c r="J220">
        <v>6.3E-2</v>
      </c>
      <c r="O220">
        <f t="shared" si="192"/>
        <v>161.91999999999999</v>
      </c>
      <c r="P220">
        <f t="shared" si="193"/>
        <v>161.91999999999999</v>
      </c>
      <c r="Q220">
        <f t="shared" si="194"/>
        <v>0</v>
      </c>
      <c r="R220">
        <f t="shared" si="195"/>
        <v>0</v>
      </c>
      <c r="S220">
        <f t="shared" si="196"/>
        <v>0</v>
      </c>
      <c r="T220">
        <f t="shared" si="197"/>
        <v>0</v>
      </c>
      <c r="U220">
        <f t="shared" si="198"/>
        <v>0</v>
      </c>
      <c r="V220">
        <f t="shared" si="199"/>
        <v>0</v>
      </c>
      <c r="W220">
        <f t="shared" si="200"/>
        <v>0</v>
      </c>
      <c r="X220">
        <f t="shared" si="201"/>
        <v>0</v>
      </c>
      <c r="Y220">
        <f t="shared" si="202"/>
        <v>0</v>
      </c>
      <c r="AA220">
        <v>45037307</v>
      </c>
      <c r="AB220">
        <f t="shared" si="203"/>
        <v>22652.13</v>
      </c>
      <c r="AC220">
        <f t="shared" si="204"/>
        <v>22652.13</v>
      </c>
      <c r="AD220">
        <f t="shared" si="226"/>
        <v>0</v>
      </c>
      <c r="AE220">
        <f t="shared" si="226"/>
        <v>0</v>
      </c>
      <c r="AF220">
        <f t="shared" si="226"/>
        <v>0</v>
      </c>
      <c r="AG220">
        <f t="shared" si="205"/>
        <v>0</v>
      </c>
      <c r="AH220">
        <f t="shared" si="227"/>
        <v>0</v>
      </c>
      <c r="AI220">
        <f t="shared" si="227"/>
        <v>0</v>
      </c>
      <c r="AJ220">
        <f t="shared" si="206"/>
        <v>0</v>
      </c>
      <c r="AK220">
        <v>22652.13</v>
      </c>
      <c r="AL220">
        <v>22652.13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0</v>
      </c>
      <c r="AU220">
        <v>0</v>
      </c>
      <c r="AV220">
        <v>1</v>
      </c>
      <c r="AW220">
        <v>1</v>
      </c>
      <c r="AZ220">
        <v>1</v>
      </c>
      <c r="BA220">
        <v>1</v>
      </c>
      <c r="BB220">
        <v>1</v>
      </c>
      <c r="BC220">
        <v>1.86</v>
      </c>
      <c r="BD220" t="s">
        <v>3</v>
      </c>
      <c r="BE220" t="s">
        <v>3</v>
      </c>
      <c r="BF220" t="s">
        <v>3</v>
      </c>
      <c r="BG220" t="s">
        <v>3</v>
      </c>
      <c r="BH220">
        <v>3</v>
      </c>
      <c r="BI220">
        <v>1</v>
      </c>
      <c r="BJ220" t="s">
        <v>298</v>
      </c>
      <c r="BM220">
        <v>117</v>
      </c>
      <c r="BN220">
        <v>7156650</v>
      </c>
      <c r="BO220" t="s">
        <v>296</v>
      </c>
      <c r="BP220">
        <v>1</v>
      </c>
      <c r="BQ220">
        <v>30</v>
      </c>
      <c r="BR220">
        <v>0</v>
      </c>
      <c r="BS220">
        <v>1</v>
      </c>
      <c r="BT220">
        <v>1</v>
      </c>
      <c r="BU220">
        <v>1</v>
      </c>
      <c r="BV220">
        <v>1</v>
      </c>
      <c r="BW220">
        <v>1</v>
      </c>
      <c r="BX220">
        <v>1</v>
      </c>
      <c r="BY220" t="s">
        <v>3</v>
      </c>
      <c r="BZ220">
        <v>0</v>
      </c>
      <c r="CA220">
        <v>0</v>
      </c>
      <c r="CF220">
        <v>0</v>
      </c>
      <c r="CG220">
        <v>0</v>
      </c>
      <c r="CM220">
        <v>0</v>
      </c>
      <c r="CN220" t="s">
        <v>3</v>
      </c>
      <c r="CO220">
        <v>0</v>
      </c>
      <c r="CP220">
        <f t="shared" si="207"/>
        <v>161.91999999999999</v>
      </c>
      <c r="CQ220">
        <f t="shared" si="208"/>
        <v>42132.961800000005</v>
      </c>
      <c r="CR220">
        <f t="shared" si="209"/>
        <v>0</v>
      </c>
      <c r="CS220">
        <f t="shared" si="210"/>
        <v>0</v>
      </c>
      <c r="CT220">
        <f t="shared" si="211"/>
        <v>0</v>
      </c>
      <c r="CU220">
        <f t="shared" si="212"/>
        <v>0</v>
      </c>
      <c r="CV220">
        <f t="shared" si="213"/>
        <v>0</v>
      </c>
      <c r="CW220">
        <f t="shared" si="214"/>
        <v>0</v>
      </c>
      <c r="CX220">
        <f t="shared" si="215"/>
        <v>0</v>
      </c>
      <c r="CY220">
        <f t="shared" si="216"/>
        <v>0</v>
      </c>
      <c r="CZ220">
        <f t="shared" si="217"/>
        <v>0</v>
      </c>
      <c r="DC220" t="s">
        <v>3</v>
      </c>
      <c r="DD220" t="s">
        <v>3</v>
      </c>
      <c r="DE220" t="s">
        <v>3</v>
      </c>
      <c r="DF220" t="s">
        <v>3</v>
      </c>
      <c r="DG220" t="s">
        <v>3</v>
      </c>
      <c r="DH220" t="s">
        <v>3</v>
      </c>
      <c r="DI220" t="s">
        <v>3</v>
      </c>
      <c r="DJ220" t="s">
        <v>3</v>
      </c>
      <c r="DK220" t="s">
        <v>3</v>
      </c>
      <c r="DL220" t="s">
        <v>3</v>
      </c>
      <c r="DM220" t="s">
        <v>3</v>
      </c>
      <c r="DN220">
        <v>100</v>
      </c>
      <c r="DO220">
        <v>64</v>
      </c>
      <c r="DP220">
        <v>1.0249999999999999</v>
      </c>
      <c r="DQ220">
        <v>1</v>
      </c>
      <c r="DU220">
        <v>1009</v>
      </c>
      <c r="DV220" t="s">
        <v>29</v>
      </c>
      <c r="DW220" t="s">
        <v>29</v>
      </c>
      <c r="DX220">
        <v>1000</v>
      </c>
      <c r="EE220">
        <v>44846624</v>
      </c>
      <c r="EF220">
        <v>30</v>
      </c>
      <c r="EG220" t="s">
        <v>38</v>
      </c>
      <c r="EH220">
        <v>0</v>
      </c>
      <c r="EI220" t="s">
        <v>3</v>
      </c>
      <c r="EJ220">
        <v>1</v>
      </c>
      <c r="EK220">
        <v>117</v>
      </c>
      <c r="EL220" t="s">
        <v>289</v>
      </c>
      <c r="EM220" t="s">
        <v>290</v>
      </c>
      <c r="EO220" t="s">
        <v>3</v>
      </c>
      <c r="EQ220">
        <v>0</v>
      </c>
      <c r="ER220">
        <v>22652.13</v>
      </c>
      <c r="ES220">
        <v>22652.13</v>
      </c>
      <c r="ET220">
        <v>0</v>
      </c>
      <c r="EU220">
        <v>0</v>
      </c>
      <c r="EV220">
        <v>0</v>
      </c>
      <c r="EW220">
        <v>0</v>
      </c>
      <c r="EX220">
        <v>0</v>
      </c>
      <c r="FQ220">
        <v>0</v>
      </c>
      <c r="FR220">
        <f t="shared" si="218"/>
        <v>0</v>
      </c>
      <c r="FS220">
        <v>0</v>
      </c>
      <c r="FX220">
        <v>100</v>
      </c>
      <c r="FY220">
        <v>64</v>
      </c>
      <c r="GA220" t="s">
        <v>3</v>
      </c>
      <c r="GD220">
        <v>0</v>
      </c>
      <c r="GF220">
        <v>-908598485</v>
      </c>
      <c r="GG220">
        <v>2</v>
      </c>
      <c r="GH220">
        <v>1</v>
      </c>
      <c r="GI220">
        <v>3</v>
      </c>
      <c r="GJ220">
        <v>0</v>
      </c>
      <c r="GK220">
        <f>ROUND(R220*(S12)/100,2)</f>
        <v>0</v>
      </c>
      <c r="GL220">
        <f t="shared" si="219"/>
        <v>0</v>
      </c>
      <c r="GM220">
        <f t="shared" si="220"/>
        <v>161.91999999999999</v>
      </c>
      <c r="GN220">
        <f t="shared" si="221"/>
        <v>161.91999999999999</v>
      </c>
      <c r="GO220">
        <f t="shared" si="222"/>
        <v>0</v>
      </c>
      <c r="GP220">
        <f t="shared" si="223"/>
        <v>0</v>
      </c>
      <c r="GR220">
        <v>0</v>
      </c>
      <c r="GS220">
        <v>3</v>
      </c>
      <c r="GT220">
        <v>0</v>
      </c>
      <c r="GU220" t="s">
        <v>3</v>
      </c>
      <c r="GV220">
        <f t="shared" si="224"/>
        <v>0</v>
      </c>
      <c r="GW220">
        <v>1</v>
      </c>
      <c r="GX220">
        <f t="shared" si="225"/>
        <v>0</v>
      </c>
      <c r="HA220">
        <v>0</v>
      </c>
      <c r="HB220">
        <v>0</v>
      </c>
      <c r="IK220">
        <v>0</v>
      </c>
    </row>
    <row r="221" spans="1:255" x14ac:dyDescent="0.2">
      <c r="A221" s="2">
        <v>17</v>
      </c>
      <c r="B221" s="2">
        <v>1</v>
      </c>
      <c r="C221" s="2">
        <f>ROW(SmtRes!A186)</f>
        <v>186</v>
      </c>
      <c r="D221" s="2">
        <f>ROW(EtalonRes!A187)</f>
        <v>187</v>
      </c>
      <c r="E221" s="2" t="s">
        <v>299</v>
      </c>
      <c r="F221" s="2" t="s">
        <v>173</v>
      </c>
      <c r="G221" s="2" t="s">
        <v>300</v>
      </c>
      <c r="H221" s="2" t="s">
        <v>175</v>
      </c>
      <c r="I221" s="2">
        <v>0.1</v>
      </c>
      <c r="J221" s="2">
        <v>0</v>
      </c>
      <c r="K221" s="2"/>
      <c r="L221" s="2"/>
      <c r="M221" s="2"/>
      <c r="N221" s="2"/>
      <c r="O221" s="2">
        <f t="shared" si="192"/>
        <v>158.4</v>
      </c>
      <c r="P221" s="2">
        <f t="shared" si="193"/>
        <v>4.45</v>
      </c>
      <c r="Q221" s="2">
        <f t="shared" si="194"/>
        <v>29.32</v>
      </c>
      <c r="R221" s="2">
        <f t="shared" si="195"/>
        <v>6.87</v>
      </c>
      <c r="S221" s="2">
        <f t="shared" si="196"/>
        <v>124.63</v>
      </c>
      <c r="T221" s="2">
        <f t="shared" si="197"/>
        <v>0</v>
      </c>
      <c r="U221" s="2">
        <f t="shared" si="198"/>
        <v>9.4414999999999996</v>
      </c>
      <c r="V221" s="2">
        <f t="shared" si="199"/>
        <v>0</v>
      </c>
      <c r="W221" s="2">
        <f t="shared" si="200"/>
        <v>0</v>
      </c>
      <c r="X221" s="2">
        <f t="shared" si="201"/>
        <v>0</v>
      </c>
      <c r="Y221" s="2">
        <f t="shared" si="202"/>
        <v>0</v>
      </c>
      <c r="Z221" s="2"/>
      <c r="AA221" s="2">
        <v>45037306</v>
      </c>
      <c r="AB221" s="2">
        <f t="shared" si="203"/>
        <v>1584.0255</v>
      </c>
      <c r="AC221" s="2">
        <f t="shared" si="204"/>
        <v>44.51</v>
      </c>
      <c r="AD221" s="2">
        <f>ROUND(((ET221*1.25)),6)</f>
        <v>293.23750000000001</v>
      </c>
      <c r="AE221" s="2">
        <f>ROUND(((EU221*1.25)),6)</f>
        <v>68.662499999999994</v>
      </c>
      <c r="AF221" s="2">
        <f>ROUND(((EV221*1.15)),6)</f>
        <v>1246.278</v>
      </c>
      <c r="AG221" s="2">
        <f t="shared" si="205"/>
        <v>0</v>
      </c>
      <c r="AH221" s="2">
        <f>((EW221*1.15))</f>
        <v>94.414999999999992</v>
      </c>
      <c r="AI221" s="2">
        <f>((EX221*1.25))</f>
        <v>0</v>
      </c>
      <c r="AJ221" s="2">
        <f t="shared" si="206"/>
        <v>0</v>
      </c>
      <c r="AK221" s="2">
        <v>1362.82</v>
      </c>
      <c r="AL221" s="2">
        <v>44.51</v>
      </c>
      <c r="AM221" s="2">
        <v>234.59</v>
      </c>
      <c r="AN221" s="2">
        <v>54.93</v>
      </c>
      <c r="AO221" s="2">
        <v>1083.72</v>
      </c>
      <c r="AP221" s="2">
        <v>0</v>
      </c>
      <c r="AQ221" s="2">
        <v>82.1</v>
      </c>
      <c r="AR221" s="2">
        <v>0</v>
      </c>
      <c r="AS221" s="2">
        <v>0</v>
      </c>
      <c r="AT221" s="2">
        <v>0</v>
      </c>
      <c r="AU221" s="2">
        <v>0</v>
      </c>
      <c r="AV221" s="2">
        <v>1</v>
      </c>
      <c r="AW221" s="2">
        <v>1</v>
      </c>
      <c r="AX221" s="2"/>
      <c r="AY221" s="2"/>
      <c r="AZ221" s="2">
        <v>1</v>
      </c>
      <c r="BA221" s="2">
        <v>1</v>
      </c>
      <c r="BB221" s="2">
        <v>1</v>
      </c>
      <c r="BC221" s="2">
        <v>1</v>
      </c>
      <c r="BD221" s="2" t="s">
        <v>3</v>
      </c>
      <c r="BE221" s="2" t="s">
        <v>3</v>
      </c>
      <c r="BF221" s="2" t="s">
        <v>3</v>
      </c>
      <c r="BG221" s="2" t="s">
        <v>3</v>
      </c>
      <c r="BH221" s="2">
        <v>0</v>
      </c>
      <c r="BI221" s="2">
        <v>1</v>
      </c>
      <c r="BJ221" s="2" t="s">
        <v>176</v>
      </c>
      <c r="BK221" s="2"/>
      <c r="BL221" s="2"/>
      <c r="BM221" s="2">
        <v>80</v>
      </c>
      <c r="BN221" s="2">
        <v>7156650</v>
      </c>
      <c r="BO221" s="2" t="s">
        <v>3</v>
      </c>
      <c r="BP221" s="2">
        <v>0</v>
      </c>
      <c r="BQ221" s="2">
        <v>30</v>
      </c>
      <c r="BR221" s="2">
        <v>0</v>
      </c>
      <c r="BS221" s="2">
        <v>1</v>
      </c>
      <c r="BT221" s="2">
        <v>1</v>
      </c>
      <c r="BU221" s="2">
        <v>1</v>
      </c>
      <c r="BV221" s="2">
        <v>1</v>
      </c>
      <c r="BW221" s="2">
        <v>1</v>
      </c>
      <c r="BX221" s="2">
        <v>1</v>
      </c>
      <c r="BY221" s="2" t="s">
        <v>3</v>
      </c>
      <c r="BZ221" s="2">
        <v>0</v>
      </c>
      <c r="CA221" s="2">
        <v>0</v>
      </c>
      <c r="CB221" s="2"/>
      <c r="CC221" s="2"/>
      <c r="CD221" s="2"/>
      <c r="CE221" s="2"/>
      <c r="CF221" s="2">
        <v>0</v>
      </c>
      <c r="CG221" s="2">
        <v>0</v>
      </c>
      <c r="CH221" s="2"/>
      <c r="CI221" s="2"/>
      <c r="CJ221" s="2"/>
      <c r="CK221" s="2"/>
      <c r="CL221" s="2"/>
      <c r="CM221" s="2">
        <v>0</v>
      </c>
      <c r="CN221" s="2" t="s">
        <v>3</v>
      </c>
      <c r="CO221" s="2">
        <v>0</v>
      </c>
      <c r="CP221" s="2">
        <f t="shared" si="207"/>
        <v>158.4</v>
      </c>
      <c r="CQ221" s="2">
        <f t="shared" si="208"/>
        <v>44.51</v>
      </c>
      <c r="CR221" s="2">
        <f t="shared" si="209"/>
        <v>293.23750000000001</v>
      </c>
      <c r="CS221" s="2">
        <f t="shared" si="210"/>
        <v>68.662499999999994</v>
      </c>
      <c r="CT221" s="2">
        <f t="shared" si="211"/>
        <v>1246.278</v>
      </c>
      <c r="CU221" s="2">
        <f t="shared" si="212"/>
        <v>0</v>
      </c>
      <c r="CV221" s="2">
        <f t="shared" si="213"/>
        <v>94.414999999999992</v>
      </c>
      <c r="CW221" s="2">
        <f t="shared" si="214"/>
        <v>0</v>
      </c>
      <c r="CX221" s="2">
        <f t="shared" si="215"/>
        <v>0</v>
      </c>
      <c r="CY221" s="2">
        <f t="shared" si="216"/>
        <v>0</v>
      </c>
      <c r="CZ221" s="2">
        <f t="shared" si="217"/>
        <v>0</v>
      </c>
      <c r="DA221" s="2"/>
      <c r="DB221" s="2"/>
      <c r="DC221" s="2" t="s">
        <v>3</v>
      </c>
      <c r="DD221" s="2" t="s">
        <v>3</v>
      </c>
      <c r="DE221" s="2" t="s">
        <v>36</v>
      </c>
      <c r="DF221" s="2" t="s">
        <v>36</v>
      </c>
      <c r="DG221" s="2" t="s">
        <v>37</v>
      </c>
      <c r="DH221" s="2" t="s">
        <v>3</v>
      </c>
      <c r="DI221" s="2" t="s">
        <v>37</v>
      </c>
      <c r="DJ221" s="2" t="s">
        <v>36</v>
      </c>
      <c r="DK221" s="2" t="s">
        <v>3</v>
      </c>
      <c r="DL221" s="2" t="s">
        <v>3</v>
      </c>
      <c r="DM221" s="2" t="s">
        <v>3</v>
      </c>
      <c r="DN221" s="2">
        <v>85</v>
      </c>
      <c r="DO221" s="2">
        <v>70</v>
      </c>
      <c r="DP221" s="2">
        <v>1.087</v>
      </c>
      <c r="DQ221" s="2">
        <v>1</v>
      </c>
      <c r="DR221" s="2"/>
      <c r="DS221" s="2"/>
      <c r="DT221" s="2"/>
      <c r="DU221" s="2">
        <v>1013</v>
      </c>
      <c r="DV221" s="2" t="s">
        <v>175</v>
      </c>
      <c r="DW221" s="2" t="s">
        <v>175</v>
      </c>
      <c r="DX221" s="2">
        <v>1</v>
      </c>
      <c r="DY221" s="2"/>
      <c r="DZ221" s="2"/>
      <c r="EA221" s="2"/>
      <c r="EB221" s="2"/>
      <c r="EC221" s="2"/>
      <c r="ED221" s="2"/>
      <c r="EE221" s="2">
        <v>44846587</v>
      </c>
      <c r="EF221" s="2">
        <v>30</v>
      </c>
      <c r="EG221" s="2" t="s">
        <v>38</v>
      </c>
      <c r="EH221" s="2">
        <v>0</v>
      </c>
      <c r="EI221" s="2" t="s">
        <v>3</v>
      </c>
      <c r="EJ221" s="2">
        <v>1</v>
      </c>
      <c r="EK221" s="2">
        <v>80</v>
      </c>
      <c r="EL221" s="2" t="s">
        <v>179</v>
      </c>
      <c r="EM221" s="2" t="s">
        <v>180</v>
      </c>
      <c r="EN221" s="2"/>
      <c r="EO221" s="2" t="s">
        <v>3</v>
      </c>
      <c r="EP221" s="2"/>
      <c r="EQ221" s="2">
        <v>131072</v>
      </c>
      <c r="ER221" s="2">
        <v>1362.82</v>
      </c>
      <c r="ES221" s="2">
        <v>44.51</v>
      </c>
      <c r="ET221" s="2">
        <v>234.59</v>
      </c>
      <c r="EU221" s="2">
        <v>54.93</v>
      </c>
      <c r="EV221" s="2">
        <v>1083.72</v>
      </c>
      <c r="EW221" s="2">
        <v>82.1</v>
      </c>
      <c r="EX221" s="2">
        <v>0</v>
      </c>
      <c r="EY221" s="2">
        <v>0</v>
      </c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>
        <v>0</v>
      </c>
      <c r="FR221" s="2">
        <f t="shared" si="218"/>
        <v>0</v>
      </c>
      <c r="FS221" s="2">
        <v>0</v>
      </c>
      <c r="FT221" s="2"/>
      <c r="FU221" s="2"/>
      <c r="FV221" s="2"/>
      <c r="FW221" s="2"/>
      <c r="FX221" s="2">
        <v>85</v>
      </c>
      <c r="FY221" s="2">
        <v>70</v>
      </c>
      <c r="FZ221" s="2"/>
      <c r="GA221" s="2" t="s">
        <v>3</v>
      </c>
      <c r="GB221" s="2"/>
      <c r="GC221" s="2"/>
      <c r="GD221" s="2">
        <v>0</v>
      </c>
      <c r="GE221" s="2"/>
      <c r="GF221" s="2">
        <v>885218915</v>
      </c>
      <c r="GG221" s="2">
        <v>2</v>
      </c>
      <c r="GH221" s="2">
        <v>1</v>
      </c>
      <c r="GI221" s="2">
        <v>3</v>
      </c>
      <c r="GJ221" s="2">
        <v>0</v>
      </c>
      <c r="GK221" s="2">
        <f>ROUND(R221*(R12)/100,2)</f>
        <v>12.37</v>
      </c>
      <c r="GL221" s="2">
        <f t="shared" si="219"/>
        <v>0</v>
      </c>
      <c r="GM221" s="2">
        <f t="shared" si="220"/>
        <v>170.77</v>
      </c>
      <c r="GN221" s="2">
        <f t="shared" si="221"/>
        <v>170.77</v>
      </c>
      <c r="GO221" s="2">
        <f t="shared" si="222"/>
        <v>0</v>
      </c>
      <c r="GP221" s="2">
        <f t="shared" si="223"/>
        <v>0</v>
      </c>
      <c r="GQ221" s="2"/>
      <c r="GR221" s="2">
        <v>0</v>
      </c>
      <c r="GS221" s="2">
        <v>3</v>
      </c>
      <c r="GT221" s="2">
        <v>0</v>
      </c>
      <c r="GU221" s="2" t="s">
        <v>3</v>
      </c>
      <c r="GV221" s="2">
        <f t="shared" si="224"/>
        <v>0</v>
      </c>
      <c r="GW221" s="2">
        <v>1</v>
      </c>
      <c r="GX221" s="2">
        <f t="shared" si="225"/>
        <v>0</v>
      </c>
      <c r="GY221" s="2"/>
      <c r="GZ221" s="2"/>
      <c r="HA221" s="2">
        <v>0</v>
      </c>
      <c r="HB221" s="2">
        <v>0</v>
      </c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2"/>
      <c r="HZ221" s="2"/>
      <c r="IA221" s="2"/>
      <c r="IB221" s="2"/>
      <c r="IC221" s="2"/>
      <c r="ID221" s="2"/>
      <c r="IE221" s="2"/>
      <c r="IF221" s="2"/>
      <c r="IG221" s="2"/>
      <c r="IH221" s="2"/>
      <c r="II221" s="2"/>
      <c r="IJ221" s="2"/>
      <c r="IK221" s="2">
        <v>0</v>
      </c>
      <c r="IL221" s="2"/>
      <c r="IM221" s="2"/>
      <c r="IN221" s="2"/>
      <c r="IO221" s="2"/>
      <c r="IP221" s="2"/>
      <c r="IQ221" s="2"/>
      <c r="IR221" s="2"/>
      <c r="IS221" s="2"/>
      <c r="IT221" s="2"/>
      <c r="IU221" s="2"/>
    </row>
    <row r="222" spans="1:255" x14ac:dyDescent="0.2">
      <c r="A222">
        <v>17</v>
      </c>
      <c r="B222">
        <v>1</v>
      </c>
      <c r="C222">
        <f>ROW(SmtRes!A194)</f>
        <v>194</v>
      </c>
      <c r="D222">
        <f>ROW(EtalonRes!A194)</f>
        <v>194</v>
      </c>
      <c r="E222" t="s">
        <v>299</v>
      </c>
      <c r="F222" t="s">
        <v>173</v>
      </c>
      <c r="G222" t="s">
        <v>300</v>
      </c>
      <c r="H222" t="s">
        <v>175</v>
      </c>
      <c r="I222">
        <v>0.1</v>
      </c>
      <c r="J222">
        <v>0</v>
      </c>
      <c r="O222">
        <f t="shared" si="192"/>
        <v>2831.86</v>
      </c>
      <c r="P222">
        <f t="shared" si="193"/>
        <v>26.71</v>
      </c>
      <c r="Q222">
        <f t="shared" si="194"/>
        <v>262.74</v>
      </c>
      <c r="R222">
        <f t="shared" si="195"/>
        <v>140.07</v>
      </c>
      <c r="S222">
        <f t="shared" si="196"/>
        <v>2542.41</v>
      </c>
      <c r="T222">
        <f t="shared" si="197"/>
        <v>0</v>
      </c>
      <c r="U222">
        <f t="shared" si="198"/>
        <v>9.4414999999999996</v>
      </c>
      <c r="V222">
        <f t="shared" si="199"/>
        <v>0</v>
      </c>
      <c r="W222">
        <f t="shared" si="200"/>
        <v>0</v>
      </c>
      <c r="X222">
        <f t="shared" si="201"/>
        <v>1728.84</v>
      </c>
      <c r="Y222">
        <f t="shared" si="202"/>
        <v>1042.3900000000001</v>
      </c>
      <c r="AA222">
        <v>45037307</v>
      </c>
      <c r="AB222">
        <f t="shared" si="203"/>
        <v>1584.0255</v>
      </c>
      <c r="AC222">
        <f t="shared" si="204"/>
        <v>44.51</v>
      </c>
      <c r="AD222">
        <f>ROUND(((ET222*1.25)),6)</f>
        <v>293.23750000000001</v>
      </c>
      <c r="AE222">
        <f>ROUND(((EU222*1.25)),6)</f>
        <v>68.662499999999994</v>
      </c>
      <c r="AF222">
        <f>ROUND(((EV222*1.15)),6)</f>
        <v>1246.278</v>
      </c>
      <c r="AG222">
        <f t="shared" si="205"/>
        <v>0</v>
      </c>
      <c r="AH222">
        <f>((EW222*1.15))</f>
        <v>94.414999999999992</v>
      </c>
      <c r="AI222">
        <f>((EX222*1.25))</f>
        <v>0</v>
      </c>
      <c r="AJ222">
        <f t="shared" si="206"/>
        <v>0</v>
      </c>
      <c r="AK222">
        <v>1362.82</v>
      </c>
      <c r="AL222">
        <v>44.51</v>
      </c>
      <c r="AM222">
        <v>234.59</v>
      </c>
      <c r="AN222">
        <v>54.93</v>
      </c>
      <c r="AO222">
        <v>1083.72</v>
      </c>
      <c r="AP222">
        <v>0</v>
      </c>
      <c r="AQ222">
        <v>82.1</v>
      </c>
      <c r="AR222">
        <v>0</v>
      </c>
      <c r="AS222">
        <v>0</v>
      </c>
      <c r="AT222">
        <v>68</v>
      </c>
      <c r="AU222">
        <v>41</v>
      </c>
      <c r="AV222">
        <v>1</v>
      </c>
      <c r="AW222">
        <v>1</v>
      </c>
      <c r="AZ222">
        <v>1</v>
      </c>
      <c r="BA222">
        <v>20.399999999999999</v>
      </c>
      <c r="BB222">
        <v>8.9600000000000009</v>
      </c>
      <c r="BC222">
        <v>6</v>
      </c>
      <c r="BD222" t="s">
        <v>3</v>
      </c>
      <c r="BE222" t="s">
        <v>3</v>
      </c>
      <c r="BF222" t="s">
        <v>3</v>
      </c>
      <c r="BG222" t="s">
        <v>3</v>
      </c>
      <c r="BH222">
        <v>0</v>
      </c>
      <c r="BI222">
        <v>1</v>
      </c>
      <c r="BJ222" t="s">
        <v>176</v>
      </c>
      <c r="BM222">
        <v>80</v>
      </c>
      <c r="BN222">
        <v>7156650</v>
      </c>
      <c r="BO222" t="s">
        <v>173</v>
      </c>
      <c r="BP222">
        <v>1</v>
      </c>
      <c r="BQ222">
        <v>30</v>
      </c>
      <c r="BR222">
        <v>0</v>
      </c>
      <c r="BS222">
        <v>20.399999999999999</v>
      </c>
      <c r="BT222">
        <v>1</v>
      </c>
      <c r="BU222">
        <v>1</v>
      </c>
      <c r="BV222">
        <v>1</v>
      </c>
      <c r="BW222">
        <v>1</v>
      </c>
      <c r="BX222">
        <v>1</v>
      </c>
      <c r="BY222" t="s">
        <v>3</v>
      </c>
      <c r="BZ222">
        <v>68</v>
      </c>
      <c r="CA222">
        <v>41</v>
      </c>
      <c r="CF222">
        <v>0</v>
      </c>
      <c r="CG222">
        <v>0</v>
      </c>
      <c r="CM222">
        <v>0</v>
      </c>
      <c r="CN222" t="s">
        <v>3</v>
      </c>
      <c r="CO222">
        <v>0</v>
      </c>
      <c r="CP222">
        <f t="shared" si="207"/>
        <v>2831.8599999999997</v>
      </c>
      <c r="CQ222">
        <f t="shared" si="208"/>
        <v>267.06</v>
      </c>
      <c r="CR222">
        <f t="shared" si="209"/>
        <v>2627.4080000000004</v>
      </c>
      <c r="CS222">
        <f t="shared" si="210"/>
        <v>1400.7149999999997</v>
      </c>
      <c r="CT222">
        <f t="shared" si="211"/>
        <v>25424.071199999998</v>
      </c>
      <c r="CU222">
        <f t="shared" si="212"/>
        <v>0</v>
      </c>
      <c r="CV222">
        <f t="shared" si="213"/>
        <v>94.414999999999992</v>
      </c>
      <c r="CW222">
        <f t="shared" si="214"/>
        <v>0</v>
      </c>
      <c r="CX222">
        <f t="shared" si="215"/>
        <v>0</v>
      </c>
      <c r="CY222">
        <f t="shared" si="216"/>
        <v>1728.8388</v>
      </c>
      <c r="CZ222">
        <f t="shared" si="217"/>
        <v>1042.3880999999999</v>
      </c>
      <c r="DC222" t="s">
        <v>3</v>
      </c>
      <c r="DD222" t="s">
        <v>3</v>
      </c>
      <c r="DE222" t="s">
        <v>36</v>
      </c>
      <c r="DF222" t="s">
        <v>36</v>
      </c>
      <c r="DG222" t="s">
        <v>37</v>
      </c>
      <c r="DH222" t="s">
        <v>3</v>
      </c>
      <c r="DI222" t="s">
        <v>37</v>
      </c>
      <c r="DJ222" t="s">
        <v>36</v>
      </c>
      <c r="DK222" t="s">
        <v>3</v>
      </c>
      <c r="DL222" t="s">
        <v>3</v>
      </c>
      <c r="DM222" t="s">
        <v>3</v>
      </c>
      <c r="DN222">
        <v>85</v>
      </c>
      <c r="DO222">
        <v>70</v>
      </c>
      <c r="DP222">
        <v>1.087</v>
      </c>
      <c r="DQ222">
        <v>1</v>
      </c>
      <c r="DU222">
        <v>1013</v>
      </c>
      <c r="DV222" t="s">
        <v>175</v>
      </c>
      <c r="DW222" t="s">
        <v>175</v>
      </c>
      <c r="DX222">
        <v>1</v>
      </c>
      <c r="EE222">
        <v>44846587</v>
      </c>
      <c r="EF222">
        <v>30</v>
      </c>
      <c r="EG222" t="s">
        <v>38</v>
      </c>
      <c r="EH222">
        <v>0</v>
      </c>
      <c r="EI222" t="s">
        <v>3</v>
      </c>
      <c r="EJ222">
        <v>1</v>
      </c>
      <c r="EK222">
        <v>80</v>
      </c>
      <c r="EL222" t="s">
        <v>179</v>
      </c>
      <c r="EM222" t="s">
        <v>180</v>
      </c>
      <c r="EO222" t="s">
        <v>3</v>
      </c>
      <c r="EQ222">
        <v>131072</v>
      </c>
      <c r="ER222">
        <v>1362.82</v>
      </c>
      <c r="ES222">
        <v>44.51</v>
      </c>
      <c r="ET222">
        <v>234.59</v>
      </c>
      <c r="EU222">
        <v>54.93</v>
      </c>
      <c r="EV222">
        <v>1083.72</v>
      </c>
      <c r="EW222">
        <v>82.1</v>
      </c>
      <c r="EX222">
        <v>0</v>
      </c>
      <c r="EY222">
        <v>0</v>
      </c>
      <c r="FQ222">
        <v>0</v>
      </c>
      <c r="FR222">
        <f t="shared" si="218"/>
        <v>0</v>
      </c>
      <c r="FS222">
        <v>0</v>
      </c>
      <c r="FX222">
        <v>85</v>
      </c>
      <c r="FY222">
        <v>70</v>
      </c>
      <c r="GA222" t="s">
        <v>3</v>
      </c>
      <c r="GD222">
        <v>0</v>
      </c>
      <c r="GF222">
        <v>885218915</v>
      </c>
      <c r="GG222">
        <v>2</v>
      </c>
      <c r="GH222">
        <v>1</v>
      </c>
      <c r="GI222">
        <v>3</v>
      </c>
      <c r="GJ222">
        <v>0</v>
      </c>
      <c r="GK222">
        <f>ROUND(R222*(S12)/100,2)</f>
        <v>235.32</v>
      </c>
      <c r="GL222">
        <f t="shared" si="219"/>
        <v>0</v>
      </c>
      <c r="GM222">
        <f t="shared" si="220"/>
        <v>5838.41</v>
      </c>
      <c r="GN222">
        <f t="shared" si="221"/>
        <v>5838.41</v>
      </c>
      <c r="GO222">
        <f t="shared" si="222"/>
        <v>0</v>
      </c>
      <c r="GP222">
        <f t="shared" si="223"/>
        <v>0</v>
      </c>
      <c r="GR222">
        <v>0</v>
      </c>
      <c r="GS222">
        <v>3</v>
      </c>
      <c r="GT222">
        <v>0</v>
      </c>
      <c r="GU222" t="s">
        <v>3</v>
      </c>
      <c r="GV222">
        <f t="shared" si="224"/>
        <v>0</v>
      </c>
      <c r="GW222">
        <v>1</v>
      </c>
      <c r="GX222">
        <f t="shared" si="225"/>
        <v>0</v>
      </c>
      <c r="HA222">
        <v>0</v>
      </c>
      <c r="HB222">
        <v>0</v>
      </c>
      <c r="IK222">
        <v>0</v>
      </c>
    </row>
    <row r="223" spans="1:255" x14ac:dyDescent="0.2">
      <c r="A223" s="2">
        <v>18</v>
      </c>
      <c r="B223" s="2">
        <v>1</v>
      </c>
      <c r="C223" s="2">
        <v>184</v>
      </c>
      <c r="D223" s="2"/>
      <c r="E223" s="2" t="s">
        <v>301</v>
      </c>
      <c r="F223" s="2" t="s">
        <v>302</v>
      </c>
      <c r="G223" s="2" t="s">
        <v>303</v>
      </c>
      <c r="H223" s="2" t="s">
        <v>304</v>
      </c>
      <c r="I223" s="2">
        <f>I221*J223</f>
        <v>3</v>
      </c>
      <c r="J223" s="2">
        <v>30</v>
      </c>
      <c r="K223" s="2"/>
      <c r="L223" s="2"/>
      <c r="M223" s="2"/>
      <c r="N223" s="2"/>
      <c r="O223" s="2">
        <f t="shared" si="192"/>
        <v>22487.31</v>
      </c>
      <c r="P223" s="2">
        <f t="shared" si="193"/>
        <v>22487.31</v>
      </c>
      <c r="Q223" s="2">
        <f t="shared" si="194"/>
        <v>0</v>
      </c>
      <c r="R223" s="2">
        <f t="shared" si="195"/>
        <v>0</v>
      </c>
      <c r="S223" s="2">
        <f t="shared" si="196"/>
        <v>0</v>
      </c>
      <c r="T223" s="2">
        <f t="shared" si="197"/>
        <v>0</v>
      </c>
      <c r="U223" s="2">
        <f t="shared" si="198"/>
        <v>0</v>
      </c>
      <c r="V223" s="2">
        <f t="shared" si="199"/>
        <v>0</v>
      </c>
      <c r="W223" s="2">
        <f t="shared" si="200"/>
        <v>0</v>
      </c>
      <c r="X223" s="2">
        <f t="shared" si="201"/>
        <v>0</v>
      </c>
      <c r="Y223" s="2">
        <f t="shared" si="202"/>
        <v>0</v>
      </c>
      <c r="Z223" s="2"/>
      <c r="AA223" s="2">
        <v>45037306</v>
      </c>
      <c r="AB223" s="2">
        <f t="shared" si="203"/>
        <v>7495.77</v>
      </c>
      <c r="AC223" s="2">
        <f t="shared" si="204"/>
        <v>7495.77</v>
      </c>
      <c r="AD223" s="2">
        <f t="shared" ref="AD223:AF226" si="228">ROUND((ET223),6)</f>
        <v>0</v>
      </c>
      <c r="AE223" s="2">
        <f t="shared" si="228"/>
        <v>0</v>
      </c>
      <c r="AF223" s="2">
        <f t="shared" si="228"/>
        <v>0</v>
      </c>
      <c r="AG223" s="2">
        <f t="shared" si="205"/>
        <v>0</v>
      </c>
      <c r="AH223" s="2">
        <f t="shared" ref="AH223:AI226" si="229">(EW223)</f>
        <v>0</v>
      </c>
      <c r="AI223" s="2">
        <f t="shared" si="229"/>
        <v>0</v>
      </c>
      <c r="AJ223" s="2">
        <f t="shared" si="206"/>
        <v>0</v>
      </c>
      <c r="AK223" s="2">
        <v>7495.77</v>
      </c>
      <c r="AL223" s="2">
        <v>7495.77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1</v>
      </c>
      <c r="AW223" s="2">
        <v>1</v>
      </c>
      <c r="AX223" s="2"/>
      <c r="AY223" s="2"/>
      <c r="AZ223" s="2">
        <v>1</v>
      </c>
      <c r="BA223" s="2">
        <v>1</v>
      </c>
      <c r="BB223" s="2">
        <v>1</v>
      </c>
      <c r="BC223" s="2">
        <v>1</v>
      </c>
      <c r="BD223" s="2" t="s">
        <v>3</v>
      </c>
      <c r="BE223" s="2" t="s">
        <v>3</v>
      </c>
      <c r="BF223" s="2" t="s">
        <v>3</v>
      </c>
      <c r="BG223" s="2" t="s">
        <v>3</v>
      </c>
      <c r="BH223" s="2">
        <v>3</v>
      </c>
      <c r="BI223" s="2">
        <v>1</v>
      </c>
      <c r="BJ223" s="2" t="s">
        <v>305</v>
      </c>
      <c r="BK223" s="2"/>
      <c r="BL223" s="2"/>
      <c r="BM223" s="2">
        <v>80</v>
      </c>
      <c r="BN223" s="2">
        <v>7156650</v>
      </c>
      <c r="BO223" s="2" t="s">
        <v>3</v>
      </c>
      <c r="BP223" s="2">
        <v>0</v>
      </c>
      <c r="BQ223" s="2">
        <v>30</v>
      </c>
      <c r="BR223" s="2">
        <v>0</v>
      </c>
      <c r="BS223" s="2">
        <v>1</v>
      </c>
      <c r="BT223" s="2">
        <v>1</v>
      </c>
      <c r="BU223" s="2">
        <v>1</v>
      </c>
      <c r="BV223" s="2">
        <v>1</v>
      </c>
      <c r="BW223" s="2">
        <v>1</v>
      </c>
      <c r="BX223" s="2">
        <v>1</v>
      </c>
      <c r="BY223" s="2" t="s">
        <v>3</v>
      </c>
      <c r="BZ223" s="2">
        <v>0</v>
      </c>
      <c r="CA223" s="2">
        <v>0</v>
      </c>
      <c r="CB223" s="2"/>
      <c r="CC223" s="2"/>
      <c r="CD223" s="2"/>
      <c r="CE223" s="2"/>
      <c r="CF223" s="2">
        <v>0</v>
      </c>
      <c r="CG223" s="2">
        <v>0</v>
      </c>
      <c r="CH223" s="2"/>
      <c r="CI223" s="2"/>
      <c r="CJ223" s="2"/>
      <c r="CK223" s="2"/>
      <c r="CL223" s="2"/>
      <c r="CM223" s="2">
        <v>0</v>
      </c>
      <c r="CN223" s="2" t="s">
        <v>3</v>
      </c>
      <c r="CO223" s="2">
        <v>0</v>
      </c>
      <c r="CP223" s="2">
        <f t="shared" si="207"/>
        <v>22487.31</v>
      </c>
      <c r="CQ223" s="2">
        <f t="shared" si="208"/>
        <v>7495.77</v>
      </c>
      <c r="CR223" s="2">
        <f t="shared" si="209"/>
        <v>0</v>
      </c>
      <c r="CS223" s="2">
        <f t="shared" si="210"/>
        <v>0</v>
      </c>
      <c r="CT223" s="2">
        <f t="shared" si="211"/>
        <v>0</v>
      </c>
      <c r="CU223" s="2">
        <f t="shared" si="212"/>
        <v>0</v>
      </c>
      <c r="CV223" s="2">
        <f t="shared" si="213"/>
        <v>0</v>
      </c>
      <c r="CW223" s="2">
        <f t="shared" si="214"/>
        <v>0</v>
      </c>
      <c r="CX223" s="2">
        <f t="shared" si="215"/>
        <v>0</v>
      </c>
      <c r="CY223" s="2">
        <f t="shared" si="216"/>
        <v>0</v>
      </c>
      <c r="CZ223" s="2">
        <f t="shared" si="217"/>
        <v>0</v>
      </c>
      <c r="DA223" s="2"/>
      <c r="DB223" s="2"/>
      <c r="DC223" s="2" t="s">
        <v>3</v>
      </c>
      <c r="DD223" s="2" t="s">
        <v>3</v>
      </c>
      <c r="DE223" s="2" t="s">
        <v>3</v>
      </c>
      <c r="DF223" s="2" t="s">
        <v>3</v>
      </c>
      <c r="DG223" s="2" t="s">
        <v>3</v>
      </c>
      <c r="DH223" s="2" t="s">
        <v>3</v>
      </c>
      <c r="DI223" s="2" t="s">
        <v>3</v>
      </c>
      <c r="DJ223" s="2" t="s">
        <v>3</v>
      </c>
      <c r="DK223" s="2" t="s">
        <v>3</v>
      </c>
      <c r="DL223" s="2" t="s">
        <v>3</v>
      </c>
      <c r="DM223" s="2" t="s">
        <v>3</v>
      </c>
      <c r="DN223" s="2">
        <v>85</v>
      </c>
      <c r="DO223" s="2">
        <v>70</v>
      </c>
      <c r="DP223" s="2">
        <v>1.087</v>
      </c>
      <c r="DQ223" s="2">
        <v>1</v>
      </c>
      <c r="DR223" s="2"/>
      <c r="DS223" s="2"/>
      <c r="DT223" s="2"/>
      <c r="DU223" s="2">
        <v>1010</v>
      </c>
      <c r="DV223" s="2" t="s">
        <v>304</v>
      </c>
      <c r="DW223" s="2" t="s">
        <v>304</v>
      </c>
      <c r="DX223" s="2">
        <v>1</v>
      </c>
      <c r="DY223" s="2"/>
      <c r="DZ223" s="2"/>
      <c r="EA223" s="2"/>
      <c r="EB223" s="2"/>
      <c r="EC223" s="2"/>
      <c r="ED223" s="2"/>
      <c r="EE223" s="2">
        <v>44846587</v>
      </c>
      <c r="EF223" s="2">
        <v>30</v>
      </c>
      <c r="EG223" s="2" t="s">
        <v>38</v>
      </c>
      <c r="EH223" s="2">
        <v>0</v>
      </c>
      <c r="EI223" s="2" t="s">
        <v>3</v>
      </c>
      <c r="EJ223" s="2">
        <v>1</v>
      </c>
      <c r="EK223" s="2">
        <v>80</v>
      </c>
      <c r="EL223" s="2" t="s">
        <v>179</v>
      </c>
      <c r="EM223" s="2" t="s">
        <v>180</v>
      </c>
      <c r="EN223" s="2"/>
      <c r="EO223" s="2" t="s">
        <v>3</v>
      </c>
      <c r="EP223" s="2"/>
      <c r="EQ223" s="2">
        <v>0</v>
      </c>
      <c r="ER223" s="2">
        <v>7495.77</v>
      </c>
      <c r="ES223" s="2">
        <v>7495.77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>
        <v>0</v>
      </c>
      <c r="FR223" s="2">
        <f t="shared" si="218"/>
        <v>0</v>
      </c>
      <c r="FS223" s="2">
        <v>0</v>
      </c>
      <c r="FT223" s="2"/>
      <c r="FU223" s="2"/>
      <c r="FV223" s="2"/>
      <c r="FW223" s="2"/>
      <c r="FX223" s="2">
        <v>85</v>
      </c>
      <c r="FY223" s="2">
        <v>70</v>
      </c>
      <c r="FZ223" s="2"/>
      <c r="GA223" s="2" t="s">
        <v>3</v>
      </c>
      <c r="GB223" s="2"/>
      <c r="GC223" s="2"/>
      <c r="GD223" s="2">
        <v>0</v>
      </c>
      <c r="GE223" s="2"/>
      <c r="GF223" s="2">
        <v>1452044937</v>
      </c>
      <c r="GG223" s="2">
        <v>2</v>
      </c>
      <c r="GH223" s="2">
        <v>1</v>
      </c>
      <c r="GI223" s="2">
        <v>3</v>
      </c>
      <c r="GJ223" s="2">
        <v>0</v>
      </c>
      <c r="GK223" s="2">
        <f>ROUND(R223*(R12)/100,2)</f>
        <v>0</v>
      </c>
      <c r="GL223" s="2">
        <f t="shared" si="219"/>
        <v>0</v>
      </c>
      <c r="GM223" s="2">
        <f t="shared" si="220"/>
        <v>22487.31</v>
      </c>
      <c r="GN223" s="2">
        <f t="shared" si="221"/>
        <v>22487.31</v>
      </c>
      <c r="GO223" s="2">
        <f t="shared" si="222"/>
        <v>0</v>
      </c>
      <c r="GP223" s="2">
        <f t="shared" si="223"/>
        <v>0</v>
      </c>
      <c r="GQ223" s="2"/>
      <c r="GR223" s="2">
        <v>0</v>
      </c>
      <c r="GS223" s="2">
        <v>3</v>
      </c>
      <c r="GT223" s="2">
        <v>0</v>
      </c>
      <c r="GU223" s="2" t="s">
        <v>3</v>
      </c>
      <c r="GV223" s="2">
        <f t="shared" si="224"/>
        <v>0</v>
      </c>
      <c r="GW223" s="2">
        <v>1</v>
      </c>
      <c r="GX223" s="2">
        <f t="shared" si="225"/>
        <v>0</v>
      </c>
      <c r="GY223" s="2"/>
      <c r="GZ223" s="2"/>
      <c r="HA223" s="2">
        <v>0</v>
      </c>
      <c r="HB223" s="2">
        <v>0</v>
      </c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2"/>
      <c r="HZ223" s="2"/>
      <c r="IA223" s="2"/>
      <c r="IB223" s="2"/>
      <c r="IC223" s="2"/>
      <c r="ID223" s="2"/>
      <c r="IE223" s="2"/>
      <c r="IF223" s="2"/>
      <c r="IG223" s="2"/>
      <c r="IH223" s="2"/>
      <c r="II223" s="2"/>
      <c r="IJ223" s="2"/>
      <c r="IK223" s="2">
        <v>0</v>
      </c>
      <c r="IL223" s="2"/>
      <c r="IM223" s="2"/>
      <c r="IN223" s="2"/>
      <c r="IO223" s="2"/>
      <c r="IP223" s="2"/>
      <c r="IQ223" s="2"/>
      <c r="IR223" s="2"/>
      <c r="IS223" s="2"/>
      <c r="IT223" s="2"/>
      <c r="IU223" s="2"/>
    </row>
    <row r="224" spans="1:255" x14ac:dyDescent="0.2">
      <c r="A224">
        <v>18</v>
      </c>
      <c r="B224">
        <v>1</v>
      </c>
      <c r="C224">
        <v>192</v>
      </c>
      <c r="E224" t="s">
        <v>301</v>
      </c>
      <c r="F224" t="s">
        <v>302</v>
      </c>
      <c r="G224" t="s">
        <v>303</v>
      </c>
      <c r="H224" t="s">
        <v>304</v>
      </c>
      <c r="I224">
        <f>I222*J224</f>
        <v>3</v>
      </c>
      <c r="J224">
        <v>30</v>
      </c>
      <c r="O224">
        <f t="shared" si="192"/>
        <v>42950.76</v>
      </c>
      <c r="P224">
        <f t="shared" si="193"/>
        <v>42950.76</v>
      </c>
      <c r="Q224">
        <f t="shared" si="194"/>
        <v>0</v>
      </c>
      <c r="R224">
        <f t="shared" si="195"/>
        <v>0</v>
      </c>
      <c r="S224">
        <f t="shared" si="196"/>
        <v>0</v>
      </c>
      <c r="T224">
        <f t="shared" si="197"/>
        <v>0</v>
      </c>
      <c r="U224">
        <f t="shared" si="198"/>
        <v>0</v>
      </c>
      <c r="V224">
        <f t="shared" si="199"/>
        <v>0</v>
      </c>
      <c r="W224">
        <f t="shared" si="200"/>
        <v>0</v>
      </c>
      <c r="X224">
        <f t="shared" si="201"/>
        <v>0</v>
      </c>
      <c r="Y224">
        <f t="shared" si="202"/>
        <v>0</v>
      </c>
      <c r="AA224">
        <v>45037307</v>
      </c>
      <c r="AB224">
        <f t="shared" si="203"/>
        <v>7495.77</v>
      </c>
      <c r="AC224">
        <f t="shared" si="204"/>
        <v>7495.77</v>
      </c>
      <c r="AD224">
        <f t="shared" si="228"/>
        <v>0</v>
      </c>
      <c r="AE224">
        <f t="shared" si="228"/>
        <v>0</v>
      </c>
      <c r="AF224">
        <f t="shared" si="228"/>
        <v>0</v>
      </c>
      <c r="AG224">
        <f t="shared" si="205"/>
        <v>0</v>
      </c>
      <c r="AH224">
        <f t="shared" si="229"/>
        <v>0</v>
      </c>
      <c r="AI224">
        <f t="shared" si="229"/>
        <v>0</v>
      </c>
      <c r="AJ224">
        <f t="shared" si="206"/>
        <v>0</v>
      </c>
      <c r="AK224">
        <v>7495.77</v>
      </c>
      <c r="AL224">
        <v>7495.77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0</v>
      </c>
      <c r="AU224">
        <v>0</v>
      </c>
      <c r="AV224">
        <v>1</v>
      </c>
      <c r="AW224">
        <v>1</v>
      </c>
      <c r="AZ224">
        <v>1</v>
      </c>
      <c r="BA224">
        <v>1</v>
      </c>
      <c r="BB224">
        <v>1</v>
      </c>
      <c r="BC224">
        <v>1.91</v>
      </c>
      <c r="BD224" t="s">
        <v>3</v>
      </c>
      <c r="BE224" t="s">
        <v>3</v>
      </c>
      <c r="BF224" t="s">
        <v>3</v>
      </c>
      <c r="BG224" t="s">
        <v>3</v>
      </c>
      <c r="BH224">
        <v>3</v>
      </c>
      <c r="BI224">
        <v>1</v>
      </c>
      <c r="BJ224" t="s">
        <v>305</v>
      </c>
      <c r="BM224">
        <v>80</v>
      </c>
      <c r="BN224">
        <v>7156650</v>
      </c>
      <c r="BO224" t="s">
        <v>302</v>
      </c>
      <c r="BP224">
        <v>1</v>
      </c>
      <c r="BQ224">
        <v>30</v>
      </c>
      <c r="BR224">
        <v>0</v>
      </c>
      <c r="BS224">
        <v>1</v>
      </c>
      <c r="BT224">
        <v>1</v>
      </c>
      <c r="BU224">
        <v>1</v>
      </c>
      <c r="BV224">
        <v>1</v>
      </c>
      <c r="BW224">
        <v>1</v>
      </c>
      <c r="BX224">
        <v>1</v>
      </c>
      <c r="BY224" t="s">
        <v>3</v>
      </c>
      <c r="BZ224">
        <v>0</v>
      </c>
      <c r="CA224">
        <v>0</v>
      </c>
      <c r="CF224">
        <v>0</v>
      </c>
      <c r="CG224">
        <v>0</v>
      </c>
      <c r="CM224">
        <v>0</v>
      </c>
      <c r="CN224" t="s">
        <v>3</v>
      </c>
      <c r="CO224">
        <v>0</v>
      </c>
      <c r="CP224">
        <f t="shared" si="207"/>
        <v>42950.76</v>
      </c>
      <c r="CQ224">
        <f t="shared" si="208"/>
        <v>14316.920700000001</v>
      </c>
      <c r="CR224">
        <f t="shared" si="209"/>
        <v>0</v>
      </c>
      <c r="CS224">
        <f t="shared" si="210"/>
        <v>0</v>
      </c>
      <c r="CT224">
        <f t="shared" si="211"/>
        <v>0</v>
      </c>
      <c r="CU224">
        <f t="shared" si="212"/>
        <v>0</v>
      </c>
      <c r="CV224">
        <f t="shared" si="213"/>
        <v>0</v>
      </c>
      <c r="CW224">
        <f t="shared" si="214"/>
        <v>0</v>
      </c>
      <c r="CX224">
        <f t="shared" si="215"/>
        <v>0</v>
      </c>
      <c r="CY224">
        <f t="shared" si="216"/>
        <v>0</v>
      </c>
      <c r="CZ224">
        <f t="shared" si="217"/>
        <v>0</v>
      </c>
      <c r="DC224" t="s">
        <v>3</v>
      </c>
      <c r="DD224" t="s">
        <v>3</v>
      </c>
      <c r="DE224" t="s">
        <v>3</v>
      </c>
      <c r="DF224" t="s">
        <v>3</v>
      </c>
      <c r="DG224" t="s">
        <v>3</v>
      </c>
      <c r="DH224" t="s">
        <v>3</v>
      </c>
      <c r="DI224" t="s">
        <v>3</v>
      </c>
      <c r="DJ224" t="s">
        <v>3</v>
      </c>
      <c r="DK224" t="s">
        <v>3</v>
      </c>
      <c r="DL224" t="s">
        <v>3</v>
      </c>
      <c r="DM224" t="s">
        <v>3</v>
      </c>
      <c r="DN224">
        <v>85</v>
      </c>
      <c r="DO224">
        <v>70</v>
      </c>
      <c r="DP224">
        <v>1.087</v>
      </c>
      <c r="DQ224">
        <v>1</v>
      </c>
      <c r="DU224">
        <v>1010</v>
      </c>
      <c r="DV224" t="s">
        <v>304</v>
      </c>
      <c r="DW224" t="s">
        <v>304</v>
      </c>
      <c r="DX224">
        <v>1</v>
      </c>
      <c r="EE224">
        <v>44846587</v>
      </c>
      <c r="EF224">
        <v>30</v>
      </c>
      <c r="EG224" t="s">
        <v>38</v>
      </c>
      <c r="EH224">
        <v>0</v>
      </c>
      <c r="EI224" t="s">
        <v>3</v>
      </c>
      <c r="EJ224">
        <v>1</v>
      </c>
      <c r="EK224">
        <v>80</v>
      </c>
      <c r="EL224" t="s">
        <v>179</v>
      </c>
      <c r="EM224" t="s">
        <v>180</v>
      </c>
      <c r="EO224" t="s">
        <v>3</v>
      </c>
      <c r="EQ224">
        <v>0</v>
      </c>
      <c r="ER224">
        <v>7495.77</v>
      </c>
      <c r="ES224">
        <v>7495.77</v>
      </c>
      <c r="ET224">
        <v>0</v>
      </c>
      <c r="EU224">
        <v>0</v>
      </c>
      <c r="EV224">
        <v>0</v>
      </c>
      <c r="EW224">
        <v>0</v>
      </c>
      <c r="EX224">
        <v>0</v>
      </c>
      <c r="FQ224">
        <v>0</v>
      </c>
      <c r="FR224">
        <f t="shared" si="218"/>
        <v>0</v>
      </c>
      <c r="FS224">
        <v>0</v>
      </c>
      <c r="FX224">
        <v>85</v>
      </c>
      <c r="FY224">
        <v>70</v>
      </c>
      <c r="GA224" t="s">
        <v>3</v>
      </c>
      <c r="GD224">
        <v>0</v>
      </c>
      <c r="GF224">
        <v>1452044937</v>
      </c>
      <c r="GG224">
        <v>2</v>
      </c>
      <c r="GH224">
        <v>1</v>
      </c>
      <c r="GI224">
        <v>3</v>
      </c>
      <c r="GJ224">
        <v>0</v>
      </c>
      <c r="GK224">
        <f>ROUND(R224*(S12)/100,2)</f>
        <v>0</v>
      </c>
      <c r="GL224">
        <f t="shared" si="219"/>
        <v>0</v>
      </c>
      <c r="GM224">
        <f t="shared" si="220"/>
        <v>42950.76</v>
      </c>
      <c r="GN224">
        <f t="shared" si="221"/>
        <v>42950.76</v>
      </c>
      <c r="GO224">
        <f t="shared" si="222"/>
        <v>0</v>
      </c>
      <c r="GP224">
        <f t="shared" si="223"/>
        <v>0</v>
      </c>
      <c r="GR224">
        <v>0</v>
      </c>
      <c r="GS224">
        <v>3</v>
      </c>
      <c r="GT224">
        <v>0</v>
      </c>
      <c r="GU224" t="s">
        <v>3</v>
      </c>
      <c r="GV224">
        <f t="shared" si="224"/>
        <v>0</v>
      </c>
      <c r="GW224">
        <v>1</v>
      </c>
      <c r="GX224">
        <f t="shared" si="225"/>
        <v>0</v>
      </c>
      <c r="HA224">
        <v>0</v>
      </c>
      <c r="HB224">
        <v>0</v>
      </c>
      <c r="IK224">
        <v>0</v>
      </c>
    </row>
    <row r="225" spans="1:255" x14ac:dyDescent="0.2">
      <c r="A225" s="2">
        <v>18</v>
      </c>
      <c r="B225" s="2">
        <v>1</v>
      </c>
      <c r="C225" s="2">
        <v>185</v>
      </c>
      <c r="D225" s="2"/>
      <c r="E225" s="2" t="s">
        <v>306</v>
      </c>
      <c r="F225" s="2" t="s">
        <v>307</v>
      </c>
      <c r="G225" s="2" t="s">
        <v>308</v>
      </c>
      <c r="H225" s="2" t="s">
        <v>304</v>
      </c>
      <c r="I225" s="2">
        <f>I221*J225</f>
        <v>4</v>
      </c>
      <c r="J225" s="2">
        <v>40</v>
      </c>
      <c r="K225" s="2"/>
      <c r="L225" s="2"/>
      <c r="M225" s="2"/>
      <c r="N225" s="2"/>
      <c r="O225" s="2">
        <f t="shared" si="192"/>
        <v>2956.68</v>
      </c>
      <c r="P225" s="2">
        <f t="shared" si="193"/>
        <v>2956.68</v>
      </c>
      <c r="Q225" s="2">
        <f t="shared" si="194"/>
        <v>0</v>
      </c>
      <c r="R225" s="2">
        <f t="shared" si="195"/>
        <v>0</v>
      </c>
      <c r="S225" s="2">
        <f t="shared" si="196"/>
        <v>0</v>
      </c>
      <c r="T225" s="2">
        <f t="shared" si="197"/>
        <v>0</v>
      </c>
      <c r="U225" s="2">
        <f t="shared" si="198"/>
        <v>0</v>
      </c>
      <c r="V225" s="2">
        <f t="shared" si="199"/>
        <v>0</v>
      </c>
      <c r="W225" s="2">
        <f t="shared" si="200"/>
        <v>0</v>
      </c>
      <c r="X225" s="2">
        <f t="shared" si="201"/>
        <v>0</v>
      </c>
      <c r="Y225" s="2">
        <f t="shared" si="202"/>
        <v>0</v>
      </c>
      <c r="Z225" s="2"/>
      <c r="AA225" s="2">
        <v>45037306</v>
      </c>
      <c r="AB225" s="2">
        <f t="shared" si="203"/>
        <v>739.17</v>
      </c>
      <c r="AC225" s="2">
        <f t="shared" si="204"/>
        <v>739.17</v>
      </c>
      <c r="AD225" s="2">
        <f t="shared" si="228"/>
        <v>0</v>
      </c>
      <c r="AE225" s="2">
        <f t="shared" si="228"/>
        <v>0</v>
      </c>
      <c r="AF225" s="2">
        <f t="shared" si="228"/>
        <v>0</v>
      </c>
      <c r="AG225" s="2">
        <f t="shared" si="205"/>
        <v>0</v>
      </c>
      <c r="AH225" s="2">
        <f t="shared" si="229"/>
        <v>0</v>
      </c>
      <c r="AI225" s="2">
        <f t="shared" si="229"/>
        <v>0</v>
      </c>
      <c r="AJ225" s="2">
        <f t="shared" si="206"/>
        <v>0</v>
      </c>
      <c r="AK225" s="2">
        <v>739.17</v>
      </c>
      <c r="AL225" s="2">
        <v>739.17</v>
      </c>
      <c r="AM225" s="2">
        <v>0</v>
      </c>
      <c r="AN225" s="2">
        <v>0</v>
      </c>
      <c r="AO225" s="2">
        <v>0</v>
      </c>
      <c r="AP225" s="2">
        <v>0</v>
      </c>
      <c r="AQ225" s="2">
        <v>0</v>
      </c>
      <c r="AR225" s="2">
        <v>0</v>
      </c>
      <c r="AS225" s="2">
        <v>0</v>
      </c>
      <c r="AT225" s="2">
        <v>0</v>
      </c>
      <c r="AU225" s="2">
        <v>0</v>
      </c>
      <c r="AV225" s="2">
        <v>1</v>
      </c>
      <c r="AW225" s="2">
        <v>1</v>
      </c>
      <c r="AX225" s="2"/>
      <c r="AY225" s="2"/>
      <c r="AZ225" s="2">
        <v>1</v>
      </c>
      <c r="BA225" s="2">
        <v>1</v>
      </c>
      <c r="BB225" s="2">
        <v>1</v>
      </c>
      <c r="BC225" s="2">
        <v>1</v>
      </c>
      <c r="BD225" s="2" t="s">
        <v>3</v>
      </c>
      <c r="BE225" s="2" t="s">
        <v>3</v>
      </c>
      <c r="BF225" s="2" t="s">
        <v>3</v>
      </c>
      <c r="BG225" s="2" t="s">
        <v>3</v>
      </c>
      <c r="BH225" s="2">
        <v>3</v>
      </c>
      <c r="BI225" s="2">
        <v>1</v>
      </c>
      <c r="BJ225" s="2" t="s">
        <v>309</v>
      </c>
      <c r="BK225" s="2"/>
      <c r="BL225" s="2"/>
      <c r="BM225" s="2">
        <v>80</v>
      </c>
      <c r="BN225" s="2">
        <v>7156650</v>
      </c>
      <c r="BO225" s="2" t="s">
        <v>3</v>
      </c>
      <c r="BP225" s="2">
        <v>0</v>
      </c>
      <c r="BQ225" s="2">
        <v>30</v>
      </c>
      <c r="BR225" s="2">
        <v>0</v>
      </c>
      <c r="BS225" s="2">
        <v>1</v>
      </c>
      <c r="BT225" s="2">
        <v>1</v>
      </c>
      <c r="BU225" s="2">
        <v>1</v>
      </c>
      <c r="BV225" s="2">
        <v>1</v>
      </c>
      <c r="BW225" s="2">
        <v>1</v>
      </c>
      <c r="BX225" s="2">
        <v>1</v>
      </c>
      <c r="BY225" s="2" t="s">
        <v>3</v>
      </c>
      <c r="BZ225" s="2">
        <v>0</v>
      </c>
      <c r="CA225" s="2">
        <v>0</v>
      </c>
      <c r="CB225" s="2"/>
      <c r="CC225" s="2"/>
      <c r="CD225" s="2"/>
      <c r="CE225" s="2"/>
      <c r="CF225" s="2">
        <v>0</v>
      </c>
      <c r="CG225" s="2">
        <v>0</v>
      </c>
      <c r="CH225" s="2"/>
      <c r="CI225" s="2"/>
      <c r="CJ225" s="2"/>
      <c r="CK225" s="2"/>
      <c r="CL225" s="2"/>
      <c r="CM225" s="2">
        <v>0</v>
      </c>
      <c r="CN225" s="2" t="s">
        <v>3</v>
      </c>
      <c r="CO225" s="2">
        <v>0</v>
      </c>
      <c r="CP225" s="2">
        <f t="shared" si="207"/>
        <v>2956.68</v>
      </c>
      <c r="CQ225" s="2">
        <f t="shared" si="208"/>
        <v>739.17</v>
      </c>
      <c r="CR225" s="2">
        <f t="shared" si="209"/>
        <v>0</v>
      </c>
      <c r="CS225" s="2">
        <f t="shared" si="210"/>
        <v>0</v>
      </c>
      <c r="CT225" s="2">
        <f t="shared" si="211"/>
        <v>0</v>
      </c>
      <c r="CU225" s="2">
        <f t="shared" si="212"/>
        <v>0</v>
      </c>
      <c r="CV225" s="2">
        <f t="shared" si="213"/>
        <v>0</v>
      </c>
      <c r="CW225" s="2">
        <f t="shared" si="214"/>
        <v>0</v>
      </c>
      <c r="CX225" s="2">
        <f t="shared" si="215"/>
        <v>0</v>
      </c>
      <c r="CY225" s="2">
        <f t="shared" si="216"/>
        <v>0</v>
      </c>
      <c r="CZ225" s="2">
        <f t="shared" si="217"/>
        <v>0</v>
      </c>
      <c r="DA225" s="2"/>
      <c r="DB225" s="2"/>
      <c r="DC225" s="2" t="s">
        <v>3</v>
      </c>
      <c r="DD225" s="2" t="s">
        <v>3</v>
      </c>
      <c r="DE225" s="2" t="s">
        <v>3</v>
      </c>
      <c r="DF225" s="2" t="s">
        <v>3</v>
      </c>
      <c r="DG225" s="2" t="s">
        <v>3</v>
      </c>
      <c r="DH225" s="2" t="s">
        <v>3</v>
      </c>
      <c r="DI225" s="2" t="s">
        <v>3</v>
      </c>
      <c r="DJ225" s="2" t="s">
        <v>3</v>
      </c>
      <c r="DK225" s="2" t="s">
        <v>3</v>
      </c>
      <c r="DL225" s="2" t="s">
        <v>3</v>
      </c>
      <c r="DM225" s="2" t="s">
        <v>3</v>
      </c>
      <c r="DN225" s="2">
        <v>85</v>
      </c>
      <c r="DO225" s="2">
        <v>70</v>
      </c>
      <c r="DP225" s="2">
        <v>1.087</v>
      </c>
      <c r="DQ225" s="2">
        <v>1</v>
      </c>
      <c r="DR225" s="2"/>
      <c r="DS225" s="2"/>
      <c r="DT225" s="2"/>
      <c r="DU225" s="2">
        <v>1010</v>
      </c>
      <c r="DV225" s="2" t="s">
        <v>304</v>
      </c>
      <c r="DW225" s="2" t="s">
        <v>304</v>
      </c>
      <c r="DX225" s="2">
        <v>1</v>
      </c>
      <c r="DY225" s="2"/>
      <c r="DZ225" s="2"/>
      <c r="EA225" s="2"/>
      <c r="EB225" s="2"/>
      <c r="EC225" s="2"/>
      <c r="ED225" s="2"/>
      <c r="EE225" s="2">
        <v>44846587</v>
      </c>
      <c r="EF225" s="2">
        <v>30</v>
      </c>
      <c r="EG225" s="2" t="s">
        <v>38</v>
      </c>
      <c r="EH225" s="2">
        <v>0</v>
      </c>
      <c r="EI225" s="2" t="s">
        <v>3</v>
      </c>
      <c r="EJ225" s="2">
        <v>1</v>
      </c>
      <c r="EK225" s="2">
        <v>80</v>
      </c>
      <c r="EL225" s="2" t="s">
        <v>179</v>
      </c>
      <c r="EM225" s="2" t="s">
        <v>180</v>
      </c>
      <c r="EN225" s="2"/>
      <c r="EO225" s="2" t="s">
        <v>3</v>
      </c>
      <c r="EP225" s="2"/>
      <c r="EQ225" s="2">
        <v>0</v>
      </c>
      <c r="ER225" s="2">
        <v>739.17</v>
      </c>
      <c r="ES225" s="2">
        <v>739.17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>
        <v>0</v>
      </c>
      <c r="FR225" s="2">
        <f t="shared" si="218"/>
        <v>0</v>
      </c>
      <c r="FS225" s="2">
        <v>0</v>
      </c>
      <c r="FT225" s="2"/>
      <c r="FU225" s="2"/>
      <c r="FV225" s="2"/>
      <c r="FW225" s="2"/>
      <c r="FX225" s="2">
        <v>85</v>
      </c>
      <c r="FY225" s="2">
        <v>70</v>
      </c>
      <c r="FZ225" s="2"/>
      <c r="GA225" s="2" t="s">
        <v>3</v>
      </c>
      <c r="GB225" s="2"/>
      <c r="GC225" s="2"/>
      <c r="GD225" s="2">
        <v>0</v>
      </c>
      <c r="GE225" s="2"/>
      <c r="GF225" s="2">
        <v>-105742610</v>
      </c>
      <c r="GG225" s="2">
        <v>2</v>
      </c>
      <c r="GH225" s="2">
        <v>1</v>
      </c>
      <c r="GI225" s="2">
        <v>3</v>
      </c>
      <c r="GJ225" s="2">
        <v>0</v>
      </c>
      <c r="GK225" s="2">
        <f>ROUND(R225*(R12)/100,2)</f>
        <v>0</v>
      </c>
      <c r="GL225" s="2">
        <f t="shared" si="219"/>
        <v>0</v>
      </c>
      <c r="GM225" s="2">
        <f t="shared" si="220"/>
        <v>2956.68</v>
      </c>
      <c r="GN225" s="2">
        <f t="shared" si="221"/>
        <v>2956.68</v>
      </c>
      <c r="GO225" s="2">
        <f t="shared" si="222"/>
        <v>0</v>
      </c>
      <c r="GP225" s="2">
        <f t="shared" si="223"/>
        <v>0</v>
      </c>
      <c r="GQ225" s="2"/>
      <c r="GR225" s="2">
        <v>0</v>
      </c>
      <c r="GS225" s="2">
        <v>3</v>
      </c>
      <c r="GT225" s="2">
        <v>0</v>
      </c>
      <c r="GU225" s="2" t="s">
        <v>3</v>
      </c>
      <c r="GV225" s="2">
        <f t="shared" si="224"/>
        <v>0</v>
      </c>
      <c r="GW225" s="2">
        <v>1</v>
      </c>
      <c r="GX225" s="2">
        <f t="shared" si="225"/>
        <v>0</v>
      </c>
      <c r="GY225" s="2"/>
      <c r="GZ225" s="2"/>
      <c r="HA225" s="2">
        <v>0</v>
      </c>
      <c r="HB225" s="2">
        <v>0</v>
      </c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2"/>
      <c r="HZ225" s="2"/>
      <c r="IA225" s="2"/>
      <c r="IB225" s="2"/>
      <c r="IC225" s="2"/>
      <c r="ID225" s="2"/>
      <c r="IE225" s="2"/>
      <c r="IF225" s="2"/>
      <c r="IG225" s="2"/>
      <c r="IH225" s="2"/>
      <c r="II225" s="2"/>
      <c r="IJ225" s="2"/>
      <c r="IK225" s="2">
        <v>0</v>
      </c>
      <c r="IL225" s="2"/>
      <c r="IM225" s="2"/>
      <c r="IN225" s="2"/>
      <c r="IO225" s="2"/>
      <c r="IP225" s="2"/>
      <c r="IQ225" s="2"/>
      <c r="IR225" s="2"/>
      <c r="IS225" s="2"/>
      <c r="IT225" s="2"/>
      <c r="IU225" s="2"/>
    </row>
    <row r="226" spans="1:255" x14ac:dyDescent="0.2">
      <c r="A226">
        <v>18</v>
      </c>
      <c r="B226">
        <v>1</v>
      </c>
      <c r="C226">
        <v>193</v>
      </c>
      <c r="E226" t="s">
        <v>306</v>
      </c>
      <c r="F226" t="s">
        <v>307</v>
      </c>
      <c r="G226" t="s">
        <v>308</v>
      </c>
      <c r="H226" t="s">
        <v>304</v>
      </c>
      <c r="I226">
        <f>I222*J226</f>
        <v>4</v>
      </c>
      <c r="J226">
        <v>40</v>
      </c>
      <c r="O226">
        <f t="shared" si="192"/>
        <v>8544.81</v>
      </c>
      <c r="P226">
        <f t="shared" si="193"/>
        <v>8544.81</v>
      </c>
      <c r="Q226">
        <f t="shared" si="194"/>
        <v>0</v>
      </c>
      <c r="R226">
        <f t="shared" si="195"/>
        <v>0</v>
      </c>
      <c r="S226">
        <f t="shared" si="196"/>
        <v>0</v>
      </c>
      <c r="T226">
        <f t="shared" si="197"/>
        <v>0</v>
      </c>
      <c r="U226">
        <f t="shared" si="198"/>
        <v>0</v>
      </c>
      <c r="V226">
        <f t="shared" si="199"/>
        <v>0</v>
      </c>
      <c r="W226">
        <f t="shared" si="200"/>
        <v>0</v>
      </c>
      <c r="X226">
        <f t="shared" si="201"/>
        <v>0</v>
      </c>
      <c r="Y226">
        <f t="shared" si="202"/>
        <v>0</v>
      </c>
      <c r="AA226">
        <v>45037307</v>
      </c>
      <c r="AB226">
        <f t="shared" si="203"/>
        <v>739.17</v>
      </c>
      <c r="AC226">
        <f t="shared" si="204"/>
        <v>739.17</v>
      </c>
      <c r="AD226">
        <f t="shared" si="228"/>
        <v>0</v>
      </c>
      <c r="AE226">
        <f t="shared" si="228"/>
        <v>0</v>
      </c>
      <c r="AF226">
        <f t="shared" si="228"/>
        <v>0</v>
      </c>
      <c r="AG226">
        <f t="shared" si="205"/>
        <v>0</v>
      </c>
      <c r="AH226">
        <f t="shared" si="229"/>
        <v>0</v>
      </c>
      <c r="AI226">
        <f t="shared" si="229"/>
        <v>0</v>
      </c>
      <c r="AJ226">
        <f t="shared" si="206"/>
        <v>0</v>
      </c>
      <c r="AK226">
        <v>739.17</v>
      </c>
      <c r="AL226">
        <v>739.17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0</v>
      </c>
      <c r="AU226">
        <v>0</v>
      </c>
      <c r="AV226">
        <v>1</v>
      </c>
      <c r="AW226">
        <v>1</v>
      </c>
      <c r="AZ226">
        <v>1</v>
      </c>
      <c r="BA226">
        <v>1</v>
      </c>
      <c r="BB226">
        <v>1</v>
      </c>
      <c r="BC226">
        <v>2.89</v>
      </c>
      <c r="BD226" t="s">
        <v>3</v>
      </c>
      <c r="BE226" t="s">
        <v>3</v>
      </c>
      <c r="BF226" t="s">
        <v>3</v>
      </c>
      <c r="BG226" t="s">
        <v>3</v>
      </c>
      <c r="BH226">
        <v>3</v>
      </c>
      <c r="BI226">
        <v>1</v>
      </c>
      <c r="BJ226" t="s">
        <v>309</v>
      </c>
      <c r="BM226">
        <v>80</v>
      </c>
      <c r="BN226">
        <v>7156650</v>
      </c>
      <c r="BO226" t="s">
        <v>307</v>
      </c>
      <c r="BP226">
        <v>1</v>
      </c>
      <c r="BQ226">
        <v>30</v>
      </c>
      <c r="BR226">
        <v>0</v>
      </c>
      <c r="BS226">
        <v>1</v>
      </c>
      <c r="BT226">
        <v>1</v>
      </c>
      <c r="BU226">
        <v>1</v>
      </c>
      <c r="BV226">
        <v>1</v>
      </c>
      <c r="BW226">
        <v>1</v>
      </c>
      <c r="BX226">
        <v>1</v>
      </c>
      <c r="BY226" t="s">
        <v>3</v>
      </c>
      <c r="BZ226">
        <v>0</v>
      </c>
      <c r="CA226">
        <v>0</v>
      </c>
      <c r="CF226">
        <v>0</v>
      </c>
      <c r="CG226">
        <v>0</v>
      </c>
      <c r="CM226">
        <v>0</v>
      </c>
      <c r="CN226" t="s">
        <v>3</v>
      </c>
      <c r="CO226">
        <v>0</v>
      </c>
      <c r="CP226">
        <f t="shared" si="207"/>
        <v>8544.81</v>
      </c>
      <c r="CQ226">
        <f t="shared" si="208"/>
        <v>2136.2013000000002</v>
      </c>
      <c r="CR226">
        <f t="shared" si="209"/>
        <v>0</v>
      </c>
      <c r="CS226">
        <f t="shared" si="210"/>
        <v>0</v>
      </c>
      <c r="CT226">
        <f t="shared" si="211"/>
        <v>0</v>
      </c>
      <c r="CU226">
        <f t="shared" si="212"/>
        <v>0</v>
      </c>
      <c r="CV226">
        <f t="shared" si="213"/>
        <v>0</v>
      </c>
      <c r="CW226">
        <f t="shared" si="214"/>
        <v>0</v>
      </c>
      <c r="CX226">
        <f t="shared" si="215"/>
        <v>0</v>
      </c>
      <c r="CY226">
        <f t="shared" si="216"/>
        <v>0</v>
      </c>
      <c r="CZ226">
        <f t="shared" si="217"/>
        <v>0</v>
      </c>
      <c r="DC226" t="s">
        <v>3</v>
      </c>
      <c r="DD226" t="s">
        <v>3</v>
      </c>
      <c r="DE226" t="s">
        <v>3</v>
      </c>
      <c r="DF226" t="s">
        <v>3</v>
      </c>
      <c r="DG226" t="s">
        <v>3</v>
      </c>
      <c r="DH226" t="s">
        <v>3</v>
      </c>
      <c r="DI226" t="s">
        <v>3</v>
      </c>
      <c r="DJ226" t="s">
        <v>3</v>
      </c>
      <c r="DK226" t="s">
        <v>3</v>
      </c>
      <c r="DL226" t="s">
        <v>3</v>
      </c>
      <c r="DM226" t="s">
        <v>3</v>
      </c>
      <c r="DN226">
        <v>85</v>
      </c>
      <c r="DO226">
        <v>70</v>
      </c>
      <c r="DP226">
        <v>1.087</v>
      </c>
      <c r="DQ226">
        <v>1</v>
      </c>
      <c r="DU226">
        <v>1010</v>
      </c>
      <c r="DV226" t="s">
        <v>304</v>
      </c>
      <c r="DW226" t="s">
        <v>304</v>
      </c>
      <c r="DX226">
        <v>1</v>
      </c>
      <c r="EE226">
        <v>44846587</v>
      </c>
      <c r="EF226">
        <v>30</v>
      </c>
      <c r="EG226" t="s">
        <v>38</v>
      </c>
      <c r="EH226">
        <v>0</v>
      </c>
      <c r="EI226" t="s">
        <v>3</v>
      </c>
      <c r="EJ226">
        <v>1</v>
      </c>
      <c r="EK226">
        <v>80</v>
      </c>
      <c r="EL226" t="s">
        <v>179</v>
      </c>
      <c r="EM226" t="s">
        <v>180</v>
      </c>
      <c r="EO226" t="s">
        <v>3</v>
      </c>
      <c r="EQ226">
        <v>0</v>
      </c>
      <c r="ER226">
        <v>739.17</v>
      </c>
      <c r="ES226">
        <v>739.17</v>
      </c>
      <c r="ET226">
        <v>0</v>
      </c>
      <c r="EU226">
        <v>0</v>
      </c>
      <c r="EV226">
        <v>0</v>
      </c>
      <c r="EW226">
        <v>0</v>
      </c>
      <c r="EX226">
        <v>0</v>
      </c>
      <c r="FQ226">
        <v>0</v>
      </c>
      <c r="FR226">
        <f t="shared" si="218"/>
        <v>0</v>
      </c>
      <c r="FS226">
        <v>0</v>
      </c>
      <c r="FX226">
        <v>85</v>
      </c>
      <c r="FY226">
        <v>70</v>
      </c>
      <c r="GA226" t="s">
        <v>3</v>
      </c>
      <c r="GD226">
        <v>0</v>
      </c>
      <c r="GF226">
        <v>-105742610</v>
      </c>
      <c r="GG226">
        <v>2</v>
      </c>
      <c r="GH226">
        <v>1</v>
      </c>
      <c r="GI226">
        <v>3</v>
      </c>
      <c r="GJ226">
        <v>0</v>
      </c>
      <c r="GK226">
        <f>ROUND(R226*(S12)/100,2)</f>
        <v>0</v>
      </c>
      <c r="GL226">
        <f t="shared" si="219"/>
        <v>0</v>
      </c>
      <c r="GM226">
        <f t="shared" si="220"/>
        <v>8544.81</v>
      </c>
      <c r="GN226">
        <f t="shared" si="221"/>
        <v>8544.81</v>
      </c>
      <c r="GO226">
        <f t="shared" si="222"/>
        <v>0</v>
      </c>
      <c r="GP226">
        <f t="shared" si="223"/>
        <v>0</v>
      </c>
      <c r="GR226">
        <v>0</v>
      </c>
      <c r="GS226">
        <v>3</v>
      </c>
      <c r="GT226">
        <v>0</v>
      </c>
      <c r="GU226" t="s">
        <v>3</v>
      </c>
      <c r="GV226">
        <f t="shared" si="224"/>
        <v>0</v>
      </c>
      <c r="GW226">
        <v>1</v>
      </c>
      <c r="GX226">
        <f t="shared" si="225"/>
        <v>0</v>
      </c>
      <c r="HA226">
        <v>0</v>
      </c>
      <c r="HB226">
        <v>0</v>
      </c>
      <c r="IK226">
        <v>0</v>
      </c>
    </row>
    <row r="227" spans="1:255" x14ac:dyDescent="0.2">
      <c r="A227" s="2">
        <v>17</v>
      </c>
      <c r="B227" s="2">
        <v>1</v>
      </c>
      <c r="C227" s="2">
        <f>ROW(SmtRes!A206)</f>
        <v>206</v>
      </c>
      <c r="D227" s="2">
        <f>ROW(EtalonRes!A205)</f>
        <v>205</v>
      </c>
      <c r="E227" s="2" t="s">
        <v>310</v>
      </c>
      <c r="F227" s="2" t="s">
        <v>311</v>
      </c>
      <c r="G227" s="2" t="s">
        <v>312</v>
      </c>
      <c r="H227" s="2" t="s">
        <v>313</v>
      </c>
      <c r="I227" s="2">
        <f>ROUND(3/10,9)</f>
        <v>0.3</v>
      </c>
      <c r="J227" s="2">
        <v>0</v>
      </c>
      <c r="K227" s="2"/>
      <c r="L227" s="2"/>
      <c r="M227" s="2"/>
      <c r="N227" s="2"/>
      <c r="O227" s="2">
        <f t="shared" si="192"/>
        <v>1066.51</v>
      </c>
      <c r="P227" s="2">
        <f t="shared" si="193"/>
        <v>829.9</v>
      </c>
      <c r="Q227" s="2">
        <f t="shared" si="194"/>
        <v>8.75</v>
      </c>
      <c r="R227" s="2">
        <f t="shared" si="195"/>
        <v>1.08</v>
      </c>
      <c r="S227" s="2">
        <f t="shared" si="196"/>
        <v>227.86</v>
      </c>
      <c r="T227" s="2">
        <f t="shared" si="197"/>
        <v>0</v>
      </c>
      <c r="U227" s="2">
        <f t="shared" si="198"/>
        <v>19.382099999999998</v>
      </c>
      <c r="V227" s="2">
        <f t="shared" si="199"/>
        <v>0</v>
      </c>
      <c r="W227" s="2">
        <f t="shared" si="200"/>
        <v>0</v>
      </c>
      <c r="X227" s="2">
        <f t="shared" si="201"/>
        <v>0</v>
      </c>
      <c r="Y227" s="2">
        <f t="shared" si="202"/>
        <v>0</v>
      </c>
      <c r="Z227" s="2"/>
      <c r="AA227" s="2">
        <v>45037306</v>
      </c>
      <c r="AB227" s="2">
        <f t="shared" si="203"/>
        <v>3555</v>
      </c>
      <c r="AC227" s="2">
        <f t="shared" si="204"/>
        <v>2766.32</v>
      </c>
      <c r="AD227" s="2">
        <f>ROUND(((ET227*1.25)),6)</f>
        <v>29.162500000000001</v>
      </c>
      <c r="AE227" s="2">
        <f>ROUND(((EU227*1.25)),6)</f>
        <v>3.6</v>
      </c>
      <c r="AF227" s="2">
        <f>ROUND(((EV227*1.15)),6)</f>
        <v>759.51750000000004</v>
      </c>
      <c r="AG227" s="2">
        <f t="shared" si="205"/>
        <v>0</v>
      </c>
      <c r="AH227" s="2">
        <f>((EW227*1.15))</f>
        <v>64.606999999999999</v>
      </c>
      <c r="AI227" s="2">
        <f>((EX227*1.25))</f>
        <v>0</v>
      </c>
      <c r="AJ227" s="2">
        <f t="shared" si="206"/>
        <v>0</v>
      </c>
      <c r="AK227" s="2">
        <v>3450.1</v>
      </c>
      <c r="AL227" s="2">
        <v>2766.32</v>
      </c>
      <c r="AM227" s="2">
        <v>23.33</v>
      </c>
      <c r="AN227" s="2">
        <v>2.88</v>
      </c>
      <c r="AO227" s="2">
        <v>660.45</v>
      </c>
      <c r="AP227" s="2">
        <v>0</v>
      </c>
      <c r="AQ227" s="2">
        <v>56.18</v>
      </c>
      <c r="AR227" s="2">
        <v>0</v>
      </c>
      <c r="AS227" s="2">
        <v>0</v>
      </c>
      <c r="AT227" s="2">
        <v>0</v>
      </c>
      <c r="AU227" s="2">
        <v>0</v>
      </c>
      <c r="AV227" s="2">
        <v>1</v>
      </c>
      <c r="AW227" s="2">
        <v>1</v>
      </c>
      <c r="AX227" s="2"/>
      <c r="AY227" s="2"/>
      <c r="AZ227" s="2">
        <v>1</v>
      </c>
      <c r="BA227" s="2">
        <v>1</v>
      </c>
      <c r="BB227" s="2">
        <v>1</v>
      </c>
      <c r="BC227" s="2">
        <v>1</v>
      </c>
      <c r="BD227" s="2" t="s">
        <v>3</v>
      </c>
      <c r="BE227" s="2" t="s">
        <v>3</v>
      </c>
      <c r="BF227" s="2" t="s">
        <v>3</v>
      </c>
      <c r="BG227" s="2" t="s">
        <v>3</v>
      </c>
      <c r="BH227" s="2">
        <v>0</v>
      </c>
      <c r="BI227" s="2">
        <v>1</v>
      </c>
      <c r="BJ227" s="2" t="s">
        <v>314</v>
      </c>
      <c r="BK227" s="2"/>
      <c r="BL227" s="2"/>
      <c r="BM227" s="2">
        <v>1553</v>
      </c>
      <c r="BN227" s="2">
        <v>7156650</v>
      </c>
      <c r="BO227" s="2" t="s">
        <v>3</v>
      </c>
      <c r="BP227" s="2">
        <v>0</v>
      </c>
      <c r="BQ227" s="2">
        <v>30</v>
      </c>
      <c r="BR227" s="2">
        <v>0</v>
      </c>
      <c r="BS227" s="2">
        <v>1</v>
      </c>
      <c r="BT227" s="2">
        <v>1</v>
      </c>
      <c r="BU227" s="2">
        <v>1</v>
      </c>
      <c r="BV227" s="2">
        <v>1</v>
      </c>
      <c r="BW227" s="2">
        <v>1</v>
      </c>
      <c r="BX227" s="2">
        <v>1</v>
      </c>
      <c r="BY227" s="2" t="s">
        <v>3</v>
      </c>
      <c r="BZ227" s="2">
        <v>0</v>
      </c>
      <c r="CA227" s="2">
        <v>0</v>
      </c>
      <c r="CB227" s="2"/>
      <c r="CC227" s="2"/>
      <c r="CD227" s="2"/>
      <c r="CE227" s="2"/>
      <c r="CF227" s="2">
        <v>0</v>
      </c>
      <c r="CG227" s="2">
        <v>0</v>
      </c>
      <c r="CH227" s="2"/>
      <c r="CI227" s="2"/>
      <c r="CJ227" s="2"/>
      <c r="CK227" s="2"/>
      <c r="CL227" s="2"/>
      <c r="CM227" s="2">
        <v>0</v>
      </c>
      <c r="CN227" s="2" t="s">
        <v>3</v>
      </c>
      <c r="CO227" s="2">
        <v>0</v>
      </c>
      <c r="CP227" s="2">
        <f t="shared" si="207"/>
        <v>1066.51</v>
      </c>
      <c r="CQ227" s="2">
        <f t="shared" si="208"/>
        <v>2766.32</v>
      </c>
      <c r="CR227" s="2">
        <f t="shared" si="209"/>
        <v>29.162500000000001</v>
      </c>
      <c r="CS227" s="2">
        <f t="shared" si="210"/>
        <v>3.6</v>
      </c>
      <c r="CT227" s="2">
        <f t="shared" si="211"/>
        <v>759.51750000000004</v>
      </c>
      <c r="CU227" s="2">
        <f t="shared" si="212"/>
        <v>0</v>
      </c>
      <c r="CV227" s="2">
        <f t="shared" si="213"/>
        <v>64.606999999999999</v>
      </c>
      <c r="CW227" s="2">
        <f t="shared" si="214"/>
        <v>0</v>
      </c>
      <c r="CX227" s="2">
        <f t="shared" si="215"/>
        <v>0</v>
      </c>
      <c r="CY227" s="2">
        <f t="shared" si="216"/>
        <v>0</v>
      </c>
      <c r="CZ227" s="2">
        <f t="shared" si="217"/>
        <v>0</v>
      </c>
      <c r="DA227" s="2"/>
      <c r="DB227" s="2"/>
      <c r="DC227" s="2" t="s">
        <v>3</v>
      </c>
      <c r="DD227" s="2" t="s">
        <v>3</v>
      </c>
      <c r="DE227" s="2" t="s">
        <v>36</v>
      </c>
      <c r="DF227" s="2" t="s">
        <v>36</v>
      </c>
      <c r="DG227" s="2" t="s">
        <v>37</v>
      </c>
      <c r="DH227" s="2" t="s">
        <v>3</v>
      </c>
      <c r="DI227" s="2" t="s">
        <v>37</v>
      </c>
      <c r="DJ227" s="2" t="s">
        <v>36</v>
      </c>
      <c r="DK227" s="2" t="s">
        <v>3</v>
      </c>
      <c r="DL227" s="2" t="s">
        <v>3</v>
      </c>
      <c r="DM227" s="2" t="s">
        <v>3</v>
      </c>
      <c r="DN227" s="2">
        <v>85</v>
      </c>
      <c r="DO227" s="2">
        <v>70</v>
      </c>
      <c r="DP227" s="2">
        <v>1.087</v>
      </c>
      <c r="DQ227" s="2">
        <v>1</v>
      </c>
      <c r="DR227" s="2"/>
      <c r="DS227" s="2"/>
      <c r="DT227" s="2"/>
      <c r="DU227" s="2">
        <v>1010</v>
      </c>
      <c r="DV227" s="2" t="s">
        <v>313</v>
      </c>
      <c r="DW227" s="2" t="s">
        <v>313</v>
      </c>
      <c r="DX227" s="2">
        <v>10</v>
      </c>
      <c r="DY227" s="2"/>
      <c r="DZ227" s="2"/>
      <c r="EA227" s="2"/>
      <c r="EB227" s="2"/>
      <c r="EC227" s="2"/>
      <c r="ED227" s="2"/>
      <c r="EE227" s="2">
        <v>44848060</v>
      </c>
      <c r="EF227" s="2">
        <v>30</v>
      </c>
      <c r="EG227" s="2" t="s">
        <v>38</v>
      </c>
      <c r="EH227" s="2">
        <v>0</v>
      </c>
      <c r="EI227" s="2" t="s">
        <v>3</v>
      </c>
      <c r="EJ227" s="2">
        <v>1</v>
      </c>
      <c r="EK227" s="2">
        <v>1553</v>
      </c>
      <c r="EL227" s="2" t="s">
        <v>315</v>
      </c>
      <c r="EM227" s="2" t="s">
        <v>316</v>
      </c>
      <c r="EN227" s="2"/>
      <c r="EO227" s="2" t="s">
        <v>3</v>
      </c>
      <c r="EP227" s="2"/>
      <c r="EQ227" s="2">
        <v>131072</v>
      </c>
      <c r="ER227" s="2">
        <v>3450.1</v>
      </c>
      <c r="ES227" s="2">
        <v>2766.32</v>
      </c>
      <c r="ET227" s="2">
        <v>23.33</v>
      </c>
      <c r="EU227" s="2">
        <v>2.88</v>
      </c>
      <c r="EV227" s="2">
        <v>660.45</v>
      </c>
      <c r="EW227" s="2">
        <v>56.18</v>
      </c>
      <c r="EX227" s="2">
        <v>0</v>
      </c>
      <c r="EY227" s="2">
        <v>0</v>
      </c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>
        <v>0</v>
      </c>
      <c r="FR227" s="2">
        <f t="shared" si="218"/>
        <v>0</v>
      </c>
      <c r="FS227" s="2">
        <v>0</v>
      </c>
      <c r="FT227" s="2"/>
      <c r="FU227" s="2"/>
      <c r="FV227" s="2"/>
      <c r="FW227" s="2"/>
      <c r="FX227" s="2">
        <v>85</v>
      </c>
      <c r="FY227" s="2">
        <v>70</v>
      </c>
      <c r="FZ227" s="2"/>
      <c r="GA227" s="2" t="s">
        <v>3</v>
      </c>
      <c r="GB227" s="2"/>
      <c r="GC227" s="2"/>
      <c r="GD227" s="2">
        <v>0</v>
      </c>
      <c r="GE227" s="2"/>
      <c r="GF227" s="2">
        <v>-894391967</v>
      </c>
      <c r="GG227" s="2">
        <v>2</v>
      </c>
      <c r="GH227" s="2">
        <v>1</v>
      </c>
      <c r="GI227" s="2">
        <v>3</v>
      </c>
      <c r="GJ227" s="2">
        <v>0</v>
      </c>
      <c r="GK227" s="2">
        <f>ROUND(R227*(R12)/100,2)</f>
        <v>1.94</v>
      </c>
      <c r="GL227" s="2">
        <f t="shared" si="219"/>
        <v>0</v>
      </c>
      <c r="GM227" s="2">
        <f t="shared" si="220"/>
        <v>1068.45</v>
      </c>
      <c r="GN227" s="2">
        <f t="shared" si="221"/>
        <v>1068.45</v>
      </c>
      <c r="GO227" s="2">
        <f t="shared" si="222"/>
        <v>0</v>
      </c>
      <c r="GP227" s="2">
        <f t="shared" si="223"/>
        <v>0</v>
      </c>
      <c r="GQ227" s="2"/>
      <c r="GR227" s="2">
        <v>0</v>
      </c>
      <c r="GS227" s="2">
        <v>3</v>
      </c>
      <c r="GT227" s="2">
        <v>0</v>
      </c>
      <c r="GU227" s="2" t="s">
        <v>3</v>
      </c>
      <c r="GV227" s="2">
        <f t="shared" si="224"/>
        <v>0</v>
      </c>
      <c r="GW227" s="2">
        <v>1</v>
      </c>
      <c r="GX227" s="2">
        <f t="shared" si="225"/>
        <v>0</v>
      </c>
      <c r="GY227" s="2"/>
      <c r="GZ227" s="2"/>
      <c r="HA227" s="2">
        <v>0</v>
      </c>
      <c r="HB227" s="2">
        <v>0</v>
      </c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2"/>
      <c r="HZ227" s="2"/>
      <c r="IA227" s="2"/>
      <c r="IB227" s="2"/>
      <c r="IC227" s="2"/>
      <c r="ID227" s="2"/>
      <c r="IE227" s="2"/>
      <c r="IF227" s="2"/>
      <c r="IG227" s="2"/>
      <c r="IH227" s="2"/>
      <c r="II227" s="2"/>
      <c r="IJ227" s="2"/>
      <c r="IK227" s="2">
        <v>0</v>
      </c>
      <c r="IL227" s="2"/>
      <c r="IM227" s="2"/>
      <c r="IN227" s="2"/>
      <c r="IO227" s="2"/>
      <c r="IP227" s="2"/>
      <c r="IQ227" s="2"/>
      <c r="IR227" s="2"/>
      <c r="IS227" s="2"/>
      <c r="IT227" s="2"/>
      <c r="IU227" s="2"/>
    </row>
    <row r="228" spans="1:255" x14ac:dyDescent="0.2">
      <c r="A228">
        <v>17</v>
      </c>
      <c r="B228">
        <v>1</v>
      </c>
      <c r="C228">
        <f>ROW(SmtRes!A218)</f>
        <v>218</v>
      </c>
      <c r="D228">
        <f>ROW(EtalonRes!A216)</f>
        <v>216</v>
      </c>
      <c r="E228" t="s">
        <v>310</v>
      </c>
      <c r="F228" t="s">
        <v>311</v>
      </c>
      <c r="G228" t="s">
        <v>312</v>
      </c>
      <c r="H228" t="s">
        <v>313</v>
      </c>
      <c r="I228">
        <f>ROUND(3/10,9)</f>
        <v>0.3</v>
      </c>
      <c r="J228">
        <v>0</v>
      </c>
      <c r="O228">
        <f t="shared" si="192"/>
        <v>8170.94</v>
      </c>
      <c r="P228">
        <f t="shared" si="193"/>
        <v>3468.97</v>
      </c>
      <c r="Q228">
        <f t="shared" si="194"/>
        <v>53.72</v>
      </c>
      <c r="R228">
        <f t="shared" si="195"/>
        <v>22.03</v>
      </c>
      <c r="S228">
        <f t="shared" si="196"/>
        <v>4648.25</v>
      </c>
      <c r="T228">
        <f t="shared" si="197"/>
        <v>0</v>
      </c>
      <c r="U228">
        <f t="shared" si="198"/>
        <v>19.382099999999998</v>
      </c>
      <c r="V228">
        <f t="shared" si="199"/>
        <v>0</v>
      </c>
      <c r="W228">
        <f t="shared" si="200"/>
        <v>0</v>
      </c>
      <c r="X228">
        <f t="shared" si="201"/>
        <v>3160.81</v>
      </c>
      <c r="Y228">
        <f t="shared" si="202"/>
        <v>1905.78</v>
      </c>
      <c r="AA228">
        <v>45037307</v>
      </c>
      <c r="AB228">
        <f t="shared" si="203"/>
        <v>3555</v>
      </c>
      <c r="AC228">
        <f t="shared" si="204"/>
        <v>2766.32</v>
      </c>
      <c r="AD228">
        <f>ROUND(((ET228*1.25)),6)</f>
        <v>29.162500000000001</v>
      </c>
      <c r="AE228">
        <f>ROUND(((EU228*1.25)),6)</f>
        <v>3.6</v>
      </c>
      <c r="AF228">
        <f>ROUND(((EV228*1.15)),6)</f>
        <v>759.51750000000004</v>
      </c>
      <c r="AG228">
        <f t="shared" si="205"/>
        <v>0</v>
      </c>
      <c r="AH228">
        <f>((EW228*1.15))</f>
        <v>64.606999999999999</v>
      </c>
      <c r="AI228">
        <f>((EX228*1.25))</f>
        <v>0</v>
      </c>
      <c r="AJ228">
        <f t="shared" si="206"/>
        <v>0</v>
      </c>
      <c r="AK228">
        <v>3450.1</v>
      </c>
      <c r="AL228">
        <v>2766.32</v>
      </c>
      <c r="AM228">
        <v>23.33</v>
      </c>
      <c r="AN228">
        <v>2.88</v>
      </c>
      <c r="AO228">
        <v>660.45</v>
      </c>
      <c r="AP228">
        <v>0</v>
      </c>
      <c r="AQ228">
        <v>56.18</v>
      </c>
      <c r="AR228">
        <v>0</v>
      </c>
      <c r="AS228">
        <v>0</v>
      </c>
      <c r="AT228">
        <v>68</v>
      </c>
      <c r="AU228">
        <v>41</v>
      </c>
      <c r="AV228">
        <v>1</v>
      </c>
      <c r="AW228">
        <v>1</v>
      </c>
      <c r="AZ228">
        <v>1</v>
      </c>
      <c r="BA228">
        <v>20.399999999999999</v>
      </c>
      <c r="BB228">
        <v>6.14</v>
      </c>
      <c r="BC228">
        <v>4.18</v>
      </c>
      <c r="BD228" t="s">
        <v>3</v>
      </c>
      <c r="BE228" t="s">
        <v>3</v>
      </c>
      <c r="BF228" t="s">
        <v>3</v>
      </c>
      <c r="BG228" t="s">
        <v>3</v>
      </c>
      <c r="BH228">
        <v>0</v>
      </c>
      <c r="BI228">
        <v>1</v>
      </c>
      <c r="BJ228" t="s">
        <v>314</v>
      </c>
      <c r="BM228">
        <v>1553</v>
      </c>
      <c r="BN228">
        <v>7156650</v>
      </c>
      <c r="BO228" t="s">
        <v>311</v>
      </c>
      <c r="BP228">
        <v>1</v>
      </c>
      <c r="BQ228">
        <v>30</v>
      </c>
      <c r="BR228">
        <v>0</v>
      </c>
      <c r="BS228">
        <v>20.399999999999999</v>
      </c>
      <c r="BT228">
        <v>1</v>
      </c>
      <c r="BU228">
        <v>1</v>
      </c>
      <c r="BV228">
        <v>1</v>
      </c>
      <c r="BW228">
        <v>1</v>
      </c>
      <c r="BX228">
        <v>1</v>
      </c>
      <c r="BY228" t="s">
        <v>3</v>
      </c>
      <c r="BZ228">
        <v>68</v>
      </c>
      <c r="CA228">
        <v>41</v>
      </c>
      <c r="CF228">
        <v>0</v>
      </c>
      <c r="CG228">
        <v>0</v>
      </c>
      <c r="CM228">
        <v>0</v>
      </c>
      <c r="CN228" t="s">
        <v>3</v>
      </c>
      <c r="CO228">
        <v>0</v>
      </c>
      <c r="CP228">
        <f t="shared" si="207"/>
        <v>8170.94</v>
      </c>
      <c r="CQ228">
        <f t="shared" si="208"/>
        <v>11563.2176</v>
      </c>
      <c r="CR228">
        <f t="shared" si="209"/>
        <v>179.05775</v>
      </c>
      <c r="CS228">
        <f t="shared" si="210"/>
        <v>73.44</v>
      </c>
      <c r="CT228">
        <f t="shared" si="211"/>
        <v>15494.156999999999</v>
      </c>
      <c r="CU228">
        <f t="shared" si="212"/>
        <v>0</v>
      </c>
      <c r="CV228">
        <f t="shared" si="213"/>
        <v>64.606999999999999</v>
      </c>
      <c r="CW228">
        <f t="shared" si="214"/>
        <v>0</v>
      </c>
      <c r="CX228">
        <f t="shared" si="215"/>
        <v>0</v>
      </c>
      <c r="CY228">
        <f t="shared" si="216"/>
        <v>3160.8100000000004</v>
      </c>
      <c r="CZ228">
        <f t="shared" si="217"/>
        <v>1905.7824999999998</v>
      </c>
      <c r="DC228" t="s">
        <v>3</v>
      </c>
      <c r="DD228" t="s">
        <v>3</v>
      </c>
      <c r="DE228" t="s">
        <v>36</v>
      </c>
      <c r="DF228" t="s">
        <v>36</v>
      </c>
      <c r="DG228" t="s">
        <v>37</v>
      </c>
      <c r="DH228" t="s">
        <v>3</v>
      </c>
      <c r="DI228" t="s">
        <v>37</v>
      </c>
      <c r="DJ228" t="s">
        <v>36</v>
      </c>
      <c r="DK228" t="s">
        <v>3</v>
      </c>
      <c r="DL228" t="s">
        <v>3</v>
      </c>
      <c r="DM228" t="s">
        <v>3</v>
      </c>
      <c r="DN228">
        <v>85</v>
      </c>
      <c r="DO228">
        <v>70</v>
      </c>
      <c r="DP228">
        <v>1.087</v>
      </c>
      <c r="DQ228">
        <v>1</v>
      </c>
      <c r="DU228">
        <v>1010</v>
      </c>
      <c r="DV228" t="s">
        <v>313</v>
      </c>
      <c r="DW228" t="s">
        <v>313</v>
      </c>
      <c r="DX228">
        <v>10</v>
      </c>
      <c r="EE228">
        <v>44848060</v>
      </c>
      <c r="EF228">
        <v>30</v>
      </c>
      <c r="EG228" t="s">
        <v>38</v>
      </c>
      <c r="EH228">
        <v>0</v>
      </c>
      <c r="EI228" t="s">
        <v>3</v>
      </c>
      <c r="EJ228">
        <v>1</v>
      </c>
      <c r="EK228">
        <v>1553</v>
      </c>
      <c r="EL228" t="s">
        <v>315</v>
      </c>
      <c r="EM228" t="s">
        <v>316</v>
      </c>
      <c r="EO228" t="s">
        <v>3</v>
      </c>
      <c r="EQ228">
        <v>131072</v>
      </c>
      <c r="ER228">
        <v>3450.1</v>
      </c>
      <c r="ES228">
        <v>2766.32</v>
      </c>
      <c r="ET228">
        <v>23.33</v>
      </c>
      <c r="EU228">
        <v>2.88</v>
      </c>
      <c r="EV228">
        <v>660.45</v>
      </c>
      <c r="EW228">
        <v>56.18</v>
      </c>
      <c r="EX228">
        <v>0</v>
      </c>
      <c r="EY228">
        <v>0</v>
      </c>
      <c r="FQ228">
        <v>0</v>
      </c>
      <c r="FR228">
        <f t="shared" si="218"/>
        <v>0</v>
      </c>
      <c r="FS228">
        <v>0</v>
      </c>
      <c r="FX228">
        <v>85</v>
      </c>
      <c r="FY228">
        <v>70</v>
      </c>
      <c r="GA228" t="s">
        <v>3</v>
      </c>
      <c r="GD228">
        <v>0</v>
      </c>
      <c r="GF228">
        <v>-894391967</v>
      </c>
      <c r="GG228">
        <v>2</v>
      </c>
      <c r="GH228">
        <v>1</v>
      </c>
      <c r="GI228">
        <v>3</v>
      </c>
      <c r="GJ228">
        <v>0</v>
      </c>
      <c r="GK228">
        <f>ROUND(R228*(S12)/100,2)</f>
        <v>37.01</v>
      </c>
      <c r="GL228">
        <f t="shared" si="219"/>
        <v>0</v>
      </c>
      <c r="GM228">
        <f t="shared" si="220"/>
        <v>13274.54</v>
      </c>
      <c r="GN228">
        <f t="shared" si="221"/>
        <v>13274.54</v>
      </c>
      <c r="GO228">
        <f t="shared" si="222"/>
        <v>0</v>
      </c>
      <c r="GP228">
        <f t="shared" si="223"/>
        <v>0</v>
      </c>
      <c r="GR228">
        <v>0</v>
      </c>
      <c r="GS228">
        <v>3</v>
      </c>
      <c r="GT228">
        <v>0</v>
      </c>
      <c r="GU228" t="s">
        <v>3</v>
      </c>
      <c r="GV228">
        <f t="shared" si="224"/>
        <v>0</v>
      </c>
      <c r="GW228">
        <v>1</v>
      </c>
      <c r="GX228">
        <f t="shared" si="225"/>
        <v>0</v>
      </c>
      <c r="HA228">
        <v>0</v>
      </c>
      <c r="HB228">
        <v>0</v>
      </c>
      <c r="IK228">
        <v>0</v>
      </c>
    </row>
    <row r="229" spans="1:255" x14ac:dyDescent="0.2">
      <c r="A229" s="2">
        <v>18</v>
      </c>
      <c r="B229" s="2">
        <v>1</v>
      </c>
      <c r="C229" s="2">
        <v>203</v>
      </c>
      <c r="D229" s="2"/>
      <c r="E229" s="2" t="s">
        <v>317</v>
      </c>
      <c r="F229" s="2" t="s">
        <v>302</v>
      </c>
      <c r="G229" s="2" t="s">
        <v>303</v>
      </c>
      <c r="H229" s="2" t="s">
        <v>304</v>
      </c>
      <c r="I229" s="2">
        <f>I227*J229</f>
        <v>3</v>
      </c>
      <c r="J229" s="2">
        <v>10</v>
      </c>
      <c r="K229" s="2"/>
      <c r="L229" s="2"/>
      <c r="M229" s="2"/>
      <c r="N229" s="2"/>
      <c r="O229" s="2">
        <f t="shared" si="192"/>
        <v>22487.31</v>
      </c>
      <c r="P229" s="2">
        <f t="shared" si="193"/>
        <v>22487.31</v>
      </c>
      <c r="Q229" s="2">
        <f t="shared" si="194"/>
        <v>0</v>
      </c>
      <c r="R229" s="2">
        <f t="shared" si="195"/>
        <v>0</v>
      </c>
      <c r="S229" s="2">
        <f t="shared" si="196"/>
        <v>0</v>
      </c>
      <c r="T229" s="2">
        <f t="shared" si="197"/>
        <v>0</v>
      </c>
      <c r="U229" s="2">
        <f t="shared" si="198"/>
        <v>0</v>
      </c>
      <c r="V229" s="2">
        <f t="shared" si="199"/>
        <v>0</v>
      </c>
      <c r="W229" s="2">
        <f t="shared" si="200"/>
        <v>0</v>
      </c>
      <c r="X229" s="2">
        <f t="shared" si="201"/>
        <v>0</v>
      </c>
      <c r="Y229" s="2">
        <f t="shared" si="202"/>
        <v>0</v>
      </c>
      <c r="Z229" s="2"/>
      <c r="AA229" s="2">
        <v>45037306</v>
      </c>
      <c r="AB229" s="2">
        <f t="shared" si="203"/>
        <v>7495.77</v>
      </c>
      <c r="AC229" s="2">
        <f t="shared" si="204"/>
        <v>7495.77</v>
      </c>
      <c r="AD229" s="2">
        <f t="shared" ref="AD229:AF232" si="230">ROUND((ET229),6)</f>
        <v>0</v>
      </c>
      <c r="AE229" s="2">
        <f t="shared" si="230"/>
        <v>0</v>
      </c>
      <c r="AF229" s="2">
        <f t="shared" si="230"/>
        <v>0</v>
      </c>
      <c r="AG229" s="2">
        <f t="shared" si="205"/>
        <v>0</v>
      </c>
      <c r="AH229" s="2">
        <f t="shared" ref="AH229:AI232" si="231">(EW229)</f>
        <v>0</v>
      </c>
      <c r="AI229" s="2">
        <f t="shared" si="231"/>
        <v>0</v>
      </c>
      <c r="AJ229" s="2">
        <f t="shared" si="206"/>
        <v>0</v>
      </c>
      <c r="AK229" s="2">
        <v>7495.77</v>
      </c>
      <c r="AL229" s="2">
        <v>7495.77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1</v>
      </c>
      <c r="AW229" s="2">
        <v>1</v>
      </c>
      <c r="AX229" s="2"/>
      <c r="AY229" s="2"/>
      <c r="AZ229" s="2">
        <v>1</v>
      </c>
      <c r="BA229" s="2">
        <v>1</v>
      </c>
      <c r="BB229" s="2">
        <v>1</v>
      </c>
      <c r="BC229" s="2">
        <v>1</v>
      </c>
      <c r="BD229" s="2" t="s">
        <v>3</v>
      </c>
      <c r="BE229" s="2" t="s">
        <v>3</v>
      </c>
      <c r="BF229" s="2" t="s">
        <v>3</v>
      </c>
      <c r="BG229" s="2" t="s">
        <v>3</v>
      </c>
      <c r="BH229" s="2">
        <v>3</v>
      </c>
      <c r="BI229" s="2">
        <v>1</v>
      </c>
      <c r="BJ229" s="2" t="s">
        <v>305</v>
      </c>
      <c r="BK229" s="2"/>
      <c r="BL229" s="2"/>
      <c r="BM229" s="2">
        <v>1553</v>
      </c>
      <c r="BN229" s="2">
        <v>7156650</v>
      </c>
      <c r="BO229" s="2" t="s">
        <v>3</v>
      </c>
      <c r="BP229" s="2">
        <v>0</v>
      </c>
      <c r="BQ229" s="2">
        <v>30</v>
      </c>
      <c r="BR229" s="2">
        <v>0</v>
      </c>
      <c r="BS229" s="2">
        <v>1</v>
      </c>
      <c r="BT229" s="2">
        <v>1</v>
      </c>
      <c r="BU229" s="2">
        <v>1</v>
      </c>
      <c r="BV229" s="2">
        <v>1</v>
      </c>
      <c r="BW229" s="2">
        <v>1</v>
      </c>
      <c r="BX229" s="2">
        <v>1</v>
      </c>
      <c r="BY229" s="2" t="s">
        <v>3</v>
      </c>
      <c r="BZ229" s="2">
        <v>0</v>
      </c>
      <c r="CA229" s="2">
        <v>0</v>
      </c>
      <c r="CB229" s="2"/>
      <c r="CC229" s="2"/>
      <c r="CD229" s="2"/>
      <c r="CE229" s="2"/>
      <c r="CF229" s="2">
        <v>0</v>
      </c>
      <c r="CG229" s="2">
        <v>0</v>
      </c>
      <c r="CH229" s="2"/>
      <c r="CI229" s="2"/>
      <c r="CJ229" s="2"/>
      <c r="CK229" s="2"/>
      <c r="CL229" s="2"/>
      <c r="CM229" s="2">
        <v>0</v>
      </c>
      <c r="CN229" s="2" t="s">
        <v>3</v>
      </c>
      <c r="CO229" s="2">
        <v>0</v>
      </c>
      <c r="CP229" s="2">
        <f t="shared" si="207"/>
        <v>22487.31</v>
      </c>
      <c r="CQ229" s="2">
        <f t="shared" si="208"/>
        <v>7495.77</v>
      </c>
      <c r="CR229" s="2">
        <f t="shared" si="209"/>
        <v>0</v>
      </c>
      <c r="CS229" s="2">
        <f t="shared" si="210"/>
        <v>0</v>
      </c>
      <c r="CT229" s="2">
        <f t="shared" si="211"/>
        <v>0</v>
      </c>
      <c r="CU229" s="2">
        <f t="shared" si="212"/>
        <v>0</v>
      </c>
      <c r="CV229" s="2">
        <f t="shared" si="213"/>
        <v>0</v>
      </c>
      <c r="CW229" s="2">
        <f t="shared" si="214"/>
        <v>0</v>
      </c>
      <c r="CX229" s="2">
        <f t="shared" si="215"/>
        <v>0</v>
      </c>
      <c r="CY229" s="2">
        <f t="shared" si="216"/>
        <v>0</v>
      </c>
      <c r="CZ229" s="2">
        <f t="shared" si="217"/>
        <v>0</v>
      </c>
      <c r="DA229" s="2"/>
      <c r="DB229" s="2"/>
      <c r="DC229" s="2" t="s">
        <v>3</v>
      </c>
      <c r="DD229" s="2" t="s">
        <v>3</v>
      </c>
      <c r="DE229" s="2" t="s">
        <v>3</v>
      </c>
      <c r="DF229" s="2" t="s">
        <v>3</v>
      </c>
      <c r="DG229" s="2" t="s">
        <v>3</v>
      </c>
      <c r="DH229" s="2" t="s">
        <v>3</v>
      </c>
      <c r="DI229" s="2" t="s">
        <v>3</v>
      </c>
      <c r="DJ229" s="2" t="s">
        <v>3</v>
      </c>
      <c r="DK229" s="2" t="s">
        <v>3</v>
      </c>
      <c r="DL229" s="2" t="s">
        <v>3</v>
      </c>
      <c r="DM229" s="2" t="s">
        <v>3</v>
      </c>
      <c r="DN229" s="2">
        <v>85</v>
      </c>
      <c r="DO229" s="2">
        <v>70</v>
      </c>
      <c r="DP229" s="2">
        <v>1.087</v>
      </c>
      <c r="DQ229" s="2">
        <v>1</v>
      </c>
      <c r="DR229" s="2"/>
      <c r="DS229" s="2"/>
      <c r="DT229" s="2"/>
      <c r="DU229" s="2">
        <v>1010</v>
      </c>
      <c r="DV229" s="2" t="s">
        <v>304</v>
      </c>
      <c r="DW229" s="2" t="s">
        <v>304</v>
      </c>
      <c r="DX229" s="2">
        <v>1</v>
      </c>
      <c r="DY229" s="2"/>
      <c r="DZ229" s="2"/>
      <c r="EA229" s="2"/>
      <c r="EB229" s="2"/>
      <c r="EC229" s="2"/>
      <c r="ED229" s="2"/>
      <c r="EE229" s="2">
        <v>44848060</v>
      </c>
      <c r="EF229" s="2">
        <v>30</v>
      </c>
      <c r="EG229" s="2" t="s">
        <v>38</v>
      </c>
      <c r="EH229" s="2">
        <v>0</v>
      </c>
      <c r="EI229" s="2" t="s">
        <v>3</v>
      </c>
      <c r="EJ229" s="2">
        <v>1</v>
      </c>
      <c r="EK229" s="2">
        <v>1553</v>
      </c>
      <c r="EL229" s="2" t="s">
        <v>315</v>
      </c>
      <c r="EM229" s="2" t="s">
        <v>316</v>
      </c>
      <c r="EN229" s="2"/>
      <c r="EO229" s="2" t="s">
        <v>3</v>
      </c>
      <c r="EP229" s="2"/>
      <c r="EQ229" s="2">
        <v>0</v>
      </c>
      <c r="ER229" s="2">
        <v>7495.77</v>
      </c>
      <c r="ES229" s="2">
        <v>7495.77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>
        <v>0</v>
      </c>
      <c r="FR229" s="2">
        <f t="shared" si="218"/>
        <v>0</v>
      </c>
      <c r="FS229" s="2">
        <v>0</v>
      </c>
      <c r="FT229" s="2"/>
      <c r="FU229" s="2"/>
      <c r="FV229" s="2"/>
      <c r="FW229" s="2"/>
      <c r="FX229" s="2">
        <v>85</v>
      </c>
      <c r="FY229" s="2">
        <v>70</v>
      </c>
      <c r="FZ229" s="2"/>
      <c r="GA229" s="2" t="s">
        <v>3</v>
      </c>
      <c r="GB229" s="2"/>
      <c r="GC229" s="2"/>
      <c r="GD229" s="2">
        <v>0</v>
      </c>
      <c r="GE229" s="2"/>
      <c r="GF229" s="2">
        <v>1452044937</v>
      </c>
      <c r="GG229" s="2">
        <v>2</v>
      </c>
      <c r="GH229" s="2">
        <v>1</v>
      </c>
      <c r="GI229" s="2">
        <v>3</v>
      </c>
      <c r="GJ229" s="2">
        <v>0</v>
      </c>
      <c r="GK229" s="2">
        <f>ROUND(R229*(R12)/100,2)</f>
        <v>0</v>
      </c>
      <c r="GL229" s="2">
        <f t="shared" si="219"/>
        <v>0</v>
      </c>
      <c r="GM229" s="2">
        <f t="shared" si="220"/>
        <v>22487.31</v>
      </c>
      <c r="GN229" s="2">
        <f t="shared" si="221"/>
        <v>22487.31</v>
      </c>
      <c r="GO229" s="2">
        <f t="shared" si="222"/>
        <v>0</v>
      </c>
      <c r="GP229" s="2">
        <f t="shared" si="223"/>
        <v>0</v>
      </c>
      <c r="GQ229" s="2"/>
      <c r="GR229" s="2">
        <v>0</v>
      </c>
      <c r="GS229" s="2">
        <v>3</v>
      </c>
      <c r="GT229" s="2">
        <v>0</v>
      </c>
      <c r="GU229" s="2" t="s">
        <v>3</v>
      </c>
      <c r="GV229" s="2">
        <f t="shared" si="224"/>
        <v>0</v>
      </c>
      <c r="GW229" s="2">
        <v>1</v>
      </c>
      <c r="GX229" s="2">
        <f t="shared" si="225"/>
        <v>0</v>
      </c>
      <c r="GY229" s="2"/>
      <c r="GZ229" s="2"/>
      <c r="HA229" s="2">
        <v>0</v>
      </c>
      <c r="HB229" s="2">
        <v>0</v>
      </c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2"/>
      <c r="HZ229" s="2"/>
      <c r="IA229" s="2"/>
      <c r="IB229" s="2"/>
      <c r="IC229" s="2"/>
      <c r="ID229" s="2"/>
      <c r="IE229" s="2"/>
      <c r="IF229" s="2"/>
      <c r="IG229" s="2"/>
      <c r="IH229" s="2"/>
      <c r="II229" s="2"/>
      <c r="IJ229" s="2"/>
      <c r="IK229" s="2">
        <v>0</v>
      </c>
      <c r="IL229" s="2"/>
      <c r="IM229" s="2"/>
      <c r="IN229" s="2"/>
      <c r="IO229" s="2"/>
      <c r="IP229" s="2"/>
      <c r="IQ229" s="2"/>
      <c r="IR229" s="2"/>
      <c r="IS229" s="2"/>
      <c r="IT229" s="2"/>
      <c r="IU229" s="2"/>
    </row>
    <row r="230" spans="1:255" x14ac:dyDescent="0.2">
      <c r="A230">
        <v>18</v>
      </c>
      <c r="B230">
        <v>1</v>
      </c>
      <c r="C230">
        <v>215</v>
      </c>
      <c r="E230" t="s">
        <v>317</v>
      </c>
      <c r="F230" t="s">
        <v>302</v>
      </c>
      <c r="G230" t="s">
        <v>303</v>
      </c>
      <c r="H230" t="s">
        <v>304</v>
      </c>
      <c r="I230">
        <f>I228*J230</f>
        <v>3</v>
      </c>
      <c r="J230">
        <v>10</v>
      </c>
      <c r="O230">
        <f t="shared" si="192"/>
        <v>42950.76</v>
      </c>
      <c r="P230">
        <f t="shared" si="193"/>
        <v>42950.76</v>
      </c>
      <c r="Q230">
        <f t="shared" si="194"/>
        <v>0</v>
      </c>
      <c r="R230">
        <f t="shared" si="195"/>
        <v>0</v>
      </c>
      <c r="S230">
        <f t="shared" si="196"/>
        <v>0</v>
      </c>
      <c r="T230">
        <f t="shared" si="197"/>
        <v>0</v>
      </c>
      <c r="U230">
        <f t="shared" si="198"/>
        <v>0</v>
      </c>
      <c r="V230">
        <f t="shared" si="199"/>
        <v>0</v>
      </c>
      <c r="W230">
        <f t="shared" si="200"/>
        <v>0</v>
      </c>
      <c r="X230">
        <f t="shared" si="201"/>
        <v>0</v>
      </c>
      <c r="Y230">
        <f t="shared" si="202"/>
        <v>0</v>
      </c>
      <c r="AA230">
        <v>45037307</v>
      </c>
      <c r="AB230">
        <f t="shared" si="203"/>
        <v>7495.77</v>
      </c>
      <c r="AC230">
        <f t="shared" si="204"/>
        <v>7495.77</v>
      </c>
      <c r="AD230">
        <f t="shared" si="230"/>
        <v>0</v>
      </c>
      <c r="AE230">
        <f t="shared" si="230"/>
        <v>0</v>
      </c>
      <c r="AF230">
        <f t="shared" si="230"/>
        <v>0</v>
      </c>
      <c r="AG230">
        <f t="shared" si="205"/>
        <v>0</v>
      </c>
      <c r="AH230">
        <f t="shared" si="231"/>
        <v>0</v>
      </c>
      <c r="AI230">
        <f t="shared" si="231"/>
        <v>0</v>
      </c>
      <c r="AJ230">
        <f t="shared" si="206"/>
        <v>0</v>
      </c>
      <c r="AK230">
        <v>7495.77</v>
      </c>
      <c r="AL230">
        <v>7495.77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1</v>
      </c>
      <c r="AW230">
        <v>1</v>
      </c>
      <c r="AZ230">
        <v>1</v>
      </c>
      <c r="BA230">
        <v>1</v>
      </c>
      <c r="BB230">
        <v>1</v>
      </c>
      <c r="BC230">
        <v>1.91</v>
      </c>
      <c r="BD230" t="s">
        <v>3</v>
      </c>
      <c r="BE230" t="s">
        <v>3</v>
      </c>
      <c r="BF230" t="s">
        <v>3</v>
      </c>
      <c r="BG230" t="s">
        <v>3</v>
      </c>
      <c r="BH230">
        <v>3</v>
      </c>
      <c r="BI230">
        <v>1</v>
      </c>
      <c r="BJ230" t="s">
        <v>305</v>
      </c>
      <c r="BM230">
        <v>1553</v>
      </c>
      <c r="BN230">
        <v>7156650</v>
      </c>
      <c r="BO230" t="s">
        <v>302</v>
      </c>
      <c r="BP230">
        <v>1</v>
      </c>
      <c r="BQ230">
        <v>30</v>
      </c>
      <c r="BR230">
        <v>0</v>
      </c>
      <c r="BS230">
        <v>1</v>
      </c>
      <c r="BT230">
        <v>1</v>
      </c>
      <c r="BU230">
        <v>1</v>
      </c>
      <c r="BV230">
        <v>1</v>
      </c>
      <c r="BW230">
        <v>1</v>
      </c>
      <c r="BX230">
        <v>1</v>
      </c>
      <c r="BY230" t="s">
        <v>3</v>
      </c>
      <c r="BZ230">
        <v>0</v>
      </c>
      <c r="CA230">
        <v>0</v>
      </c>
      <c r="CF230">
        <v>0</v>
      </c>
      <c r="CG230">
        <v>0</v>
      </c>
      <c r="CM230">
        <v>0</v>
      </c>
      <c r="CN230" t="s">
        <v>3</v>
      </c>
      <c r="CO230">
        <v>0</v>
      </c>
      <c r="CP230">
        <f t="shared" si="207"/>
        <v>42950.76</v>
      </c>
      <c r="CQ230">
        <f t="shared" si="208"/>
        <v>14316.920700000001</v>
      </c>
      <c r="CR230">
        <f t="shared" si="209"/>
        <v>0</v>
      </c>
      <c r="CS230">
        <f t="shared" si="210"/>
        <v>0</v>
      </c>
      <c r="CT230">
        <f t="shared" si="211"/>
        <v>0</v>
      </c>
      <c r="CU230">
        <f t="shared" si="212"/>
        <v>0</v>
      </c>
      <c r="CV230">
        <f t="shared" si="213"/>
        <v>0</v>
      </c>
      <c r="CW230">
        <f t="shared" si="214"/>
        <v>0</v>
      </c>
      <c r="CX230">
        <f t="shared" si="215"/>
        <v>0</v>
      </c>
      <c r="CY230">
        <f t="shared" si="216"/>
        <v>0</v>
      </c>
      <c r="CZ230">
        <f t="shared" si="217"/>
        <v>0</v>
      </c>
      <c r="DC230" t="s">
        <v>3</v>
      </c>
      <c r="DD230" t="s">
        <v>3</v>
      </c>
      <c r="DE230" t="s">
        <v>3</v>
      </c>
      <c r="DF230" t="s">
        <v>3</v>
      </c>
      <c r="DG230" t="s">
        <v>3</v>
      </c>
      <c r="DH230" t="s">
        <v>3</v>
      </c>
      <c r="DI230" t="s">
        <v>3</v>
      </c>
      <c r="DJ230" t="s">
        <v>3</v>
      </c>
      <c r="DK230" t="s">
        <v>3</v>
      </c>
      <c r="DL230" t="s">
        <v>3</v>
      </c>
      <c r="DM230" t="s">
        <v>3</v>
      </c>
      <c r="DN230">
        <v>85</v>
      </c>
      <c r="DO230">
        <v>70</v>
      </c>
      <c r="DP230">
        <v>1.087</v>
      </c>
      <c r="DQ230">
        <v>1</v>
      </c>
      <c r="DU230">
        <v>1010</v>
      </c>
      <c r="DV230" t="s">
        <v>304</v>
      </c>
      <c r="DW230" t="s">
        <v>304</v>
      </c>
      <c r="DX230">
        <v>1</v>
      </c>
      <c r="EE230">
        <v>44848060</v>
      </c>
      <c r="EF230">
        <v>30</v>
      </c>
      <c r="EG230" t="s">
        <v>38</v>
      </c>
      <c r="EH230">
        <v>0</v>
      </c>
      <c r="EI230" t="s">
        <v>3</v>
      </c>
      <c r="EJ230">
        <v>1</v>
      </c>
      <c r="EK230">
        <v>1553</v>
      </c>
      <c r="EL230" t="s">
        <v>315</v>
      </c>
      <c r="EM230" t="s">
        <v>316</v>
      </c>
      <c r="EO230" t="s">
        <v>3</v>
      </c>
      <c r="EQ230">
        <v>0</v>
      </c>
      <c r="ER230">
        <v>7495.77</v>
      </c>
      <c r="ES230">
        <v>7495.77</v>
      </c>
      <c r="ET230">
        <v>0</v>
      </c>
      <c r="EU230">
        <v>0</v>
      </c>
      <c r="EV230">
        <v>0</v>
      </c>
      <c r="EW230">
        <v>0</v>
      </c>
      <c r="EX230">
        <v>0</v>
      </c>
      <c r="FQ230">
        <v>0</v>
      </c>
      <c r="FR230">
        <f t="shared" si="218"/>
        <v>0</v>
      </c>
      <c r="FS230">
        <v>0</v>
      </c>
      <c r="FX230">
        <v>85</v>
      </c>
      <c r="FY230">
        <v>70</v>
      </c>
      <c r="GA230" t="s">
        <v>3</v>
      </c>
      <c r="GD230">
        <v>0</v>
      </c>
      <c r="GF230">
        <v>1452044937</v>
      </c>
      <c r="GG230">
        <v>2</v>
      </c>
      <c r="GH230">
        <v>1</v>
      </c>
      <c r="GI230">
        <v>3</v>
      </c>
      <c r="GJ230">
        <v>0</v>
      </c>
      <c r="GK230">
        <f>ROUND(R230*(S12)/100,2)</f>
        <v>0</v>
      </c>
      <c r="GL230">
        <f t="shared" si="219"/>
        <v>0</v>
      </c>
      <c r="GM230">
        <f t="shared" si="220"/>
        <v>42950.76</v>
      </c>
      <c r="GN230">
        <f t="shared" si="221"/>
        <v>42950.76</v>
      </c>
      <c r="GO230">
        <f t="shared" si="222"/>
        <v>0</v>
      </c>
      <c r="GP230">
        <f t="shared" si="223"/>
        <v>0</v>
      </c>
      <c r="GR230">
        <v>0</v>
      </c>
      <c r="GS230">
        <v>3</v>
      </c>
      <c r="GT230">
        <v>0</v>
      </c>
      <c r="GU230" t="s">
        <v>3</v>
      </c>
      <c r="GV230">
        <f t="shared" si="224"/>
        <v>0</v>
      </c>
      <c r="GW230">
        <v>1</v>
      </c>
      <c r="GX230">
        <f t="shared" si="225"/>
        <v>0</v>
      </c>
      <c r="HA230">
        <v>0</v>
      </c>
      <c r="HB230">
        <v>0</v>
      </c>
      <c r="IK230">
        <v>0</v>
      </c>
    </row>
    <row r="231" spans="1:255" x14ac:dyDescent="0.2">
      <c r="A231" s="2">
        <v>18</v>
      </c>
      <c r="B231" s="2">
        <v>1</v>
      </c>
      <c r="C231" s="2">
        <v>204</v>
      </c>
      <c r="D231" s="2"/>
      <c r="E231" s="2" t="s">
        <v>318</v>
      </c>
      <c r="F231" s="2" t="s">
        <v>307</v>
      </c>
      <c r="G231" s="2" t="s">
        <v>308</v>
      </c>
      <c r="H231" s="2" t="s">
        <v>304</v>
      </c>
      <c r="I231" s="2">
        <f>I227*J231</f>
        <v>6</v>
      </c>
      <c r="J231" s="2">
        <v>20</v>
      </c>
      <c r="K231" s="2"/>
      <c r="L231" s="2"/>
      <c r="M231" s="2"/>
      <c r="N231" s="2"/>
      <c r="O231" s="2">
        <f t="shared" si="192"/>
        <v>4435.0200000000004</v>
      </c>
      <c r="P231" s="2">
        <f t="shared" si="193"/>
        <v>4435.0200000000004</v>
      </c>
      <c r="Q231" s="2">
        <f t="shared" si="194"/>
        <v>0</v>
      </c>
      <c r="R231" s="2">
        <f t="shared" si="195"/>
        <v>0</v>
      </c>
      <c r="S231" s="2">
        <f t="shared" si="196"/>
        <v>0</v>
      </c>
      <c r="T231" s="2">
        <f t="shared" si="197"/>
        <v>0</v>
      </c>
      <c r="U231" s="2">
        <f t="shared" si="198"/>
        <v>0</v>
      </c>
      <c r="V231" s="2">
        <f t="shared" si="199"/>
        <v>0</v>
      </c>
      <c r="W231" s="2">
        <f t="shared" si="200"/>
        <v>0</v>
      </c>
      <c r="X231" s="2">
        <f t="shared" si="201"/>
        <v>0</v>
      </c>
      <c r="Y231" s="2">
        <f t="shared" si="202"/>
        <v>0</v>
      </c>
      <c r="Z231" s="2"/>
      <c r="AA231" s="2">
        <v>45037306</v>
      </c>
      <c r="AB231" s="2">
        <f t="shared" si="203"/>
        <v>739.17</v>
      </c>
      <c r="AC231" s="2">
        <f t="shared" si="204"/>
        <v>739.17</v>
      </c>
      <c r="AD231" s="2">
        <f t="shared" si="230"/>
        <v>0</v>
      </c>
      <c r="AE231" s="2">
        <f t="shared" si="230"/>
        <v>0</v>
      </c>
      <c r="AF231" s="2">
        <f t="shared" si="230"/>
        <v>0</v>
      </c>
      <c r="AG231" s="2">
        <f t="shared" si="205"/>
        <v>0</v>
      </c>
      <c r="AH231" s="2">
        <f t="shared" si="231"/>
        <v>0</v>
      </c>
      <c r="AI231" s="2">
        <f t="shared" si="231"/>
        <v>0</v>
      </c>
      <c r="AJ231" s="2">
        <f t="shared" si="206"/>
        <v>0</v>
      </c>
      <c r="AK231" s="2">
        <v>739.17</v>
      </c>
      <c r="AL231" s="2">
        <v>739.17</v>
      </c>
      <c r="AM231" s="2">
        <v>0</v>
      </c>
      <c r="AN231" s="2">
        <v>0</v>
      </c>
      <c r="AO231" s="2">
        <v>0</v>
      </c>
      <c r="AP231" s="2">
        <v>0</v>
      </c>
      <c r="AQ231" s="2">
        <v>0</v>
      </c>
      <c r="AR231" s="2">
        <v>0</v>
      </c>
      <c r="AS231" s="2">
        <v>0</v>
      </c>
      <c r="AT231" s="2">
        <v>0</v>
      </c>
      <c r="AU231" s="2">
        <v>0</v>
      </c>
      <c r="AV231" s="2">
        <v>1</v>
      </c>
      <c r="AW231" s="2">
        <v>1</v>
      </c>
      <c r="AX231" s="2"/>
      <c r="AY231" s="2"/>
      <c r="AZ231" s="2">
        <v>1</v>
      </c>
      <c r="BA231" s="2">
        <v>1</v>
      </c>
      <c r="BB231" s="2">
        <v>1</v>
      </c>
      <c r="BC231" s="2">
        <v>1</v>
      </c>
      <c r="BD231" s="2" t="s">
        <v>3</v>
      </c>
      <c r="BE231" s="2" t="s">
        <v>3</v>
      </c>
      <c r="BF231" s="2" t="s">
        <v>3</v>
      </c>
      <c r="BG231" s="2" t="s">
        <v>3</v>
      </c>
      <c r="BH231" s="2">
        <v>3</v>
      </c>
      <c r="BI231" s="2">
        <v>1</v>
      </c>
      <c r="BJ231" s="2" t="s">
        <v>309</v>
      </c>
      <c r="BK231" s="2"/>
      <c r="BL231" s="2"/>
      <c r="BM231" s="2">
        <v>1553</v>
      </c>
      <c r="BN231" s="2">
        <v>7156650</v>
      </c>
      <c r="BO231" s="2" t="s">
        <v>3</v>
      </c>
      <c r="BP231" s="2">
        <v>0</v>
      </c>
      <c r="BQ231" s="2">
        <v>30</v>
      </c>
      <c r="BR231" s="2">
        <v>0</v>
      </c>
      <c r="BS231" s="2">
        <v>1</v>
      </c>
      <c r="BT231" s="2">
        <v>1</v>
      </c>
      <c r="BU231" s="2">
        <v>1</v>
      </c>
      <c r="BV231" s="2">
        <v>1</v>
      </c>
      <c r="BW231" s="2">
        <v>1</v>
      </c>
      <c r="BX231" s="2">
        <v>1</v>
      </c>
      <c r="BY231" s="2" t="s">
        <v>3</v>
      </c>
      <c r="BZ231" s="2">
        <v>0</v>
      </c>
      <c r="CA231" s="2">
        <v>0</v>
      </c>
      <c r="CB231" s="2"/>
      <c r="CC231" s="2"/>
      <c r="CD231" s="2"/>
      <c r="CE231" s="2"/>
      <c r="CF231" s="2">
        <v>0</v>
      </c>
      <c r="CG231" s="2">
        <v>0</v>
      </c>
      <c r="CH231" s="2"/>
      <c r="CI231" s="2"/>
      <c r="CJ231" s="2"/>
      <c r="CK231" s="2"/>
      <c r="CL231" s="2"/>
      <c r="CM231" s="2">
        <v>0</v>
      </c>
      <c r="CN231" s="2" t="s">
        <v>3</v>
      </c>
      <c r="CO231" s="2">
        <v>0</v>
      </c>
      <c r="CP231" s="2">
        <f t="shared" si="207"/>
        <v>4435.0200000000004</v>
      </c>
      <c r="CQ231" s="2">
        <f t="shared" si="208"/>
        <v>739.17</v>
      </c>
      <c r="CR231" s="2">
        <f t="shared" si="209"/>
        <v>0</v>
      </c>
      <c r="CS231" s="2">
        <f t="shared" si="210"/>
        <v>0</v>
      </c>
      <c r="CT231" s="2">
        <f t="shared" si="211"/>
        <v>0</v>
      </c>
      <c r="CU231" s="2">
        <f t="shared" si="212"/>
        <v>0</v>
      </c>
      <c r="CV231" s="2">
        <f t="shared" si="213"/>
        <v>0</v>
      </c>
      <c r="CW231" s="2">
        <f t="shared" si="214"/>
        <v>0</v>
      </c>
      <c r="CX231" s="2">
        <f t="shared" si="215"/>
        <v>0</v>
      </c>
      <c r="CY231" s="2">
        <f t="shared" si="216"/>
        <v>0</v>
      </c>
      <c r="CZ231" s="2">
        <f t="shared" si="217"/>
        <v>0</v>
      </c>
      <c r="DA231" s="2"/>
      <c r="DB231" s="2"/>
      <c r="DC231" s="2" t="s">
        <v>3</v>
      </c>
      <c r="DD231" s="2" t="s">
        <v>3</v>
      </c>
      <c r="DE231" s="2" t="s">
        <v>3</v>
      </c>
      <c r="DF231" s="2" t="s">
        <v>3</v>
      </c>
      <c r="DG231" s="2" t="s">
        <v>3</v>
      </c>
      <c r="DH231" s="2" t="s">
        <v>3</v>
      </c>
      <c r="DI231" s="2" t="s">
        <v>3</v>
      </c>
      <c r="DJ231" s="2" t="s">
        <v>3</v>
      </c>
      <c r="DK231" s="2" t="s">
        <v>3</v>
      </c>
      <c r="DL231" s="2" t="s">
        <v>3</v>
      </c>
      <c r="DM231" s="2" t="s">
        <v>3</v>
      </c>
      <c r="DN231" s="2">
        <v>85</v>
      </c>
      <c r="DO231" s="2">
        <v>70</v>
      </c>
      <c r="DP231" s="2">
        <v>1.087</v>
      </c>
      <c r="DQ231" s="2">
        <v>1</v>
      </c>
      <c r="DR231" s="2"/>
      <c r="DS231" s="2"/>
      <c r="DT231" s="2"/>
      <c r="DU231" s="2">
        <v>1010</v>
      </c>
      <c r="DV231" s="2" t="s">
        <v>304</v>
      </c>
      <c r="DW231" s="2" t="s">
        <v>304</v>
      </c>
      <c r="DX231" s="2">
        <v>1</v>
      </c>
      <c r="DY231" s="2"/>
      <c r="DZ231" s="2"/>
      <c r="EA231" s="2"/>
      <c r="EB231" s="2"/>
      <c r="EC231" s="2"/>
      <c r="ED231" s="2"/>
      <c r="EE231" s="2">
        <v>44848060</v>
      </c>
      <c r="EF231" s="2">
        <v>30</v>
      </c>
      <c r="EG231" s="2" t="s">
        <v>38</v>
      </c>
      <c r="EH231" s="2">
        <v>0</v>
      </c>
      <c r="EI231" s="2" t="s">
        <v>3</v>
      </c>
      <c r="EJ231" s="2">
        <v>1</v>
      </c>
      <c r="EK231" s="2">
        <v>1553</v>
      </c>
      <c r="EL231" s="2" t="s">
        <v>315</v>
      </c>
      <c r="EM231" s="2" t="s">
        <v>316</v>
      </c>
      <c r="EN231" s="2"/>
      <c r="EO231" s="2" t="s">
        <v>3</v>
      </c>
      <c r="EP231" s="2"/>
      <c r="EQ231" s="2">
        <v>0</v>
      </c>
      <c r="ER231" s="2">
        <v>739.17</v>
      </c>
      <c r="ES231" s="2">
        <v>739.17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>
        <v>0</v>
      </c>
      <c r="FR231" s="2">
        <f t="shared" si="218"/>
        <v>0</v>
      </c>
      <c r="FS231" s="2">
        <v>0</v>
      </c>
      <c r="FT231" s="2"/>
      <c r="FU231" s="2"/>
      <c r="FV231" s="2"/>
      <c r="FW231" s="2"/>
      <c r="FX231" s="2">
        <v>85</v>
      </c>
      <c r="FY231" s="2">
        <v>70</v>
      </c>
      <c r="FZ231" s="2"/>
      <c r="GA231" s="2" t="s">
        <v>3</v>
      </c>
      <c r="GB231" s="2"/>
      <c r="GC231" s="2"/>
      <c r="GD231" s="2">
        <v>0</v>
      </c>
      <c r="GE231" s="2"/>
      <c r="GF231" s="2">
        <v>-105742610</v>
      </c>
      <c r="GG231" s="2">
        <v>2</v>
      </c>
      <c r="GH231" s="2">
        <v>1</v>
      </c>
      <c r="GI231" s="2">
        <v>3</v>
      </c>
      <c r="GJ231" s="2">
        <v>0</v>
      </c>
      <c r="GK231" s="2">
        <f>ROUND(R231*(R12)/100,2)</f>
        <v>0</v>
      </c>
      <c r="GL231" s="2">
        <f t="shared" si="219"/>
        <v>0</v>
      </c>
      <c r="GM231" s="2">
        <f t="shared" si="220"/>
        <v>4435.0200000000004</v>
      </c>
      <c r="GN231" s="2">
        <f t="shared" si="221"/>
        <v>4435.0200000000004</v>
      </c>
      <c r="GO231" s="2">
        <f t="shared" si="222"/>
        <v>0</v>
      </c>
      <c r="GP231" s="2">
        <f t="shared" si="223"/>
        <v>0</v>
      </c>
      <c r="GQ231" s="2"/>
      <c r="GR231" s="2">
        <v>0</v>
      </c>
      <c r="GS231" s="2">
        <v>3</v>
      </c>
      <c r="GT231" s="2">
        <v>0</v>
      </c>
      <c r="GU231" s="2" t="s">
        <v>3</v>
      </c>
      <c r="GV231" s="2">
        <f t="shared" si="224"/>
        <v>0</v>
      </c>
      <c r="GW231" s="2">
        <v>1</v>
      </c>
      <c r="GX231" s="2">
        <f t="shared" si="225"/>
        <v>0</v>
      </c>
      <c r="GY231" s="2"/>
      <c r="GZ231" s="2"/>
      <c r="HA231" s="2">
        <v>0</v>
      </c>
      <c r="HB231" s="2">
        <v>0</v>
      </c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2"/>
      <c r="HZ231" s="2"/>
      <c r="IA231" s="2"/>
      <c r="IB231" s="2"/>
      <c r="IC231" s="2"/>
      <c r="ID231" s="2"/>
      <c r="IE231" s="2"/>
      <c r="IF231" s="2"/>
      <c r="IG231" s="2"/>
      <c r="IH231" s="2"/>
      <c r="II231" s="2"/>
      <c r="IJ231" s="2"/>
      <c r="IK231" s="2">
        <v>0</v>
      </c>
      <c r="IL231" s="2"/>
      <c r="IM231" s="2"/>
      <c r="IN231" s="2"/>
      <c r="IO231" s="2"/>
      <c r="IP231" s="2"/>
      <c r="IQ231" s="2"/>
      <c r="IR231" s="2"/>
      <c r="IS231" s="2"/>
      <c r="IT231" s="2"/>
      <c r="IU231" s="2"/>
    </row>
    <row r="232" spans="1:255" x14ac:dyDescent="0.2">
      <c r="A232">
        <v>18</v>
      </c>
      <c r="B232">
        <v>1</v>
      </c>
      <c r="C232">
        <v>216</v>
      </c>
      <c r="E232" t="s">
        <v>318</v>
      </c>
      <c r="F232" t="s">
        <v>307</v>
      </c>
      <c r="G232" t="s">
        <v>308</v>
      </c>
      <c r="H232" t="s">
        <v>304</v>
      </c>
      <c r="I232">
        <f>I228*J232</f>
        <v>6</v>
      </c>
      <c r="J232">
        <v>20</v>
      </c>
      <c r="O232">
        <f t="shared" si="192"/>
        <v>12817.21</v>
      </c>
      <c r="P232">
        <f t="shared" si="193"/>
        <v>12817.21</v>
      </c>
      <c r="Q232">
        <f t="shared" si="194"/>
        <v>0</v>
      </c>
      <c r="R232">
        <f t="shared" si="195"/>
        <v>0</v>
      </c>
      <c r="S232">
        <f t="shared" si="196"/>
        <v>0</v>
      </c>
      <c r="T232">
        <f t="shared" si="197"/>
        <v>0</v>
      </c>
      <c r="U232">
        <f t="shared" si="198"/>
        <v>0</v>
      </c>
      <c r="V232">
        <f t="shared" si="199"/>
        <v>0</v>
      </c>
      <c r="W232">
        <f t="shared" si="200"/>
        <v>0</v>
      </c>
      <c r="X232">
        <f t="shared" si="201"/>
        <v>0</v>
      </c>
      <c r="Y232">
        <f t="shared" si="202"/>
        <v>0</v>
      </c>
      <c r="AA232">
        <v>45037307</v>
      </c>
      <c r="AB232">
        <f t="shared" si="203"/>
        <v>739.17</v>
      </c>
      <c r="AC232">
        <f t="shared" si="204"/>
        <v>739.17</v>
      </c>
      <c r="AD232">
        <f t="shared" si="230"/>
        <v>0</v>
      </c>
      <c r="AE232">
        <f t="shared" si="230"/>
        <v>0</v>
      </c>
      <c r="AF232">
        <f t="shared" si="230"/>
        <v>0</v>
      </c>
      <c r="AG232">
        <f t="shared" si="205"/>
        <v>0</v>
      </c>
      <c r="AH232">
        <f t="shared" si="231"/>
        <v>0</v>
      </c>
      <c r="AI232">
        <f t="shared" si="231"/>
        <v>0</v>
      </c>
      <c r="AJ232">
        <f t="shared" si="206"/>
        <v>0</v>
      </c>
      <c r="AK232">
        <v>739.17</v>
      </c>
      <c r="AL232">
        <v>739.17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1</v>
      </c>
      <c r="AW232">
        <v>1</v>
      </c>
      <c r="AZ232">
        <v>1</v>
      </c>
      <c r="BA232">
        <v>1</v>
      </c>
      <c r="BB232">
        <v>1</v>
      </c>
      <c r="BC232">
        <v>2.89</v>
      </c>
      <c r="BD232" t="s">
        <v>3</v>
      </c>
      <c r="BE232" t="s">
        <v>3</v>
      </c>
      <c r="BF232" t="s">
        <v>3</v>
      </c>
      <c r="BG232" t="s">
        <v>3</v>
      </c>
      <c r="BH232">
        <v>3</v>
      </c>
      <c r="BI232">
        <v>1</v>
      </c>
      <c r="BJ232" t="s">
        <v>309</v>
      </c>
      <c r="BM232">
        <v>1553</v>
      </c>
      <c r="BN232">
        <v>7156650</v>
      </c>
      <c r="BO232" t="s">
        <v>307</v>
      </c>
      <c r="BP232">
        <v>1</v>
      </c>
      <c r="BQ232">
        <v>30</v>
      </c>
      <c r="BR232">
        <v>0</v>
      </c>
      <c r="BS232">
        <v>1</v>
      </c>
      <c r="BT232">
        <v>1</v>
      </c>
      <c r="BU232">
        <v>1</v>
      </c>
      <c r="BV232">
        <v>1</v>
      </c>
      <c r="BW232">
        <v>1</v>
      </c>
      <c r="BX232">
        <v>1</v>
      </c>
      <c r="BY232" t="s">
        <v>3</v>
      </c>
      <c r="BZ232">
        <v>0</v>
      </c>
      <c r="CA232">
        <v>0</v>
      </c>
      <c r="CF232">
        <v>0</v>
      </c>
      <c r="CG232">
        <v>0</v>
      </c>
      <c r="CM232">
        <v>0</v>
      </c>
      <c r="CN232" t="s">
        <v>3</v>
      </c>
      <c r="CO232">
        <v>0</v>
      </c>
      <c r="CP232">
        <f t="shared" si="207"/>
        <v>12817.21</v>
      </c>
      <c r="CQ232">
        <f t="shared" si="208"/>
        <v>2136.2013000000002</v>
      </c>
      <c r="CR232">
        <f t="shared" si="209"/>
        <v>0</v>
      </c>
      <c r="CS232">
        <f t="shared" si="210"/>
        <v>0</v>
      </c>
      <c r="CT232">
        <f t="shared" si="211"/>
        <v>0</v>
      </c>
      <c r="CU232">
        <f t="shared" si="212"/>
        <v>0</v>
      </c>
      <c r="CV232">
        <f t="shared" si="213"/>
        <v>0</v>
      </c>
      <c r="CW232">
        <f t="shared" si="214"/>
        <v>0</v>
      </c>
      <c r="CX232">
        <f t="shared" si="215"/>
        <v>0</v>
      </c>
      <c r="CY232">
        <f t="shared" si="216"/>
        <v>0</v>
      </c>
      <c r="CZ232">
        <f t="shared" si="217"/>
        <v>0</v>
      </c>
      <c r="DC232" t="s">
        <v>3</v>
      </c>
      <c r="DD232" t="s">
        <v>3</v>
      </c>
      <c r="DE232" t="s">
        <v>3</v>
      </c>
      <c r="DF232" t="s">
        <v>3</v>
      </c>
      <c r="DG232" t="s">
        <v>3</v>
      </c>
      <c r="DH232" t="s">
        <v>3</v>
      </c>
      <c r="DI232" t="s">
        <v>3</v>
      </c>
      <c r="DJ232" t="s">
        <v>3</v>
      </c>
      <c r="DK232" t="s">
        <v>3</v>
      </c>
      <c r="DL232" t="s">
        <v>3</v>
      </c>
      <c r="DM232" t="s">
        <v>3</v>
      </c>
      <c r="DN232">
        <v>85</v>
      </c>
      <c r="DO232">
        <v>70</v>
      </c>
      <c r="DP232">
        <v>1.087</v>
      </c>
      <c r="DQ232">
        <v>1</v>
      </c>
      <c r="DU232">
        <v>1010</v>
      </c>
      <c r="DV232" t="s">
        <v>304</v>
      </c>
      <c r="DW232" t="s">
        <v>304</v>
      </c>
      <c r="DX232">
        <v>1</v>
      </c>
      <c r="EE232">
        <v>44848060</v>
      </c>
      <c r="EF232">
        <v>30</v>
      </c>
      <c r="EG232" t="s">
        <v>38</v>
      </c>
      <c r="EH232">
        <v>0</v>
      </c>
      <c r="EI232" t="s">
        <v>3</v>
      </c>
      <c r="EJ232">
        <v>1</v>
      </c>
      <c r="EK232">
        <v>1553</v>
      </c>
      <c r="EL232" t="s">
        <v>315</v>
      </c>
      <c r="EM232" t="s">
        <v>316</v>
      </c>
      <c r="EO232" t="s">
        <v>3</v>
      </c>
      <c r="EQ232">
        <v>0</v>
      </c>
      <c r="ER232">
        <v>739.17</v>
      </c>
      <c r="ES232">
        <v>739.17</v>
      </c>
      <c r="ET232">
        <v>0</v>
      </c>
      <c r="EU232">
        <v>0</v>
      </c>
      <c r="EV232">
        <v>0</v>
      </c>
      <c r="EW232">
        <v>0</v>
      </c>
      <c r="EX232">
        <v>0</v>
      </c>
      <c r="FQ232">
        <v>0</v>
      </c>
      <c r="FR232">
        <f t="shared" si="218"/>
        <v>0</v>
      </c>
      <c r="FS232">
        <v>0</v>
      </c>
      <c r="FX232">
        <v>85</v>
      </c>
      <c r="FY232">
        <v>70</v>
      </c>
      <c r="GA232" t="s">
        <v>3</v>
      </c>
      <c r="GD232">
        <v>0</v>
      </c>
      <c r="GF232">
        <v>-105742610</v>
      </c>
      <c r="GG232">
        <v>2</v>
      </c>
      <c r="GH232">
        <v>1</v>
      </c>
      <c r="GI232">
        <v>3</v>
      </c>
      <c r="GJ232">
        <v>0</v>
      </c>
      <c r="GK232">
        <f>ROUND(R232*(S12)/100,2)</f>
        <v>0</v>
      </c>
      <c r="GL232">
        <f t="shared" si="219"/>
        <v>0</v>
      </c>
      <c r="GM232">
        <f t="shared" si="220"/>
        <v>12817.21</v>
      </c>
      <c r="GN232">
        <f t="shared" si="221"/>
        <v>12817.21</v>
      </c>
      <c r="GO232">
        <f t="shared" si="222"/>
        <v>0</v>
      </c>
      <c r="GP232">
        <f t="shared" si="223"/>
        <v>0</v>
      </c>
      <c r="GR232">
        <v>0</v>
      </c>
      <c r="GS232">
        <v>3</v>
      </c>
      <c r="GT232">
        <v>0</v>
      </c>
      <c r="GU232" t="s">
        <v>3</v>
      </c>
      <c r="GV232">
        <f t="shared" si="224"/>
        <v>0</v>
      </c>
      <c r="GW232">
        <v>1</v>
      </c>
      <c r="GX232">
        <f t="shared" si="225"/>
        <v>0</v>
      </c>
      <c r="HA232">
        <v>0</v>
      </c>
      <c r="HB232">
        <v>0</v>
      </c>
      <c r="IK232">
        <v>0</v>
      </c>
    </row>
    <row r="233" spans="1:255" x14ac:dyDescent="0.2">
      <c r="A233" s="2">
        <v>17</v>
      </c>
      <c r="B233" s="2">
        <v>1</v>
      </c>
      <c r="C233" s="2">
        <f>ROW(SmtRes!A225)</f>
        <v>225</v>
      </c>
      <c r="D233" s="2">
        <f>ROW(EtalonRes!A223)</f>
        <v>223</v>
      </c>
      <c r="E233" s="2" t="s">
        <v>319</v>
      </c>
      <c r="F233" s="2" t="s">
        <v>320</v>
      </c>
      <c r="G233" s="2" t="s">
        <v>321</v>
      </c>
      <c r="H233" s="2" t="s">
        <v>322</v>
      </c>
      <c r="I233" s="2">
        <v>3</v>
      </c>
      <c r="J233" s="2">
        <v>0</v>
      </c>
      <c r="K233" s="2"/>
      <c r="L233" s="2"/>
      <c r="M233" s="2"/>
      <c r="N233" s="2"/>
      <c r="O233" s="2">
        <f t="shared" si="192"/>
        <v>60.03</v>
      </c>
      <c r="P233" s="2">
        <f t="shared" si="193"/>
        <v>1.23</v>
      </c>
      <c r="Q233" s="2">
        <f t="shared" si="194"/>
        <v>7.46</v>
      </c>
      <c r="R233" s="2">
        <f t="shared" si="195"/>
        <v>0.34</v>
      </c>
      <c r="S233" s="2">
        <f t="shared" si="196"/>
        <v>51.34</v>
      </c>
      <c r="T233" s="2">
        <f t="shared" si="197"/>
        <v>0</v>
      </c>
      <c r="U233" s="2">
        <f t="shared" si="198"/>
        <v>3.8294999999999999</v>
      </c>
      <c r="V233" s="2">
        <f t="shared" si="199"/>
        <v>0</v>
      </c>
      <c r="W233" s="2">
        <f t="shared" si="200"/>
        <v>0</v>
      </c>
      <c r="X233" s="2">
        <f t="shared" si="201"/>
        <v>0</v>
      </c>
      <c r="Y233" s="2">
        <f t="shared" si="202"/>
        <v>0</v>
      </c>
      <c r="Z233" s="2"/>
      <c r="AA233" s="2">
        <v>45037306</v>
      </c>
      <c r="AB233" s="2">
        <f t="shared" si="203"/>
        <v>20.009499999999999</v>
      </c>
      <c r="AC233" s="2">
        <f t="shared" si="204"/>
        <v>0.41</v>
      </c>
      <c r="AD233" s="2">
        <f>ROUND(((ET233*1.25)),6)</f>
        <v>2.4874999999999998</v>
      </c>
      <c r="AE233" s="2">
        <f>ROUND(((EU233*1.25)),6)</f>
        <v>0.1125</v>
      </c>
      <c r="AF233" s="2">
        <f>ROUND(((EV233*1.15)),6)</f>
        <v>17.111999999999998</v>
      </c>
      <c r="AG233" s="2">
        <f t="shared" si="205"/>
        <v>0</v>
      </c>
      <c r="AH233" s="2">
        <f>((EW233*1.15))</f>
        <v>1.2765</v>
      </c>
      <c r="AI233" s="2">
        <f>((EX233*1.25))</f>
        <v>0</v>
      </c>
      <c r="AJ233" s="2">
        <f t="shared" si="206"/>
        <v>0</v>
      </c>
      <c r="AK233" s="2">
        <v>17.28</v>
      </c>
      <c r="AL233" s="2">
        <v>0.41</v>
      </c>
      <c r="AM233" s="2">
        <v>1.99</v>
      </c>
      <c r="AN233" s="2">
        <v>0.09</v>
      </c>
      <c r="AO233" s="2">
        <v>14.88</v>
      </c>
      <c r="AP233" s="2">
        <v>0</v>
      </c>
      <c r="AQ233" s="2">
        <v>1.1100000000000001</v>
      </c>
      <c r="AR233" s="2">
        <v>0</v>
      </c>
      <c r="AS233" s="2">
        <v>0</v>
      </c>
      <c r="AT233" s="2">
        <v>0</v>
      </c>
      <c r="AU233" s="2">
        <v>0</v>
      </c>
      <c r="AV233" s="2">
        <v>1</v>
      </c>
      <c r="AW233" s="2">
        <v>1</v>
      </c>
      <c r="AX233" s="2"/>
      <c r="AY233" s="2"/>
      <c r="AZ233" s="2">
        <v>1</v>
      </c>
      <c r="BA233" s="2">
        <v>1</v>
      </c>
      <c r="BB233" s="2">
        <v>1</v>
      </c>
      <c r="BC233" s="2">
        <v>1</v>
      </c>
      <c r="BD233" s="2" t="s">
        <v>3</v>
      </c>
      <c r="BE233" s="2" t="s">
        <v>3</v>
      </c>
      <c r="BF233" s="2" t="s">
        <v>3</v>
      </c>
      <c r="BG233" s="2" t="s">
        <v>3</v>
      </c>
      <c r="BH233" s="2">
        <v>0</v>
      </c>
      <c r="BI233" s="2">
        <v>1</v>
      </c>
      <c r="BJ233" s="2" t="s">
        <v>323</v>
      </c>
      <c r="BK233" s="2"/>
      <c r="BL233" s="2"/>
      <c r="BM233" s="2">
        <v>87</v>
      </c>
      <c r="BN233" s="2">
        <v>7156650</v>
      </c>
      <c r="BO233" s="2" t="s">
        <v>3</v>
      </c>
      <c r="BP233" s="2">
        <v>0</v>
      </c>
      <c r="BQ233" s="2">
        <v>30</v>
      </c>
      <c r="BR233" s="2">
        <v>0</v>
      </c>
      <c r="BS233" s="2">
        <v>1</v>
      </c>
      <c r="BT233" s="2">
        <v>1</v>
      </c>
      <c r="BU233" s="2">
        <v>1</v>
      </c>
      <c r="BV233" s="2">
        <v>1</v>
      </c>
      <c r="BW233" s="2">
        <v>1</v>
      </c>
      <c r="BX233" s="2">
        <v>1</v>
      </c>
      <c r="BY233" s="2" t="s">
        <v>3</v>
      </c>
      <c r="BZ233" s="2">
        <v>0</v>
      </c>
      <c r="CA233" s="2">
        <v>0</v>
      </c>
      <c r="CB233" s="2"/>
      <c r="CC233" s="2"/>
      <c r="CD233" s="2"/>
      <c r="CE233" s="2"/>
      <c r="CF233" s="2">
        <v>0</v>
      </c>
      <c r="CG233" s="2">
        <v>0</v>
      </c>
      <c r="CH233" s="2"/>
      <c r="CI233" s="2"/>
      <c r="CJ233" s="2"/>
      <c r="CK233" s="2"/>
      <c r="CL233" s="2"/>
      <c r="CM233" s="2">
        <v>0</v>
      </c>
      <c r="CN233" s="2" t="s">
        <v>3</v>
      </c>
      <c r="CO233" s="2">
        <v>0</v>
      </c>
      <c r="CP233" s="2">
        <f t="shared" si="207"/>
        <v>60.03</v>
      </c>
      <c r="CQ233" s="2">
        <f t="shared" si="208"/>
        <v>0.41</v>
      </c>
      <c r="CR233" s="2">
        <f t="shared" si="209"/>
        <v>2.4874999999999998</v>
      </c>
      <c r="CS233" s="2">
        <f t="shared" si="210"/>
        <v>0.1125</v>
      </c>
      <c r="CT233" s="2">
        <f t="shared" si="211"/>
        <v>17.111999999999998</v>
      </c>
      <c r="CU233" s="2">
        <f t="shared" si="212"/>
        <v>0</v>
      </c>
      <c r="CV233" s="2">
        <f t="shared" si="213"/>
        <v>1.2765</v>
      </c>
      <c r="CW233" s="2">
        <f t="shared" si="214"/>
        <v>0</v>
      </c>
      <c r="CX233" s="2">
        <f t="shared" si="215"/>
        <v>0</v>
      </c>
      <c r="CY233" s="2">
        <f t="shared" si="216"/>
        <v>0</v>
      </c>
      <c r="CZ233" s="2">
        <f t="shared" si="217"/>
        <v>0</v>
      </c>
      <c r="DA233" s="2"/>
      <c r="DB233" s="2"/>
      <c r="DC233" s="2" t="s">
        <v>3</v>
      </c>
      <c r="DD233" s="2" t="s">
        <v>3</v>
      </c>
      <c r="DE233" s="2" t="s">
        <v>324</v>
      </c>
      <c r="DF233" s="2" t="s">
        <v>324</v>
      </c>
      <c r="DG233" s="2" t="s">
        <v>325</v>
      </c>
      <c r="DH233" s="2" t="s">
        <v>3</v>
      </c>
      <c r="DI233" s="2" t="s">
        <v>325</v>
      </c>
      <c r="DJ233" s="2" t="s">
        <v>324</v>
      </c>
      <c r="DK233" s="2" t="s">
        <v>3</v>
      </c>
      <c r="DL233" s="2" t="s">
        <v>3</v>
      </c>
      <c r="DM233" s="2" t="s">
        <v>3</v>
      </c>
      <c r="DN233" s="2">
        <v>91</v>
      </c>
      <c r="DO233" s="2">
        <v>70</v>
      </c>
      <c r="DP233" s="2">
        <v>1.0469999999999999</v>
      </c>
      <c r="DQ233" s="2">
        <v>1.002</v>
      </c>
      <c r="DR233" s="2"/>
      <c r="DS233" s="2"/>
      <c r="DT233" s="2"/>
      <c r="DU233" s="2">
        <v>1013</v>
      </c>
      <c r="DV233" s="2" t="s">
        <v>322</v>
      </c>
      <c r="DW233" s="2" t="s">
        <v>322</v>
      </c>
      <c r="DX233" s="2">
        <v>1</v>
      </c>
      <c r="DY233" s="2"/>
      <c r="DZ233" s="2"/>
      <c r="EA233" s="2"/>
      <c r="EB233" s="2"/>
      <c r="EC233" s="2"/>
      <c r="ED233" s="2"/>
      <c r="EE233" s="2">
        <v>44846594</v>
      </c>
      <c r="EF233" s="2">
        <v>30</v>
      </c>
      <c r="EG233" s="2" t="s">
        <v>38</v>
      </c>
      <c r="EH233" s="2">
        <v>0</v>
      </c>
      <c r="EI233" s="2" t="s">
        <v>3</v>
      </c>
      <c r="EJ233" s="2">
        <v>1</v>
      </c>
      <c r="EK233" s="2">
        <v>87</v>
      </c>
      <c r="EL233" s="2" t="s">
        <v>326</v>
      </c>
      <c r="EM233" s="2" t="s">
        <v>327</v>
      </c>
      <c r="EN233" s="2"/>
      <c r="EO233" s="2" t="s">
        <v>3</v>
      </c>
      <c r="EP233" s="2"/>
      <c r="EQ233" s="2">
        <v>131072</v>
      </c>
      <c r="ER233" s="2">
        <v>17.28</v>
      </c>
      <c r="ES233" s="2">
        <v>0.41</v>
      </c>
      <c r="ET233" s="2">
        <v>1.99</v>
      </c>
      <c r="EU233" s="2">
        <v>0.09</v>
      </c>
      <c r="EV233" s="2">
        <v>14.88</v>
      </c>
      <c r="EW233" s="2">
        <v>1.1100000000000001</v>
      </c>
      <c r="EX233" s="2">
        <v>0</v>
      </c>
      <c r="EY233" s="2">
        <v>0</v>
      </c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>
        <v>0</v>
      </c>
      <c r="FR233" s="2">
        <f t="shared" si="218"/>
        <v>0</v>
      </c>
      <c r="FS233" s="2">
        <v>0</v>
      </c>
      <c r="FT233" s="2"/>
      <c r="FU233" s="2"/>
      <c r="FV233" s="2"/>
      <c r="FW233" s="2"/>
      <c r="FX233" s="2">
        <v>91</v>
      </c>
      <c r="FY233" s="2">
        <v>70</v>
      </c>
      <c r="FZ233" s="2"/>
      <c r="GA233" s="2" t="s">
        <v>3</v>
      </c>
      <c r="GB233" s="2"/>
      <c r="GC233" s="2"/>
      <c r="GD233" s="2">
        <v>0</v>
      </c>
      <c r="GE233" s="2"/>
      <c r="GF233" s="2">
        <v>1307162067</v>
      </c>
      <c r="GG233" s="2">
        <v>2</v>
      </c>
      <c r="GH233" s="2">
        <v>1</v>
      </c>
      <c r="GI233" s="2">
        <v>3</v>
      </c>
      <c r="GJ233" s="2">
        <v>0</v>
      </c>
      <c r="GK233" s="2">
        <f>ROUND(R233*(R12)/100,2)</f>
        <v>0.61</v>
      </c>
      <c r="GL233" s="2">
        <f t="shared" si="219"/>
        <v>0</v>
      </c>
      <c r="GM233" s="2">
        <f t="shared" si="220"/>
        <v>60.64</v>
      </c>
      <c r="GN233" s="2">
        <f t="shared" si="221"/>
        <v>60.64</v>
      </c>
      <c r="GO233" s="2">
        <f t="shared" si="222"/>
        <v>0</v>
      </c>
      <c r="GP233" s="2">
        <f t="shared" si="223"/>
        <v>0</v>
      </c>
      <c r="GQ233" s="2"/>
      <c r="GR233" s="2">
        <v>0</v>
      </c>
      <c r="GS233" s="2">
        <v>3</v>
      </c>
      <c r="GT233" s="2">
        <v>0</v>
      </c>
      <c r="GU233" s="2" t="s">
        <v>3</v>
      </c>
      <c r="GV233" s="2">
        <f t="shared" si="224"/>
        <v>0</v>
      </c>
      <c r="GW233" s="2">
        <v>1</v>
      </c>
      <c r="GX233" s="2">
        <f t="shared" si="225"/>
        <v>0</v>
      </c>
      <c r="GY233" s="2"/>
      <c r="GZ233" s="2"/>
      <c r="HA233" s="2">
        <v>0</v>
      </c>
      <c r="HB233" s="2">
        <v>0</v>
      </c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2"/>
      <c r="HZ233" s="2"/>
      <c r="IA233" s="2"/>
      <c r="IB233" s="2"/>
      <c r="IC233" s="2"/>
      <c r="ID233" s="2"/>
      <c r="IE233" s="2"/>
      <c r="IF233" s="2"/>
      <c r="IG233" s="2"/>
      <c r="IH233" s="2"/>
      <c r="II233" s="2"/>
      <c r="IJ233" s="2"/>
      <c r="IK233" s="2">
        <v>0</v>
      </c>
      <c r="IL233" s="2"/>
      <c r="IM233" s="2"/>
      <c r="IN233" s="2"/>
      <c r="IO233" s="2"/>
      <c r="IP233" s="2"/>
      <c r="IQ233" s="2"/>
      <c r="IR233" s="2"/>
      <c r="IS233" s="2"/>
      <c r="IT233" s="2"/>
      <c r="IU233" s="2"/>
    </row>
    <row r="234" spans="1:255" x14ac:dyDescent="0.2">
      <c r="A234">
        <v>17</v>
      </c>
      <c r="B234">
        <v>1</v>
      </c>
      <c r="C234">
        <f>ROW(SmtRes!A232)</f>
        <v>232</v>
      </c>
      <c r="D234">
        <f>ROW(EtalonRes!A230)</f>
        <v>230</v>
      </c>
      <c r="E234" t="s">
        <v>319</v>
      </c>
      <c r="F234" t="s">
        <v>320</v>
      </c>
      <c r="G234" t="s">
        <v>321</v>
      </c>
      <c r="H234" t="s">
        <v>322</v>
      </c>
      <c r="I234">
        <v>3</v>
      </c>
      <c r="J234">
        <v>0</v>
      </c>
      <c r="O234">
        <f t="shared" si="192"/>
        <v>1100.6099999999999</v>
      </c>
      <c r="P234">
        <f t="shared" si="193"/>
        <v>5.38</v>
      </c>
      <c r="Q234">
        <f t="shared" si="194"/>
        <v>47.98</v>
      </c>
      <c r="R234">
        <f t="shared" si="195"/>
        <v>6.89</v>
      </c>
      <c r="S234">
        <f t="shared" si="196"/>
        <v>1047.25</v>
      </c>
      <c r="T234">
        <f t="shared" si="197"/>
        <v>0</v>
      </c>
      <c r="U234">
        <f t="shared" si="198"/>
        <v>3.8294999999999999</v>
      </c>
      <c r="V234">
        <f t="shared" si="199"/>
        <v>0</v>
      </c>
      <c r="W234">
        <f t="shared" si="200"/>
        <v>0</v>
      </c>
      <c r="X234">
        <f t="shared" si="201"/>
        <v>764.49</v>
      </c>
      <c r="Y234">
        <f t="shared" si="202"/>
        <v>429.37</v>
      </c>
      <c r="AA234">
        <v>45037307</v>
      </c>
      <c r="AB234">
        <f t="shared" si="203"/>
        <v>20.009499999999999</v>
      </c>
      <c r="AC234">
        <f t="shared" si="204"/>
        <v>0.41</v>
      </c>
      <c r="AD234">
        <f>ROUND(((ET234*1.25)),6)</f>
        <v>2.4874999999999998</v>
      </c>
      <c r="AE234">
        <f>ROUND(((EU234*1.25)),6)</f>
        <v>0.1125</v>
      </c>
      <c r="AF234">
        <f>ROUND(((EV234*1.15)),6)</f>
        <v>17.111999999999998</v>
      </c>
      <c r="AG234">
        <f t="shared" si="205"/>
        <v>0</v>
      </c>
      <c r="AH234">
        <f>((EW234*1.15))</f>
        <v>1.2765</v>
      </c>
      <c r="AI234">
        <f>((EX234*1.25))</f>
        <v>0</v>
      </c>
      <c r="AJ234">
        <f t="shared" si="206"/>
        <v>0</v>
      </c>
      <c r="AK234">
        <v>17.28</v>
      </c>
      <c r="AL234">
        <v>0.41</v>
      </c>
      <c r="AM234">
        <v>1.99</v>
      </c>
      <c r="AN234">
        <v>0.09</v>
      </c>
      <c r="AO234">
        <v>14.88</v>
      </c>
      <c r="AP234">
        <v>0</v>
      </c>
      <c r="AQ234">
        <v>1.1100000000000001</v>
      </c>
      <c r="AR234">
        <v>0</v>
      </c>
      <c r="AS234">
        <v>0</v>
      </c>
      <c r="AT234">
        <v>73</v>
      </c>
      <c r="AU234">
        <v>41</v>
      </c>
      <c r="AV234">
        <v>1</v>
      </c>
      <c r="AW234">
        <v>1</v>
      </c>
      <c r="AZ234">
        <v>1</v>
      </c>
      <c r="BA234">
        <v>20.399999999999999</v>
      </c>
      <c r="BB234">
        <v>6.43</v>
      </c>
      <c r="BC234">
        <v>4.37</v>
      </c>
      <c r="BD234" t="s">
        <v>3</v>
      </c>
      <c r="BE234" t="s">
        <v>3</v>
      </c>
      <c r="BF234" t="s">
        <v>3</v>
      </c>
      <c r="BG234" t="s">
        <v>3</v>
      </c>
      <c r="BH234">
        <v>0</v>
      </c>
      <c r="BI234">
        <v>1</v>
      </c>
      <c r="BJ234" t="s">
        <v>323</v>
      </c>
      <c r="BM234">
        <v>87</v>
      </c>
      <c r="BN234">
        <v>7156650</v>
      </c>
      <c r="BO234" t="s">
        <v>320</v>
      </c>
      <c r="BP234">
        <v>1</v>
      </c>
      <c r="BQ234">
        <v>30</v>
      </c>
      <c r="BR234">
        <v>0</v>
      </c>
      <c r="BS234">
        <v>20.399999999999999</v>
      </c>
      <c r="BT234">
        <v>1</v>
      </c>
      <c r="BU234">
        <v>1</v>
      </c>
      <c r="BV234">
        <v>1</v>
      </c>
      <c r="BW234">
        <v>1</v>
      </c>
      <c r="BX234">
        <v>1</v>
      </c>
      <c r="BY234" t="s">
        <v>3</v>
      </c>
      <c r="BZ234">
        <v>73</v>
      </c>
      <c r="CA234">
        <v>41</v>
      </c>
      <c r="CF234">
        <v>0</v>
      </c>
      <c r="CG234">
        <v>0</v>
      </c>
      <c r="CM234">
        <v>0</v>
      </c>
      <c r="CN234" t="s">
        <v>3</v>
      </c>
      <c r="CO234">
        <v>0</v>
      </c>
      <c r="CP234">
        <f t="shared" si="207"/>
        <v>1100.6099999999999</v>
      </c>
      <c r="CQ234">
        <f t="shared" si="208"/>
        <v>1.7916999999999998</v>
      </c>
      <c r="CR234">
        <f t="shared" si="209"/>
        <v>15.994624999999997</v>
      </c>
      <c r="CS234">
        <f t="shared" si="210"/>
        <v>2.2949999999999999</v>
      </c>
      <c r="CT234">
        <f t="shared" si="211"/>
        <v>349.08479999999992</v>
      </c>
      <c r="CU234">
        <f t="shared" si="212"/>
        <v>0</v>
      </c>
      <c r="CV234">
        <f t="shared" si="213"/>
        <v>1.2765</v>
      </c>
      <c r="CW234">
        <f t="shared" si="214"/>
        <v>0</v>
      </c>
      <c r="CX234">
        <f t="shared" si="215"/>
        <v>0</v>
      </c>
      <c r="CY234">
        <f t="shared" si="216"/>
        <v>764.49249999999995</v>
      </c>
      <c r="CZ234">
        <f t="shared" si="217"/>
        <v>429.3725</v>
      </c>
      <c r="DC234" t="s">
        <v>3</v>
      </c>
      <c r="DD234" t="s">
        <v>3</v>
      </c>
      <c r="DE234" t="s">
        <v>324</v>
      </c>
      <c r="DF234" t="s">
        <v>324</v>
      </c>
      <c r="DG234" t="s">
        <v>325</v>
      </c>
      <c r="DH234" t="s">
        <v>3</v>
      </c>
      <c r="DI234" t="s">
        <v>325</v>
      </c>
      <c r="DJ234" t="s">
        <v>324</v>
      </c>
      <c r="DK234" t="s">
        <v>3</v>
      </c>
      <c r="DL234" t="s">
        <v>3</v>
      </c>
      <c r="DM234" t="s">
        <v>3</v>
      </c>
      <c r="DN234">
        <v>91</v>
      </c>
      <c r="DO234">
        <v>70</v>
      </c>
      <c r="DP234">
        <v>1.0469999999999999</v>
      </c>
      <c r="DQ234">
        <v>1.002</v>
      </c>
      <c r="DU234">
        <v>1013</v>
      </c>
      <c r="DV234" t="s">
        <v>322</v>
      </c>
      <c r="DW234" t="s">
        <v>322</v>
      </c>
      <c r="DX234">
        <v>1</v>
      </c>
      <c r="EE234">
        <v>44846594</v>
      </c>
      <c r="EF234">
        <v>30</v>
      </c>
      <c r="EG234" t="s">
        <v>38</v>
      </c>
      <c r="EH234">
        <v>0</v>
      </c>
      <c r="EI234" t="s">
        <v>3</v>
      </c>
      <c r="EJ234">
        <v>1</v>
      </c>
      <c r="EK234">
        <v>87</v>
      </c>
      <c r="EL234" t="s">
        <v>326</v>
      </c>
      <c r="EM234" t="s">
        <v>327</v>
      </c>
      <c r="EO234" t="s">
        <v>3</v>
      </c>
      <c r="EQ234">
        <v>131072</v>
      </c>
      <c r="ER234">
        <v>17.28</v>
      </c>
      <c r="ES234">
        <v>0.41</v>
      </c>
      <c r="ET234">
        <v>1.99</v>
      </c>
      <c r="EU234">
        <v>0.09</v>
      </c>
      <c r="EV234">
        <v>14.88</v>
      </c>
      <c r="EW234">
        <v>1.1100000000000001</v>
      </c>
      <c r="EX234">
        <v>0</v>
      </c>
      <c r="EY234">
        <v>0</v>
      </c>
      <c r="FQ234">
        <v>0</v>
      </c>
      <c r="FR234">
        <f t="shared" si="218"/>
        <v>0</v>
      </c>
      <c r="FS234">
        <v>0</v>
      </c>
      <c r="FX234">
        <v>91</v>
      </c>
      <c r="FY234">
        <v>70</v>
      </c>
      <c r="GA234" t="s">
        <v>3</v>
      </c>
      <c r="GD234">
        <v>0</v>
      </c>
      <c r="GF234">
        <v>1307162067</v>
      </c>
      <c r="GG234">
        <v>2</v>
      </c>
      <c r="GH234">
        <v>1</v>
      </c>
      <c r="GI234">
        <v>3</v>
      </c>
      <c r="GJ234">
        <v>0</v>
      </c>
      <c r="GK234">
        <f>ROUND(R234*(S12)/100,2)</f>
        <v>11.58</v>
      </c>
      <c r="GL234">
        <f t="shared" si="219"/>
        <v>0</v>
      </c>
      <c r="GM234">
        <f t="shared" si="220"/>
        <v>2306.0500000000002</v>
      </c>
      <c r="GN234">
        <f t="shared" si="221"/>
        <v>2306.0500000000002</v>
      </c>
      <c r="GO234">
        <f t="shared" si="222"/>
        <v>0</v>
      </c>
      <c r="GP234">
        <f t="shared" si="223"/>
        <v>0</v>
      </c>
      <c r="GR234">
        <v>0</v>
      </c>
      <c r="GS234">
        <v>3</v>
      </c>
      <c r="GT234">
        <v>0</v>
      </c>
      <c r="GU234" t="s">
        <v>3</v>
      </c>
      <c r="GV234">
        <f t="shared" si="224"/>
        <v>0</v>
      </c>
      <c r="GW234">
        <v>1</v>
      </c>
      <c r="GX234">
        <f t="shared" si="225"/>
        <v>0</v>
      </c>
      <c r="HA234">
        <v>0</v>
      </c>
      <c r="HB234">
        <v>0</v>
      </c>
      <c r="IK234">
        <v>0</v>
      </c>
    </row>
    <row r="235" spans="1:255" x14ac:dyDescent="0.2">
      <c r="A235" s="2">
        <v>18</v>
      </c>
      <c r="B235" s="2">
        <v>1</v>
      </c>
      <c r="C235" s="2">
        <v>225</v>
      </c>
      <c r="D235" s="2"/>
      <c r="E235" s="2" t="s">
        <v>328</v>
      </c>
      <c r="F235" s="2" t="s">
        <v>329</v>
      </c>
      <c r="G235" s="2" t="s">
        <v>330</v>
      </c>
      <c r="H235" s="2" t="s">
        <v>331</v>
      </c>
      <c r="I235" s="2">
        <f>I233*J235</f>
        <v>3</v>
      </c>
      <c r="J235" s="2">
        <v>1</v>
      </c>
      <c r="K235" s="2"/>
      <c r="L235" s="2"/>
      <c r="M235" s="2"/>
      <c r="N235" s="2"/>
      <c r="O235" s="2">
        <f t="shared" si="192"/>
        <v>4172.8500000000004</v>
      </c>
      <c r="P235" s="2">
        <f t="shared" si="193"/>
        <v>4172.8500000000004</v>
      </c>
      <c r="Q235" s="2">
        <f t="shared" si="194"/>
        <v>0</v>
      </c>
      <c r="R235" s="2">
        <f t="shared" si="195"/>
        <v>0</v>
      </c>
      <c r="S235" s="2">
        <f t="shared" si="196"/>
        <v>0</v>
      </c>
      <c r="T235" s="2">
        <f t="shared" si="197"/>
        <v>0</v>
      </c>
      <c r="U235" s="2">
        <f t="shared" si="198"/>
        <v>0</v>
      </c>
      <c r="V235" s="2">
        <f t="shared" si="199"/>
        <v>0</v>
      </c>
      <c r="W235" s="2">
        <f t="shared" si="200"/>
        <v>0</v>
      </c>
      <c r="X235" s="2">
        <f t="shared" si="201"/>
        <v>0</v>
      </c>
      <c r="Y235" s="2">
        <f t="shared" si="202"/>
        <v>0</v>
      </c>
      <c r="Z235" s="2"/>
      <c r="AA235" s="2">
        <v>45037306</v>
      </c>
      <c r="AB235" s="2">
        <f t="shared" si="203"/>
        <v>1390.95</v>
      </c>
      <c r="AC235" s="2">
        <f t="shared" si="204"/>
        <v>1390.95</v>
      </c>
      <c r="AD235" s="2">
        <f t="shared" ref="AD235:AF236" si="232">ROUND((ET235),6)</f>
        <v>0</v>
      </c>
      <c r="AE235" s="2">
        <f t="shared" si="232"/>
        <v>0</v>
      </c>
      <c r="AF235" s="2">
        <f t="shared" si="232"/>
        <v>0</v>
      </c>
      <c r="AG235" s="2">
        <f t="shared" si="205"/>
        <v>0</v>
      </c>
      <c r="AH235" s="2">
        <f>(EW235)</f>
        <v>0</v>
      </c>
      <c r="AI235" s="2">
        <f>(EX235)</f>
        <v>0</v>
      </c>
      <c r="AJ235" s="2">
        <f t="shared" si="206"/>
        <v>0</v>
      </c>
      <c r="AK235" s="2">
        <v>1390.95</v>
      </c>
      <c r="AL235" s="2">
        <v>1390.95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1</v>
      </c>
      <c r="AW235" s="2">
        <v>1</v>
      </c>
      <c r="AX235" s="2"/>
      <c r="AY235" s="2"/>
      <c r="AZ235" s="2">
        <v>1</v>
      </c>
      <c r="BA235" s="2">
        <v>1</v>
      </c>
      <c r="BB235" s="2">
        <v>1</v>
      </c>
      <c r="BC235" s="2">
        <v>1</v>
      </c>
      <c r="BD235" s="2" t="s">
        <v>3</v>
      </c>
      <c r="BE235" s="2" t="s">
        <v>3</v>
      </c>
      <c r="BF235" s="2" t="s">
        <v>3</v>
      </c>
      <c r="BG235" s="2" t="s">
        <v>3</v>
      </c>
      <c r="BH235" s="2">
        <v>3</v>
      </c>
      <c r="BI235" s="2">
        <v>1</v>
      </c>
      <c r="BJ235" s="2" t="s">
        <v>332</v>
      </c>
      <c r="BK235" s="2"/>
      <c r="BL235" s="2"/>
      <c r="BM235" s="2">
        <v>87</v>
      </c>
      <c r="BN235" s="2">
        <v>7156650</v>
      </c>
      <c r="BO235" s="2" t="s">
        <v>3</v>
      </c>
      <c r="BP235" s="2">
        <v>0</v>
      </c>
      <c r="BQ235" s="2">
        <v>30</v>
      </c>
      <c r="BR235" s="2">
        <v>0</v>
      </c>
      <c r="BS235" s="2">
        <v>1</v>
      </c>
      <c r="BT235" s="2">
        <v>1</v>
      </c>
      <c r="BU235" s="2">
        <v>1</v>
      </c>
      <c r="BV235" s="2">
        <v>1</v>
      </c>
      <c r="BW235" s="2">
        <v>1</v>
      </c>
      <c r="BX235" s="2">
        <v>1</v>
      </c>
      <c r="BY235" s="2" t="s">
        <v>3</v>
      </c>
      <c r="BZ235" s="2">
        <v>0</v>
      </c>
      <c r="CA235" s="2">
        <v>0</v>
      </c>
      <c r="CB235" s="2"/>
      <c r="CC235" s="2"/>
      <c r="CD235" s="2"/>
      <c r="CE235" s="2"/>
      <c r="CF235" s="2">
        <v>0</v>
      </c>
      <c r="CG235" s="2">
        <v>0</v>
      </c>
      <c r="CH235" s="2"/>
      <c r="CI235" s="2"/>
      <c r="CJ235" s="2"/>
      <c r="CK235" s="2"/>
      <c r="CL235" s="2"/>
      <c r="CM235" s="2">
        <v>0</v>
      </c>
      <c r="CN235" s="2" t="s">
        <v>3</v>
      </c>
      <c r="CO235" s="2">
        <v>0</v>
      </c>
      <c r="CP235" s="2">
        <f t="shared" si="207"/>
        <v>4172.8500000000004</v>
      </c>
      <c r="CQ235" s="2">
        <f t="shared" si="208"/>
        <v>1390.95</v>
      </c>
      <c r="CR235" s="2">
        <f t="shared" si="209"/>
        <v>0</v>
      </c>
      <c r="CS235" s="2">
        <f t="shared" si="210"/>
        <v>0</v>
      </c>
      <c r="CT235" s="2">
        <f t="shared" si="211"/>
        <v>0</v>
      </c>
      <c r="CU235" s="2">
        <f t="shared" si="212"/>
        <v>0</v>
      </c>
      <c r="CV235" s="2">
        <f t="shared" si="213"/>
        <v>0</v>
      </c>
      <c r="CW235" s="2">
        <f t="shared" si="214"/>
        <v>0</v>
      </c>
      <c r="CX235" s="2">
        <f t="shared" si="215"/>
        <v>0</v>
      </c>
      <c r="CY235" s="2">
        <f t="shared" si="216"/>
        <v>0</v>
      </c>
      <c r="CZ235" s="2">
        <f t="shared" si="217"/>
        <v>0</v>
      </c>
      <c r="DA235" s="2"/>
      <c r="DB235" s="2"/>
      <c r="DC235" s="2" t="s">
        <v>3</v>
      </c>
      <c r="DD235" s="2" t="s">
        <v>3</v>
      </c>
      <c r="DE235" s="2" t="s">
        <v>3</v>
      </c>
      <c r="DF235" s="2" t="s">
        <v>3</v>
      </c>
      <c r="DG235" s="2" t="s">
        <v>3</v>
      </c>
      <c r="DH235" s="2" t="s">
        <v>3</v>
      </c>
      <c r="DI235" s="2" t="s">
        <v>3</v>
      </c>
      <c r="DJ235" s="2" t="s">
        <v>3</v>
      </c>
      <c r="DK235" s="2" t="s">
        <v>3</v>
      </c>
      <c r="DL235" s="2" t="s">
        <v>3</v>
      </c>
      <c r="DM235" s="2" t="s">
        <v>3</v>
      </c>
      <c r="DN235" s="2">
        <v>91</v>
      </c>
      <c r="DO235" s="2">
        <v>70</v>
      </c>
      <c r="DP235" s="2">
        <v>1.0469999999999999</v>
      </c>
      <c r="DQ235" s="2">
        <v>1.002</v>
      </c>
      <c r="DR235" s="2"/>
      <c r="DS235" s="2"/>
      <c r="DT235" s="2"/>
      <c r="DU235" s="2">
        <v>1013</v>
      </c>
      <c r="DV235" s="2" t="s">
        <v>331</v>
      </c>
      <c r="DW235" s="2" t="s">
        <v>331</v>
      </c>
      <c r="DX235" s="2">
        <v>1</v>
      </c>
      <c r="DY235" s="2"/>
      <c r="DZ235" s="2"/>
      <c r="EA235" s="2"/>
      <c r="EB235" s="2"/>
      <c r="EC235" s="2"/>
      <c r="ED235" s="2"/>
      <c r="EE235" s="2">
        <v>44846594</v>
      </c>
      <c r="EF235" s="2">
        <v>30</v>
      </c>
      <c r="EG235" s="2" t="s">
        <v>38</v>
      </c>
      <c r="EH235" s="2">
        <v>0</v>
      </c>
      <c r="EI235" s="2" t="s">
        <v>3</v>
      </c>
      <c r="EJ235" s="2">
        <v>1</v>
      </c>
      <c r="EK235" s="2">
        <v>87</v>
      </c>
      <c r="EL235" s="2" t="s">
        <v>326</v>
      </c>
      <c r="EM235" s="2" t="s">
        <v>327</v>
      </c>
      <c r="EN235" s="2"/>
      <c r="EO235" s="2" t="s">
        <v>3</v>
      </c>
      <c r="EP235" s="2"/>
      <c r="EQ235" s="2">
        <v>0</v>
      </c>
      <c r="ER235" s="2">
        <v>1390.95</v>
      </c>
      <c r="ES235" s="2">
        <v>1390.95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>
        <v>0</v>
      </c>
      <c r="FR235" s="2">
        <f t="shared" si="218"/>
        <v>0</v>
      </c>
      <c r="FS235" s="2">
        <v>0</v>
      </c>
      <c r="FT235" s="2"/>
      <c r="FU235" s="2"/>
      <c r="FV235" s="2"/>
      <c r="FW235" s="2"/>
      <c r="FX235" s="2">
        <v>91</v>
      </c>
      <c r="FY235" s="2">
        <v>70</v>
      </c>
      <c r="FZ235" s="2"/>
      <c r="GA235" s="2" t="s">
        <v>3</v>
      </c>
      <c r="GB235" s="2"/>
      <c r="GC235" s="2"/>
      <c r="GD235" s="2">
        <v>0</v>
      </c>
      <c r="GE235" s="2"/>
      <c r="GF235" s="2">
        <v>568915023</v>
      </c>
      <c r="GG235" s="2">
        <v>2</v>
      </c>
      <c r="GH235" s="2">
        <v>1</v>
      </c>
      <c r="GI235" s="2">
        <v>3</v>
      </c>
      <c r="GJ235" s="2">
        <v>0</v>
      </c>
      <c r="GK235" s="2">
        <f>ROUND(R235*(R12)/100,2)</f>
        <v>0</v>
      </c>
      <c r="GL235" s="2">
        <f t="shared" si="219"/>
        <v>0</v>
      </c>
      <c r="GM235" s="2">
        <f t="shared" si="220"/>
        <v>4172.8500000000004</v>
      </c>
      <c r="GN235" s="2">
        <f t="shared" si="221"/>
        <v>4172.8500000000004</v>
      </c>
      <c r="GO235" s="2">
        <f t="shared" si="222"/>
        <v>0</v>
      </c>
      <c r="GP235" s="2">
        <f t="shared" si="223"/>
        <v>0</v>
      </c>
      <c r="GQ235" s="2"/>
      <c r="GR235" s="2">
        <v>0</v>
      </c>
      <c r="GS235" s="2">
        <v>3</v>
      </c>
      <c r="GT235" s="2">
        <v>0</v>
      </c>
      <c r="GU235" s="2" t="s">
        <v>3</v>
      </c>
      <c r="GV235" s="2">
        <f t="shared" si="224"/>
        <v>0</v>
      </c>
      <c r="GW235" s="2">
        <v>1</v>
      </c>
      <c r="GX235" s="2">
        <f t="shared" si="225"/>
        <v>0</v>
      </c>
      <c r="GY235" s="2"/>
      <c r="GZ235" s="2"/>
      <c r="HA235" s="2">
        <v>0</v>
      </c>
      <c r="HB235" s="2">
        <v>0</v>
      </c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2"/>
      <c r="HZ235" s="2"/>
      <c r="IA235" s="2"/>
      <c r="IB235" s="2"/>
      <c r="IC235" s="2"/>
      <c r="ID235" s="2"/>
      <c r="IE235" s="2"/>
      <c r="IF235" s="2"/>
      <c r="IG235" s="2"/>
      <c r="IH235" s="2"/>
      <c r="II235" s="2"/>
      <c r="IJ235" s="2"/>
      <c r="IK235" s="2">
        <v>0</v>
      </c>
      <c r="IL235" s="2"/>
      <c r="IM235" s="2"/>
      <c r="IN235" s="2"/>
      <c r="IO235" s="2"/>
      <c r="IP235" s="2"/>
      <c r="IQ235" s="2"/>
      <c r="IR235" s="2"/>
      <c r="IS235" s="2"/>
      <c r="IT235" s="2"/>
      <c r="IU235" s="2"/>
    </row>
    <row r="236" spans="1:255" x14ac:dyDescent="0.2">
      <c r="A236">
        <v>18</v>
      </c>
      <c r="B236">
        <v>1</v>
      </c>
      <c r="C236">
        <v>232</v>
      </c>
      <c r="E236" t="s">
        <v>328</v>
      </c>
      <c r="F236" t="s">
        <v>329</v>
      </c>
      <c r="G236" t="s">
        <v>330</v>
      </c>
      <c r="H236" t="s">
        <v>331</v>
      </c>
      <c r="I236">
        <f>I234*J236</f>
        <v>3</v>
      </c>
      <c r="J236">
        <v>1</v>
      </c>
      <c r="O236">
        <f t="shared" si="192"/>
        <v>14980.53</v>
      </c>
      <c r="P236">
        <f t="shared" si="193"/>
        <v>14980.53</v>
      </c>
      <c r="Q236">
        <f t="shared" si="194"/>
        <v>0</v>
      </c>
      <c r="R236">
        <f t="shared" si="195"/>
        <v>0</v>
      </c>
      <c r="S236">
        <f t="shared" si="196"/>
        <v>0</v>
      </c>
      <c r="T236">
        <f t="shared" si="197"/>
        <v>0</v>
      </c>
      <c r="U236">
        <f t="shared" si="198"/>
        <v>0</v>
      </c>
      <c r="V236">
        <f t="shared" si="199"/>
        <v>0</v>
      </c>
      <c r="W236">
        <f t="shared" si="200"/>
        <v>0</v>
      </c>
      <c r="X236">
        <f t="shared" si="201"/>
        <v>0</v>
      </c>
      <c r="Y236">
        <f t="shared" si="202"/>
        <v>0</v>
      </c>
      <c r="AA236">
        <v>45037307</v>
      </c>
      <c r="AB236">
        <f t="shared" si="203"/>
        <v>1390.95</v>
      </c>
      <c r="AC236">
        <f t="shared" si="204"/>
        <v>1390.95</v>
      </c>
      <c r="AD236">
        <f t="shared" si="232"/>
        <v>0</v>
      </c>
      <c r="AE236">
        <f t="shared" si="232"/>
        <v>0</v>
      </c>
      <c r="AF236">
        <f t="shared" si="232"/>
        <v>0</v>
      </c>
      <c r="AG236">
        <f t="shared" si="205"/>
        <v>0</v>
      </c>
      <c r="AH236">
        <f>(EW236)</f>
        <v>0</v>
      </c>
      <c r="AI236">
        <f>(EX236)</f>
        <v>0</v>
      </c>
      <c r="AJ236">
        <f t="shared" si="206"/>
        <v>0</v>
      </c>
      <c r="AK236">
        <v>1390.95</v>
      </c>
      <c r="AL236">
        <v>1390.95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1</v>
      </c>
      <c r="AW236">
        <v>1</v>
      </c>
      <c r="AZ236">
        <v>1</v>
      </c>
      <c r="BA236">
        <v>1</v>
      </c>
      <c r="BB236">
        <v>1</v>
      </c>
      <c r="BC236">
        <v>3.59</v>
      </c>
      <c r="BD236" t="s">
        <v>3</v>
      </c>
      <c r="BE236" t="s">
        <v>3</v>
      </c>
      <c r="BF236" t="s">
        <v>3</v>
      </c>
      <c r="BG236" t="s">
        <v>3</v>
      </c>
      <c r="BH236">
        <v>3</v>
      </c>
      <c r="BI236">
        <v>1</v>
      </c>
      <c r="BJ236" t="s">
        <v>332</v>
      </c>
      <c r="BM236">
        <v>87</v>
      </c>
      <c r="BN236">
        <v>7156650</v>
      </c>
      <c r="BO236" t="s">
        <v>329</v>
      </c>
      <c r="BP236">
        <v>1</v>
      </c>
      <c r="BQ236">
        <v>30</v>
      </c>
      <c r="BR236">
        <v>0</v>
      </c>
      <c r="BS236">
        <v>1</v>
      </c>
      <c r="BT236">
        <v>1</v>
      </c>
      <c r="BU236">
        <v>1</v>
      </c>
      <c r="BV236">
        <v>1</v>
      </c>
      <c r="BW236">
        <v>1</v>
      </c>
      <c r="BX236">
        <v>1</v>
      </c>
      <c r="BY236" t="s">
        <v>3</v>
      </c>
      <c r="BZ236">
        <v>0</v>
      </c>
      <c r="CA236">
        <v>0</v>
      </c>
      <c r="CF236">
        <v>0</v>
      </c>
      <c r="CG236">
        <v>0</v>
      </c>
      <c r="CM236">
        <v>0</v>
      </c>
      <c r="CN236" t="s">
        <v>3</v>
      </c>
      <c r="CO236">
        <v>0</v>
      </c>
      <c r="CP236">
        <f t="shared" si="207"/>
        <v>14980.53</v>
      </c>
      <c r="CQ236">
        <f t="shared" si="208"/>
        <v>4993.5105000000003</v>
      </c>
      <c r="CR236">
        <f t="shared" si="209"/>
        <v>0</v>
      </c>
      <c r="CS236">
        <f t="shared" si="210"/>
        <v>0</v>
      </c>
      <c r="CT236">
        <f t="shared" si="211"/>
        <v>0</v>
      </c>
      <c r="CU236">
        <f t="shared" si="212"/>
        <v>0</v>
      </c>
      <c r="CV236">
        <f t="shared" si="213"/>
        <v>0</v>
      </c>
      <c r="CW236">
        <f t="shared" si="214"/>
        <v>0</v>
      </c>
      <c r="CX236">
        <f t="shared" si="215"/>
        <v>0</v>
      </c>
      <c r="CY236">
        <f t="shared" si="216"/>
        <v>0</v>
      </c>
      <c r="CZ236">
        <f t="shared" si="217"/>
        <v>0</v>
      </c>
      <c r="DC236" t="s">
        <v>3</v>
      </c>
      <c r="DD236" t="s">
        <v>3</v>
      </c>
      <c r="DE236" t="s">
        <v>3</v>
      </c>
      <c r="DF236" t="s">
        <v>3</v>
      </c>
      <c r="DG236" t="s">
        <v>3</v>
      </c>
      <c r="DH236" t="s">
        <v>3</v>
      </c>
      <c r="DI236" t="s">
        <v>3</v>
      </c>
      <c r="DJ236" t="s">
        <v>3</v>
      </c>
      <c r="DK236" t="s">
        <v>3</v>
      </c>
      <c r="DL236" t="s">
        <v>3</v>
      </c>
      <c r="DM236" t="s">
        <v>3</v>
      </c>
      <c r="DN236">
        <v>91</v>
      </c>
      <c r="DO236">
        <v>70</v>
      </c>
      <c r="DP236">
        <v>1.0469999999999999</v>
      </c>
      <c r="DQ236">
        <v>1.002</v>
      </c>
      <c r="DU236">
        <v>1013</v>
      </c>
      <c r="DV236" t="s">
        <v>331</v>
      </c>
      <c r="DW236" t="s">
        <v>331</v>
      </c>
      <c r="DX236">
        <v>1</v>
      </c>
      <c r="EE236">
        <v>44846594</v>
      </c>
      <c r="EF236">
        <v>30</v>
      </c>
      <c r="EG236" t="s">
        <v>38</v>
      </c>
      <c r="EH236">
        <v>0</v>
      </c>
      <c r="EI236" t="s">
        <v>3</v>
      </c>
      <c r="EJ236">
        <v>1</v>
      </c>
      <c r="EK236">
        <v>87</v>
      </c>
      <c r="EL236" t="s">
        <v>326</v>
      </c>
      <c r="EM236" t="s">
        <v>327</v>
      </c>
      <c r="EO236" t="s">
        <v>3</v>
      </c>
      <c r="EQ236">
        <v>0</v>
      </c>
      <c r="ER236">
        <v>1390.95</v>
      </c>
      <c r="ES236">
        <v>1390.95</v>
      </c>
      <c r="ET236">
        <v>0</v>
      </c>
      <c r="EU236">
        <v>0</v>
      </c>
      <c r="EV236">
        <v>0</v>
      </c>
      <c r="EW236">
        <v>0</v>
      </c>
      <c r="EX236">
        <v>0</v>
      </c>
      <c r="FQ236">
        <v>0</v>
      </c>
      <c r="FR236">
        <f t="shared" si="218"/>
        <v>0</v>
      </c>
      <c r="FS236">
        <v>0</v>
      </c>
      <c r="FX236">
        <v>91</v>
      </c>
      <c r="FY236">
        <v>70</v>
      </c>
      <c r="GA236" t="s">
        <v>3</v>
      </c>
      <c r="GD236">
        <v>0</v>
      </c>
      <c r="GF236">
        <v>568915023</v>
      </c>
      <c r="GG236">
        <v>2</v>
      </c>
      <c r="GH236">
        <v>1</v>
      </c>
      <c r="GI236">
        <v>3</v>
      </c>
      <c r="GJ236">
        <v>0</v>
      </c>
      <c r="GK236">
        <f>ROUND(R236*(S12)/100,2)</f>
        <v>0</v>
      </c>
      <c r="GL236">
        <f t="shared" si="219"/>
        <v>0</v>
      </c>
      <c r="GM236">
        <f t="shared" si="220"/>
        <v>14980.53</v>
      </c>
      <c r="GN236">
        <f t="shared" si="221"/>
        <v>14980.53</v>
      </c>
      <c r="GO236">
        <f t="shared" si="222"/>
        <v>0</v>
      </c>
      <c r="GP236">
        <f t="shared" si="223"/>
        <v>0</v>
      </c>
      <c r="GR236">
        <v>0</v>
      </c>
      <c r="GS236">
        <v>3</v>
      </c>
      <c r="GT236">
        <v>0</v>
      </c>
      <c r="GU236" t="s">
        <v>3</v>
      </c>
      <c r="GV236">
        <f t="shared" si="224"/>
        <v>0</v>
      </c>
      <c r="GW236">
        <v>1</v>
      </c>
      <c r="GX236">
        <f t="shared" si="225"/>
        <v>0</v>
      </c>
      <c r="HA236">
        <v>0</v>
      </c>
      <c r="HB236">
        <v>0</v>
      </c>
      <c r="IK236">
        <v>0</v>
      </c>
    </row>
    <row r="238" spans="1:255" x14ac:dyDescent="0.2">
      <c r="A238" s="3">
        <v>51</v>
      </c>
      <c r="B238" s="3">
        <f>B179</f>
        <v>1</v>
      </c>
      <c r="C238" s="3">
        <f>A179</f>
        <v>5</v>
      </c>
      <c r="D238" s="3">
        <f>ROW(A179)</f>
        <v>179</v>
      </c>
      <c r="E238" s="3"/>
      <c r="F238" s="3" t="str">
        <f>IF(F179&lt;&gt;"",F179,"")</f>
        <v>Новый подраздел</v>
      </c>
      <c r="G238" s="3" t="str">
        <f>IF(G179&lt;&gt;"",G179,"")</f>
        <v>Входная группа</v>
      </c>
      <c r="H238" s="3">
        <v>0</v>
      </c>
      <c r="I238" s="3"/>
      <c r="J238" s="3"/>
      <c r="K238" s="3"/>
      <c r="L238" s="3"/>
      <c r="M238" s="3"/>
      <c r="N238" s="3"/>
      <c r="O238" s="3">
        <f t="shared" ref="O238:T238" si="233">ROUND(AB238,2)</f>
        <v>70179.02</v>
      </c>
      <c r="P238" s="3">
        <f t="shared" si="233"/>
        <v>69329.67</v>
      </c>
      <c r="Q238" s="3">
        <f t="shared" si="233"/>
        <v>87.2</v>
      </c>
      <c r="R238" s="3">
        <f t="shared" si="233"/>
        <v>17.809999999999999</v>
      </c>
      <c r="S238" s="3">
        <f t="shared" si="233"/>
        <v>762.15</v>
      </c>
      <c r="T238" s="3">
        <f t="shared" si="233"/>
        <v>0</v>
      </c>
      <c r="U238" s="3">
        <f>AH238</f>
        <v>62.471300499999991</v>
      </c>
      <c r="V238" s="3">
        <f>AI238</f>
        <v>0</v>
      </c>
      <c r="W238" s="3">
        <f>ROUND(AJ238,2)</f>
        <v>0</v>
      </c>
      <c r="X238" s="3">
        <f>ROUND(AK238,2)</f>
        <v>0</v>
      </c>
      <c r="Y238" s="3">
        <f>ROUND(AL238,2)</f>
        <v>0</v>
      </c>
      <c r="Z238" s="3"/>
      <c r="AA238" s="3"/>
      <c r="AB238" s="3">
        <f>ROUND(SUMIF(AA183:AA236,"=45037306",O183:O236),2)</f>
        <v>70179.02</v>
      </c>
      <c r="AC238" s="3">
        <f>ROUND(SUMIF(AA183:AA236,"=45037306",P183:P236),2)</f>
        <v>69329.67</v>
      </c>
      <c r="AD238" s="3">
        <f>ROUND(SUMIF(AA183:AA236,"=45037306",Q183:Q236),2)</f>
        <v>87.2</v>
      </c>
      <c r="AE238" s="3">
        <f>ROUND(SUMIF(AA183:AA236,"=45037306",R183:R236),2)</f>
        <v>17.809999999999999</v>
      </c>
      <c r="AF238" s="3">
        <f>ROUND(SUMIF(AA183:AA236,"=45037306",S183:S236),2)</f>
        <v>762.15</v>
      </c>
      <c r="AG238" s="3">
        <f>ROUND(SUMIF(AA183:AA236,"=45037306",T183:T236),2)</f>
        <v>0</v>
      </c>
      <c r="AH238" s="3">
        <f>SUMIF(AA183:AA236,"=45037306",U183:U236)</f>
        <v>62.471300499999991</v>
      </c>
      <c r="AI238" s="3">
        <f>SUMIF(AA183:AA236,"=45037306",V183:V236)</f>
        <v>0</v>
      </c>
      <c r="AJ238" s="3">
        <f>ROUND(SUMIF(AA183:AA236,"=45037306",W183:W236),2)</f>
        <v>0</v>
      </c>
      <c r="AK238" s="3">
        <f>ROUND(SUMIF(AA183:AA236,"=45037306",X183:X236),2)</f>
        <v>0</v>
      </c>
      <c r="AL238" s="3">
        <f>ROUND(SUMIF(AA183:AA236,"=45037306",Y183:Y236),2)</f>
        <v>0</v>
      </c>
      <c r="AM238" s="3"/>
      <c r="AN238" s="3"/>
      <c r="AO238" s="3">
        <f t="shared" ref="AO238:BC238" si="234">ROUND(BX238,2)</f>
        <v>0</v>
      </c>
      <c r="AP238" s="3">
        <f t="shared" si="234"/>
        <v>0</v>
      </c>
      <c r="AQ238" s="3">
        <f t="shared" si="234"/>
        <v>0</v>
      </c>
      <c r="AR238" s="3">
        <f t="shared" si="234"/>
        <v>70211.08</v>
      </c>
      <c r="AS238" s="3">
        <f t="shared" si="234"/>
        <v>70211.08</v>
      </c>
      <c r="AT238" s="3">
        <f t="shared" si="234"/>
        <v>0</v>
      </c>
      <c r="AU238" s="3">
        <f t="shared" si="234"/>
        <v>0</v>
      </c>
      <c r="AV238" s="3">
        <f t="shared" si="234"/>
        <v>69329.67</v>
      </c>
      <c r="AW238" s="3">
        <f t="shared" si="234"/>
        <v>69329.67</v>
      </c>
      <c r="AX238" s="3">
        <f t="shared" si="234"/>
        <v>0</v>
      </c>
      <c r="AY238" s="3">
        <f t="shared" si="234"/>
        <v>69329.67</v>
      </c>
      <c r="AZ238" s="3">
        <f t="shared" si="234"/>
        <v>0</v>
      </c>
      <c r="BA238" s="3">
        <f t="shared" si="234"/>
        <v>0</v>
      </c>
      <c r="BB238" s="3">
        <f t="shared" si="234"/>
        <v>0</v>
      </c>
      <c r="BC238" s="3">
        <f t="shared" si="234"/>
        <v>0</v>
      </c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>
        <f>ROUND(SUMIF(AA183:AA236,"=45037306",FQ183:FQ236),2)</f>
        <v>0</v>
      </c>
      <c r="BY238" s="3">
        <f>ROUND(SUMIF(AA183:AA236,"=45037306",FR183:FR236),2)</f>
        <v>0</v>
      </c>
      <c r="BZ238" s="3">
        <f>ROUND(SUMIF(AA183:AA236,"=45037306",GL183:GL236),2)</f>
        <v>0</v>
      </c>
      <c r="CA238" s="3">
        <f>ROUND(SUMIF(AA183:AA236,"=45037306",GM183:GM236),2)</f>
        <v>70211.08</v>
      </c>
      <c r="CB238" s="3">
        <f>ROUND(SUMIF(AA183:AA236,"=45037306",GN183:GN236),2)</f>
        <v>70211.08</v>
      </c>
      <c r="CC238" s="3">
        <f>ROUND(SUMIF(AA183:AA236,"=45037306",GO183:GO236),2)</f>
        <v>0</v>
      </c>
      <c r="CD238" s="3">
        <f>ROUND(SUMIF(AA183:AA236,"=45037306",GP183:GP236),2)</f>
        <v>0</v>
      </c>
      <c r="CE238" s="3">
        <f>AC238-BX238</f>
        <v>69329.67</v>
      </c>
      <c r="CF238" s="3">
        <f>AC238-BY238</f>
        <v>69329.67</v>
      </c>
      <c r="CG238" s="3">
        <f>BX238-BZ238</f>
        <v>0</v>
      </c>
      <c r="CH238" s="3">
        <f>AC238-BX238-BY238+BZ238</f>
        <v>69329.67</v>
      </c>
      <c r="CI238" s="3">
        <f>BY238-BZ238</f>
        <v>0</v>
      </c>
      <c r="CJ238" s="3">
        <f>ROUND(SUMIF(AA183:AA236,"=45037306",GX183:GX236),2)</f>
        <v>0</v>
      </c>
      <c r="CK238" s="3">
        <f>ROUND(SUMIF(AA183:AA236,"=45037306",GY183:GY236),2)</f>
        <v>0</v>
      </c>
      <c r="CL238" s="3">
        <f>ROUND(SUMIF(AA183:AA236,"=45037306",GZ183:GZ236),2)</f>
        <v>0</v>
      </c>
      <c r="CM238" s="3"/>
      <c r="CN238" s="3"/>
      <c r="CO238" s="3"/>
      <c r="CP238" s="3"/>
      <c r="CQ238" s="3"/>
      <c r="CR238" s="3"/>
      <c r="CS238" s="3"/>
      <c r="CT238" s="3"/>
      <c r="CU238" s="3"/>
      <c r="CV238" s="3"/>
      <c r="CW238" s="3"/>
      <c r="CX238" s="3"/>
      <c r="CY238" s="3"/>
      <c r="CZ238" s="3"/>
      <c r="DA238" s="3"/>
      <c r="DB238" s="3"/>
      <c r="DC238" s="3"/>
      <c r="DD238" s="3"/>
      <c r="DE238" s="3"/>
      <c r="DF238" s="3"/>
      <c r="DG238" s="4">
        <f t="shared" ref="DG238:DL238" si="235">ROUND(DT238,2)</f>
        <v>202613.54</v>
      </c>
      <c r="DH238" s="4">
        <f t="shared" si="235"/>
        <v>186329.78</v>
      </c>
      <c r="DI238" s="4">
        <f t="shared" si="235"/>
        <v>736.14</v>
      </c>
      <c r="DJ238" s="4">
        <f t="shared" si="235"/>
        <v>363.29</v>
      </c>
      <c r="DK238" s="4">
        <f t="shared" si="235"/>
        <v>15547.62</v>
      </c>
      <c r="DL238" s="4">
        <f t="shared" si="235"/>
        <v>0</v>
      </c>
      <c r="DM238" s="4">
        <f>DZ238</f>
        <v>62.471300499999991</v>
      </c>
      <c r="DN238" s="4">
        <f>EA238</f>
        <v>0</v>
      </c>
      <c r="DO238" s="4">
        <f>ROUND(EB238,2)</f>
        <v>0</v>
      </c>
      <c r="DP238" s="4">
        <f>ROUND(EC238,2)</f>
        <v>11497.09</v>
      </c>
      <c r="DQ238" s="4">
        <f>ROUND(ED238,2)</f>
        <v>6374.52</v>
      </c>
      <c r="DR238" s="4"/>
      <c r="DS238" s="4"/>
      <c r="DT238" s="4">
        <f>ROUND(SUMIF(AA183:AA236,"=45037307",O183:O236),2)</f>
        <v>202613.54</v>
      </c>
      <c r="DU238" s="4">
        <f>ROUND(SUMIF(AA183:AA236,"=45037307",P183:P236),2)</f>
        <v>186329.78</v>
      </c>
      <c r="DV238" s="4">
        <f>ROUND(SUMIF(AA183:AA236,"=45037307",Q183:Q236),2)</f>
        <v>736.14</v>
      </c>
      <c r="DW238" s="4">
        <f>ROUND(SUMIF(AA183:AA236,"=45037307",R183:R236),2)</f>
        <v>363.29</v>
      </c>
      <c r="DX238" s="4">
        <f>ROUND(SUMIF(AA183:AA236,"=45037307",S183:S236),2)</f>
        <v>15547.62</v>
      </c>
      <c r="DY238" s="4">
        <f>ROUND(SUMIF(AA183:AA236,"=45037307",T183:T236),2)</f>
        <v>0</v>
      </c>
      <c r="DZ238" s="4">
        <f>SUMIF(AA183:AA236,"=45037307",U183:U236)</f>
        <v>62.471300499999991</v>
      </c>
      <c r="EA238" s="4">
        <f>SUMIF(AA183:AA236,"=45037307",V183:V236)</f>
        <v>0</v>
      </c>
      <c r="EB238" s="4">
        <f>ROUND(SUMIF(AA183:AA236,"=45037307",W183:W236),2)</f>
        <v>0</v>
      </c>
      <c r="EC238" s="4">
        <f>ROUND(SUMIF(AA183:AA236,"=45037307",X183:X236),2)</f>
        <v>11497.09</v>
      </c>
      <c r="ED238" s="4">
        <f>ROUND(SUMIF(AA183:AA236,"=45037307",Y183:Y236),2)</f>
        <v>6374.52</v>
      </c>
      <c r="EE238" s="4"/>
      <c r="EF238" s="4"/>
      <c r="EG238" s="4">
        <f t="shared" ref="EG238:EU238" si="236">ROUND(FP238,2)</f>
        <v>0</v>
      </c>
      <c r="EH238" s="4">
        <f t="shared" si="236"/>
        <v>0</v>
      </c>
      <c r="EI238" s="4">
        <f t="shared" si="236"/>
        <v>0</v>
      </c>
      <c r="EJ238" s="4">
        <f t="shared" si="236"/>
        <v>221095.48</v>
      </c>
      <c r="EK238" s="4">
        <f t="shared" si="236"/>
        <v>221095.48</v>
      </c>
      <c r="EL238" s="4">
        <f t="shared" si="236"/>
        <v>0</v>
      </c>
      <c r="EM238" s="4">
        <f t="shared" si="236"/>
        <v>0</v>
      </c>
      <c r="EN238" s="4">
        <f t="shared" si="236"/>
        <v>186329.78</v>
      </c>
      <c r="EO238" s="4">
        <f t="shared" si="236"/>
        <v>186329.78</v>
      </c>
      <c r="EP238" s="4">
        <f t="shared" si="236"/>
        <v>0</v>
      </c>
      <c r="EQ238" s="4">
        <f t="shared" si="236"/>
        <v>186329.78</v>
      </c>
      <c r="ER238" s="4">
        <f t="shared" si="236"/>
        <v>0</v>
      </c>
      <c r="ES238" s="4">
        <f t="shared" si="236"/>
        <v>0</v>
      </c>
      <c r="ET238" s="4">
        <f t="shared" si="236"/>
        <v>0</v>
      </c>
      <c r="EU238" s="4">
        <f t="shared" si="236"/>
        <v>0</v>
      </c>
      <c r="EV238" s="4"/>
      <c r="EW238" s="4"/>
      <c r="EX238" s="4"/>
      <c r="EY238" s="4"/>
      <c r="EZ238" s="4"/>
      <c r="FA238" s="4"/>
      <c r="FB238" s="4"/>
      <c r="FC238" s="4"/>
      <c r="FD238" s="4"/>
      <c r="FE238" s="4"/>
      <c r="FF238" s="4"/>
      <c r="FG238" s="4"/>
      <c r="FH238" s="4"/>
      <c r="FI238" s="4"/>
      <c r="FJ238" s="4"/>
      <c r="FK238" s="4"/>
      <c r="FL238" s="4"/>
      <c r="FM238" s="4"/>
      <c r="FN238" s="4"/>
      <c r="FO238" s="4"/>
      <c r="FP238" s="4">
        <f>ROUND(SUMIF(AA183:AA236,"=45037307",FQ183:FQ236),2)</f>
        <v>0</v>
      </c>
      <c r="FQ238" s="4">
        <f>ROUND(SUMIF(AA183:AA236,"=45037307",FR183:FR236),2)</f>
        <v>0</v>
      </c>
      <c r="FR238" s="4">
        <f>ROUND(SUMIF(AA183:AA236,"=45037307",GL183:GL236),2)</f>
        <v>0</v>
      </c>
      <c r="FS238" s="4">
        <f>ROUND(SUMIF(AA183:AA236,"=45037307",GM183:GM236),2)</f>
        <v>221095.48</v>
      </c>
      <c r="FT238" s="4">
        <f>ROUND(SUMIF(AA183:AA236,"=45037307",GN183:GN236),2)</f>
        <v>221095.48</v>
      </c>
      <c r="FU238" s="4">
        <f>ROUND(SUMIF(AA183:AA236,"=45037307",GO183:GO236),2)</f>
        <v>0</v>
      </c>
      <c r="FV238" s="4">
        <f>ROUND(SUMIF(AA183:AA236,"=45037307",GP183:GP236),2)</f>
        <v>0</v>
      </c>
      <c r="FW238" s="4">
        <f>DU238-FP238</f>
        <v>186329.78</v>
      </c>
      <c r="FX238" s="4">
        <f>DU238-FQ238</f>
        <v>186329.78</v>
      </c>
      <c r="FY238" s="4">
        <f>FP238-FR238</f>
        <v>0</v>
      </c>
      <c r="FZ238" s="4">
        <f>DU238-FP238-FQ238+FR238</f>
        <v>186329.78</v>
      </c>
      <c r="GA238" s="4">
        <f>FQ238-FR238</f>
        <v>0</v>
      </c>
      <c r="GB238" s="4">
        <f>ROUND(SUMIF(AA183:AA236,"=45037307",GX183:GX236),2)</f>
        <v>0</v>
      </c>
      <c r="GC238" s="4">
        <f>ROUND(SUMIF(AA183:AA236,"=45037307",GY183:GY236),2)</f>
        <v>0</v>
      </c>
      <c r="GD238" s="4">
        <f>ROUND(SUMIF(AA183:AA236,"=45037307",GZ183:GZ236),2)</f>
        <v>0</v>
      </c>
      <c r="GE238" s="4"/>
      <c r="GF238" s="4"/>
      <c r="GG238" s="4"/>
      <c r="GH238" s="4"/>
      <c r="GI238" s="4"/>
      <c r="GJ238" s="4"/>
      <c r="GK238" s="4"/>
      <c r="GL238" s="4"/>
      <c r="GM238" s="4"/>
      <c r="GN238" s="4"/>
      <c r="GO238" s="4"/>
      <c r="GP238" s="4"/>
      <c r="GQ238" s="4"/>
      <c r="GR238" s="4"/>
      <c r="GS238" s="4"/>
      <c r="GT238" s="4"/>
      <c r="GU238" s="4"/>
      <c r="GV238" s="4"/>
      <c r="GW238" s="4"/>
      <c r="GX238" s="4">
        <v>0</v>
      </c>
    </row>
    <row r="240" spans="1:255" x14ac:dyDescent="0.2">
      <c r="A240" s="5">
        <v>50</v>
      </c>
      <c r="B240" s="5">
        <v>0</v>
      </c>
      <c r="C240" s="5">
        <v>0</v>
      </c>
      <c r="D240" s="5">
        <v>1</v>
      </c>
      <c r="E240" s="5">
        <v>201</v>
      </c>
      <c r="F240" s="5">
        <f>ROUND(Source!O238,O240)</f>
        <v>70179.02</v>
      </c>
      <c r="G240" s="5" t="s">
        <v>117</v>
      </c>
      <c r="H240" s="5" t="s">
        <v>118</v>
      </c>
      <c r="I240" s="5"/>
      <c r="J240" s="5"/>
      <c r="K240" s="5">
        <v>201</v>
      </c>
      <c r="L240" s="5">
        <v>1</v>
      </c>
      <c r="M240" s="5">
        <v>3</v>
      </c>
      <c r="N240" s="5" t="s">
        <v>3</v>
      </c>
      <c r="O240" s="5">
        <v>2</v>
      </c>
      <c r="P240" s="5">
        <f>ROUND(Source!DG238,O240)</f>
        <v>202613.54</v>
      </c>
      <c r="Q240" s="5"/>
      <c r="R240" s="5"/>
      <c r="S240" s="5"/>
      <c r="T240" s="5"/>
      <c r="U240" s="5"/>
      <c r="V240" s="5"/>
      <c r="W240" s="5"/>
    </row>
    <row r="241" spans="1:23" x14ac:dyDescent="0.2">
      <c r="A241" s="5">
        <v>50</v>
      </c>
      <c r="B241" s="5">
        <v>0</v>
      </c>
      <c r="C241" s="5">
        <v>0</v>
      </c>
      <c r="D241" s="5">
        <v>1</v>
      </c>
      <c r="E241" s="5">
        <v>202</v>
      </c>
      <c r="F241" s="5">
        <f>ROUND(Source!P238,O241)</f>
        <v>69329.67</v>
      </c>
      <c r="G241" s="5" t="s">
        <v>119</v>
      </c>
      <c r="H241" s="5" t="s">
        <v>120</v>
      </c>
      <c r="I241" s="5"/>
      <c r="J241" s="5"/>
      <c r="K241" s="5">
        <v>202</v>
      </c>
      <c r="L241" s="5">
        <v>2</v>
      </c>
      <c r="M241" s="5">
        <v>3</v>
      </c>
      <c r="N241" s="5" t="s">
        <v>3</v>
      </c>
      <c r="O241" s="5">
        <v>2</v>
      </c>
      <c r="P241" s="5">
        <f>ROUND(Source!DH238,O241)</f>
        <v>186329.78</v>
      </c>
      <c r="Q241" s="5"/>
      <c r="R241" s="5"/>
      <c r="S241" s="5"/>
      <c r="T241" s="5"/>
      <c r="U241" s="5"/>
      <c r="V241" s="5"/>
      <c r="W241" s="5"/>
    </row>
    <row r="242" spans="1:23" x14ac:dyDescent="0.2">
      <c r="A242" s="5">
        <v>50</v>
      </c>
      <c r="B242" s="5">
        <v>0</v>
      </c>
      <c r="C242" s="5">
        <v>0</v>
      </c>
      <c r="D242" s="5">
        <v>1</v>
      </c>
      <c r="E242" s="5">
        <v>227</v>
      </c>
      <c r="F242" s="5">
        <f>ROUND(Source!AO238,O242)</f>
        <v>0</v>
      </c>
      <c r="G242" s="5" t="s">
        <v>121</v>
      </c>
      <c r="H242" s="5" t="s">
        <v>122</v>
      </c>
      <c r="I242" s="5"/>
      <c r="J242" s="5"/>
      <c r="K242" s="5">
        <v>222</v>
      </c>
      <c r="L242" s="5">
        <v>3</v>
      </c>
      <c r="M242" s="5">
        <v>3</v>
      </c>
      <c r="N242" s="5" t="s">
        <v>3</v>
      </c>
      <c r="O242" s="5">
        <v>2</v>
      </c>
      <c r="P242" s="5">
        <f>ROUND(Source!EG238,O242)</f>
        <v>0</v>
      </c>
      <c r="Q242" s="5"/>
      <c r="R242" s="5"/>
      <c r="S242" s="5"/>
      <c r="T242" s="5"/>
      <c r="U242" s="5"/>
      <c r="V242" s="5"/>
      <c r="W242" s="5"/>
    </row>
    <row r="243" spans="1:23" x14ac:dyDescent="0.2">
      <c r="A243" s="5">
        <v>50</v>
      </c>
      <c r="B243" s="5">
        <v>0</v>
      </c>
      <c r="C243" s="5">
        <v>0</v>
      </c>
      <c r="D243" s="5">
        <v>1</v>
      </c>
      <c r="E243" s="5">
        <v>225</v>
      </c>
      <c r="F243" s="5">
        <f>ROUND(Source!AV238,O243)</f>
        <v>69329.67</v>
      </c>
      <c r="G243" s="5" t="s">
        <v>123</v>
      </c>
      <c r="H243" s="5" t="s">
        <v>124</v>
      </c>
      <c r="I243" s="5"/>
      <c r="J243" s="5"/>
      <c r="K243" s="5">
        <v>225</v>
      </c>
      <c r="L243" s="5">
        <v>4</v>
      </c>
      <c r="M243" s="5">
        <v>3</v>
      </c>
      <c r="N243" s="5" t="s">
        <v>3</v>
      </c>
      <c r="O243" s="5">
        <v>2</v>
      </c>
      <c r="P243" s="5">
        <f>ROUND(Source!EN238,O243)</f>
        <v>186329.78</v>
      </c>
      <c r="Q243" s="5"/>
      <c r="R243" s="5"/>
      <c r="S243" s="5"/>
      <c r="T243" s="5"/>
      <c r="U243" s="5"/>
      <c r="V243" s="5"/>
      <c r="W243" s="5"/>
    </row>
    <row r="244" spans="1:23" x14ac:dyDescent="0.2">
      <c r="A244" s="5">
        <v>50</v>
      </c>
      <c r="B244" s="5">
        <v>0</v>
      </c>
      <c r="C244" s="5">
        <v>0</v>
      </c>
      <c r="D244" s="5">
        <v>1</v>
      </c>
      <c r="E244" s="5">
        <v>226</v>
      </c>
      <c r="F244" s="5">
        <f>ROUND(Source!AW238,O244)</f>
        <v>69329.67</v>
      </c>
      <c r="G244" s="5" t="s">
        <v>125</v>
      </c>
      <c r="H244" s="5" t="s">
        <v>126</v>
      </c>
      <c r="I244" s="5"/>
      <c r="J244" s="5"/>
      <c r="K244" s="5">
        <v>226</v>
      </c>
      <c r="L244" s="5">
        <v>5</v>
      </c>
      <c r="M244" s="5">
        <v>3</v>
      </c>
      <c r="N244" s="5" t="s">
        <v>3</v>
      </c>
      <c r="O244" s="5">
        <v>2</v>
      </c>
      <c r="P244" s="5">
        <f>ROUND(Source!EO238,O244)</f>
        <v>186329.78</v>
      </c>
      <c r="Q244" s="5"/>
      <c r="R244" s="5"/>
      <c r="S244" s="5"/>
      <c r="T244" s="5"/>
      <c r="U244" s="5"/>
      <c r="V244" s="5"/>
      <c r="W244" s="5"/>
    </row>
    <row r="245" spans="1:23" x14ac:dyDescent="0.2">
      <c r="A245" s="5">
        <v>50</v>
      </c>
      <c r="B245" s="5">
        <v>0</v>
      </c>
      <c r="C245" s="5">
        <v>0</v>
      </c>
      <c r="D245" s="5">
        <v>1</v>
      </c>
      <c r="E245" s="5">
        <v>0</v>
      </c>
      <c r="F245" s="5">
        <f>ROUND(Source!AX238,O245)</f>
        <v>0</v>
      </c>
      <c r="G245" s="5" t="s">
        <v>127</v>
      </c>
      <c r="H245" s="5" t="s">
        <v>128</v>
      </c>
      <c r="I245" s="5"/>
      <c r="J245" s="5"/>
      <c r="K245" s="5">
        <v>227</v>
      </c>
      <c r="L245" s="5">
        <v>6</v>
      </c>
      <c r="M245" s="5">
        <v>3</v>
      </c>
      <c r="N245" s="5" t="s">
        <v>3</v>
      </c>
      <c r="O245" s="5">
        <v>2</v>
      </c>
      <c r="P245" s="5">
        <f>ROUND(Source!EP238,O245)</f>
        <v>0</v>
      </c>
      <c r="Q245" s="5"/>
      <c r="R245" s="5"/>
      <c r="S245" s="5"/>
      <c r="T245" s="5"/>
      <c r="U245" s="5"/>
      <c r="V245" s="5"/>
      <c r="W245" s="5"/>
    </row>
    <row r="246" spans="1:23" x14ac:dyDescent="0.2">
      <c r="A246" s="5">
        <v>50</v>
      </c>
      <c r="B246" s="5">
        <v>0</v>
      </c>
      <c r="C246" s="5">
        <v>0</v>
      </c>
      <c r="D246" s="5">
        <v>1</v>
      </c>
      <c r="E246" s="5">
        <v>228</v>
      </c>
      <c r="F246" s="5">
        <f>ROUND(Source!AY238,O246)</f>
        <v>69329.67</v>
      </c>
      <c r="G246" s="5" t="s">
        <v>129</v>
      </c>
      <c r="H246" s="5" t="s">
        <v>130</v>
      </c>
      <c r="I246" s="5"/>
      <c r="J246" s="5"/>
      <c r="K246" s="5">
        <v>228</v>
      </c>
      <c r="L246" s="5">
        <v>7</v>
      </c>
      <c r="M246" s="5">
        <v>3</v>
      </c>
      <c r="N246" s="5" t="s">
        <v>3</v>
      </c>
      <c r="O246" s="5">
        <v>2</v>
      </c>
      <c r="P246" s="5">
        <f>ROUND(Source!EQ238,O246)</f>
        <v>186329.78</v>
      </c>
      <c r="Q246" s="5"/>
      <c r="R246" s="5"/>
      <c r="S246" s="5"/>
      <c r="T246" s="5"/>
      <c r="U246" s="5"/>
      <c r="V246" s="5"/>
      <c r="W246" s="5"/>
    </row>
    <row r="247" spans="1:23" x14ac:dyDescent="0.2">
      <c r="A247" s="5">
        <v>50</v>
      </c>
      <c r="B247" s="5">
        <v>0</v>
      </c>
      <c r="C247" s="5">
        <v>0</v>
      </c>
      <c r="D247" s="5">
        <v>1</v>
      </c>
      <c r="E247" s="5">
        <v>216</v>
      </c>
      <c r="F247" s="5">
        <f>ROUND(Source!AP238,O247)</f>
        <v>0</v>
      </c>
      <c r="G247" s="5" t="s">
        <v>131</v>
      </c>
      <c r="H247" s="5" t="s">
        <v>132</v>
      </c>
      <c r="I247" s="5"/>
      <c r="J247" s="5"/>
      <c r="K247" s="5">
        <v>216</v>
      </c>
      <c r="L247" s="5">
        <v>8</v>
      </c>
      <c r="M247" s="5">
        <v>3</v>
      </c>
      <c r="N247" s="5" t="s">
        <v>3</v>
      </c>
      <c r="O247" s="5">
        <v>2</v>
      </c>
      <c r="P247" s="5">
        <f>ROUND(Source!EH238,O247)</f>
        <v>0</v>
      </c>
      <c r="Q247" s="5"/>
      <c r="R247" s="5"/>
      <c r="S247" s="5"/>
      <c r="T247" s="5"/>
      <c r="U247" s="5"/>
      <c r="V247" s="5"/>
      <c r="W247" s="5"/>
    </row>
    <row r="248" spans="1:23" x14ac:dyDescent="0.2">
      <c r="A248" s="5">
        <v>50</v>
      </c>
      <c r="B248" s="5">
        <v>0</v>
      </c>
      <c r="C248" s="5">
        <v>0</v>
      </c>
      <c r="D248" s="5">
        <v>1</v>
      </c>
      <c r="E248" s="5">
        <v>223</v>
      </c>
      <c r="F248" s="5">
        <f>ROUND(Source!AQ238,O248)</f>
        <v>0</v>
      </c>
      <c r="G248" s="5" t="s">
        <v>133</v>
      </c>
      <c r="H248" s="5" t="s">
        <v>134</v>
      </c>
      <c r="I248" s="5"/>
      <c r="J248" s="5"/>
      <c r="K248" s="5">
        <v>223</v>
      </c>
      <c r="L248" s="5">
        <v>9</v>
      </c>
      <c r="M248" s="5">
        <v>3</v>
      </c>
      <c r="N248" s="5" t="s">
        <v>3</v>
      </c>
      <c r="O248" s="5">
        <v>2</v>
      </c>
      <c r="P248" s="5">
        <f>ROUND(Source!EI238,O248)</f>
        <v>0</v>
      </c>
      <c r="Q248" s="5"/>
      <c r="R248" s="5"/>
      <c r="S248" s="5"/>
      <c r="T248" s="5"/>
      <c r="U248" s="5"/>
      <c r="V248" s="5"/>
      <c r="W248" s="5"/>
    </row>
    <row r="249" spans="1:23" x14ac:dyDescent="0.2">
      <c r="A249" s="5">
        <v>50</v>
      </c>
      <c r="B249" s="5">
        <v>0</v>
      </c>
      <c r="C249" s="5">
        <v>0</v>
      </c>
      <c r="D249" s="5">
        <v>1</v>
      </c>
      <c r="E249" s="5">
        <v>229</v>
      </c>
      <c r="F249" s="5">
        <f>ROUND(Source!AZ238,O249)</f>
        <v>0</v>
      </c>
      <c r="G249" s="5" t="s">
        <v>135</v>
      </c>
      <c r="H249" s="5" t="s">
        <v>136</v>
      </c>
      <c r="I249" s="5"/>
      <c r="J249" s="5"/>
      <c r="K249" s="5">
        <v>229</v>
      </c>
      <c r="L249" s="5">
        <v>10</v>
      </c>
      <c r="M249" s="5">
        <v>3</v>
      </c>
      <c r="N249" s="5" t="s">
        <v>3</v>
      </c>
      <c r="O249" s="5">
        <v>2</v>
      </c>
      <c r="P249" s="5">
        <f>ROUND(Source!ER238,O249)</f>
        <v>0</v>
      </c>
      <c r="Q249" s="5"/>
      <c r="R249" s="5"/>
      <c r="S249" s="5"/>
      <c r="T249" s="5"/>
      <c r="U249" s="5"/>
      <c r="V249" s="5"/>
      <c r="W249" s="5"/>
    </row>
    <row r="250" spans="1:23" x14ac:dyDescent="0.2">
      <c r="A250" s="5">
        <v>50</v>
      </c>
      <c r="B250" s="5">
        <v>0</v>
      </c>
      <c r="C250" s="5">
        <v>0</v>
      </c>
      <c r="D250" s="5">
        <v>1</v>
      </c>
      <c r="E250" s="5">
        <v>203</v>
      </c>
      <c r="F250" s="5">
        <f>ROUND(Source!Q238,O250)</f>
        <v>87.2</v>
      </c>
      <c r="G250" s="5" t="s">
        <v>137</v>
      </c>
      <c r="H250" s="5" t="s">
        <v>138</v>
      </c>
      <c r="I250" s="5"/>
      <c r="J250" s="5"/>
      <c r="K250" s="5">
        <v>203</v>
      </c>
      <c r="L250" s="5">
        <v>11</v>
      </c>
      <c r="M250" s="5">
        <v>3</v>
      </c>
      <c r="N250" s="5" t="s">
        <v>3</v>
      </c>
      <c r="O250" s="5">
        <v>2</v>
      </c>
      <c r="P250" s="5">
        <f>ROUND(Source!DI238,O250)</f>
        <v>736.14</v>
      </c>
      <c r="Q250" s="5"/>
      <c r="R250" s="5"/>
      <c r="S250" s="5"/>
      <c r="T250" s="5"/>
      <c r="U250" s="5"/>
      <c r="V250" s="5"/>
      <c r="W250" s="5"/>
    </row>
    <row r="251" spans="1:23" x14ac:dyDescent="0.2">
      <c r="A251" s="5">
        <v>50</v>
      </c>
      <c r="B251" s="5">
        <v>0</v>
      </c>
      <c r="C251" s="5">
        <v>0</v>
      </c>
      <c r="D251" s="5">
        <v>1</v>
      </c>
      <c r="E251" s="5">
        <v>231</v>
      </c>
      <c r="F251" s="5">
        <f>ROUND(Source!BB238,O251)</f>
        <v>0</v>
      </c>
      <c r="G251" s="5" t="s">
        <v>139</v>
      </c>
      <c r="H251" s="5" t="s">
        <v>140</v>
      </c>
      <c r="I251" s="5"/>
      <c r="J251" s="5"/>
      <c r="K251" s="5">
        <v>231</v>
      </c>
      <c r="L251" s="5">
        <v>12</v>
      </c>
      <c r="M251" s="5">
        <v>3</v>
      </c>
      <c r="N251" s="5" t="s">
        <v>3</v>
      </c>
      <c r="O251" s="5">
        <v>2</v>
      </c>
      <c r="P251" s="5">
        <f>ROUND(Source!ET238,O251)</f>
        <v>0</v>
      </c>
      <c r="Q251" s="5"/>
      <c r="R251" s="5"/>
      <c r="S251" s="5"/>
      <c r="T251" s="5"/>
      <c r="U251" s="5"/>
      <c r="V251" s="5"/>
      <c r="W251" s="5"/>
    </row>
    <row r="252" spans="1:23" x14ac:dyDescent="0.2">
      <c r="A252" s="5">
        <v>50</v>
      </c>
      <c r="B252" s="5">
        <v>0</v>
      </c>
      <c r="C252" s="5">
        <v>0</v>
      </c>
      <c r="D252" s="5">
        <v>1</v>
      </c>
      <c r="E252" s="5">
        <v>204</v>
      </c>
      <c r="F252" s="5">
        <f>ROUND(Source!R238,O252)</f>
        <v>17.809999999999999</v>
      </c>
      <c r="G252" s="5" t="s">
        <v>141</v>
      </c>
      <c r="H252" s="5" t="s">
        <v>142</v>
      </c>
      <c r="I252" s="5"/>
      <c r="J252" s="5"/>
      <c r="K252" s="5">
        <v>204</v>
      </c>
      <c r="L252" s="5">
        <v>13</v>
      </c>
      <c r="M252" s="5">
        <v>3</v>
      </c>
      <c r="N252" s="5" t="s">
        <v>3</v>
      </c>
      <c r="O252" s="5">
        <v>2</v>
      </c>
      <c r="P252" s="5">
        <f>ROUND(Source!DJ238,O252)</f>
        <v>363.29</v>
      </c>
      <c r="Q252" s="5"/>
      <c r="R252" s="5"/>
      <c r="S252" s="5"/>
      <c r="T252" s="5"/>
      <c r="U252" s="5"/>
      <c r="V252" s="5"/>
      <c r="W252" s="5"/>
    </row>
    <row r="253" spans="1:23" x14ac:dyDescent="0.2">
      <c r="A253" s="5">
        <v>50</v>
      </c>
      <c r="B253" s="5">
        <v>0</v>
      </c>
      <c r="C253" s="5">
        <v>0</v>
      </c>
      <c r="D253" s="5">
        <v>1</v>
      </c>
      <c r="E253" s="5">
        <v>205</v>
      </c>
      <c r="F253" s="5">
        <f>ROUND(Source!S238,O253)</f>
        <v>762.15</v>
      </c>
      <c r="G253" s="5" t="s">
        <v>143</v>
      </c>
      <c r="H253" s="5" t="s">
        <v>144</v>
      </c>
      <c r="I253" s="5"/>
      <c r="J253" s="5"/>
      <c r="K253" s="5">
        <v>205</v>
      </c>
      <c r="L253" s="5">
        <v>14</v>
      </c>
      <c r="M253" s="5">
        <v>3</v>
      </c>
      <c r="N253" s="5" t="s">
        <v>3</v>
      </c>
      <c r="O253" s="5">
        <v>2</v>
      </c>
      <c r="P253" s="5">
        <f>ROUND(Source!DK238,O253)</f>
        <v>15547.62</v>
      </c>
      <c r="Q253" s="5"/>
      <c r="R253" s="5"/>
      <c r="S253" s="5"/>
      <c r="T253" s="5"/>
      <c r="U253" s="5"/>
      <c r="V253" s="5"/>
      <c r="W253" s="5"/>
    </row>
    <row r="254" spans="1:23" x14ac:dyDescent="0.2">
      <c r="A254" s="5">
        <v>50</v>
      </c>
      <c r="B254" s="5">
        <v>0</v>
      </c>
      <c r="C254" s="5">
        <v>0</v>
      </c>
      <c r="D254" s="5">
        <v>1</v>
      </c>
      <c r="E254" s="5">
        <v>232</v>
      </c>
      <c r="F254" s="5">
        <f>ROUND(Source!BC238,O254)</f>
        <v>0</v>
      </c>
      <c r="G254" s="5" t="s">
        <v>145</v>
      </c>
      <c r="H254" s="5" t="s">
        <v>146</v>
      </c>
      <c r="I254" s="5"/>
      <c r="J254" s="5"/>
      <c r="K254" s="5">
        <v>232</v>
      </c>
      <c r="L254" s="5">
        <v>15</v>
      </c>
      <c r="M254" s="5">
        <v>3</v>
      </c>
      <c r="N254" s="5" t="s">
        <v>3</v>
      </c>
      <c r="O254" s="5">
        <v>2</v>
      </c>
      <c r="P254" s="5">
        <f>ROUND(Source!EU238,O254)</f>
        <v>0</v>
      </c>
      <c r="Q254" s="5"/>
      <c r="R254" s="5"/>
      <c r="S254" s="5"/>
      <c r="T254" s="5"/>
      <c r="U254" s="5"/>
      <c r="V254" s="5"/>
      <c r="W254" s="5"/>
    </row>
    <row r="255" spans="1:23" x14ac:dyDescent="0.2">
      <c r="A255" s="5">
        <v>50</v>
      </c>
      <c r="B255" s="5">
        <v>0</v>
      </c>
      <c r="C255" s="5">
        <v>0</v>
      </c>
      <c r="D255" s="5">
        <v>1</v>
      </c>
      <c r="E255" s="5">
        <v>214</v>
      </c>
      <c r="F255" s="5">
        <f>ROUND(Source!AS238,O255)</f>
        <v>70211.08</v>
      </c>
      <c r="G255" s="5" t="s">
        <v>147</v>
      </c>
      <c r="H255" s="5" t="s">
        <v>148</v>
      </c>
      <c r="I255" s="5"/>
      <c r="J255" s="5"/>
      <c r="K255" s="5">
        <v>214</v>
      </c>
      <c r="L255" s="5">
        <v>16</v>
      </c>
      <c r="M255" s="5">
        <v>3</v>
      </c>
      <c r="N255" s="5" t="s">
        <v>3</v>
      </c>
      <c r="O255" s="5">
        <v>2</v>
      </c>
      <c r="P255" s="5">
        <f>ROUND(Source!EK238,O255)</f>
        <v>221095.48</v>
      </c>
      <c r="Q255" s="5"/>
      <c r="R255" s="5"/>
      <c r="S255" s="5"/>
      <c r="T255" s="5"/>
      <c r="U255" s="5"/>
      <c r="V255" s="5"/>
      <c r="W255" s="5"/>
    </row>
    <row r="256" spans="1:23" x14ac:dyDescent="0.2">
      <c r="A256" s="5">
        <v>50</v>
      </c>
      <c r="B256" s="5">
        <v>0</v>
      </c>
      <c r="C256" s="5">
        <v>0</v>
      </c>
      <c r="D256" s="5">
        <v>1</v>
      </c>
      <c r="E256" s="5">
        <v>215</v>
      </c>
      <c r="F256" s="5">
        <f>ROUND(Source!AT238,O256)</f>
        <v>0</v>
      </c>
      <c r="G256" s="5" t="s">
        <v>149</v>
      </c>
      <c r="H256" s="5" t="s">
        <v>150</v>
      </c>
      <c r="I256" s="5"/>
      <c r="J256" s="5"/>
      <c r="K256" s="5">
        <v>215</v>
      </c>
      <c r="L256" s="5">
        <v>17</v>
      </c>
      <c r="M256" s="5">
        <v>3</v>
      </c>
      <c r="N256" s="5" t="s">
        <v>3</v>
      </c>
      <c r="O256" s="5">
        <v>2</v>
      </c>
      <c r="P256" s="5">
        <f>ROUND(Source!EL238,O256)</f>
        <v>0</v>
      </c>
      <c r="Q256" s="5"/>
      <c r="R256" s="5"/>
      <c r="S256" s="5"/>
      <c r="T256" s="5"/>
      <c r="U256" s="5"/>
      <c r="V256" s="5"/>
      <c r="W256" s="5"/>
    </row>
    <row r="257" spans="1:255" x14ac:dyDescent="0.2">
      <c r="A257" s="5">
        <v>50</v>
      </c>
      <c r="B257" s="5">
        <v>0</v>
      </c>
      <c r="C257" s="5">
        <v>0</v>
      </c>
      <c r="D257" s="5">
        <v>1</v>
      </c>
      <c r="E257" s="5">
        <v>217</v>
      </c>
      <c r="F257" s="5">
        <f>ROUND(Source!AU238,O257)</f>
        <v>0</v>
      </c>
      <c r="G257" s="5" t="s">
        <v>151</v>
      </c>
      <c r="H257" s="5" t="s">
        <v>152</v>
      </c>
      <c r="I257" s="5"/>
      <c r="J257" s="5"/>
      <c r="K257" s="5">
        <v>217</v>
      </c>
      <c r="L257" s="5">
        <v>18</v>
      </c>
      <c r="M257" s="5">
        <v>3</v>
      </c>
      <c r="N257" s="5" t="s">
        <v>3</v>
      </c>
      <c r="O257" s="5">
        <v>2</v>
      </c>
      <c r="P257" s="5">
        <f>ROUND(Source!EM238,O257)</f>
        <v>0</v>
      </c>
      <c r="Q257" s="5"/>
      <c r="R257" s="5"/>
      <c r="S257" s="5"/>
      <c r="T257" s="5"/>
      <c r="U257" s="5"/>
      <c r="V257" s="5"/>
      <c r="W257" s="5"/>
    </row>
    <row r="258" spans="1:255" x14ac:dyDescent="0.2">
      <c r="A258" s="5">
        <v>50</v>
      </c>
      <c r="B258" s="5">
        <v>0</v>
      </c>
      <c r="C258" s="5">
        <v>0</v>
      </c>
      <c r="D258" s="5">
        <v>1</v>
      </c>
      <c r="E258" s="5">
        <v>230</v>
      </c>
      <c r="F258" s="5">
        <f>ROUND(Source!BA238,O258)</f>
        <v>0</v>
      </c>
      <c r="G258" s="5" t="s">
        <v>153</v>
      </c>
      <c r="H258" s="5" t="s">
        <v>154</v>
      </c>
      <c r="I258" s="5"/>
      <c r="J258" s="5"/>
      <c r="K258" s="5">
        <v>230</v>
      </c>
      <c r="L258" s="5">
        <v>19</v>
      </c>
      <c r="M258" s="5">
        <v>3</v>
      </c>
      <c r="N258" s="5" t="s">
        <v>3</v>
      </c>
      <c r="O258" s="5">
        <v>2</v>
      </c>
      <c r="P258" s="5">
        <f>ROUND(Source!ES238,O258)</f>
        <v>0</v>
      </c>
      <c r="Q258" s="5"/>
      <c r="R258" s="5"/>
      <c r="S258" s="5"/>
      <c r="T258" s="5"/>
      <c r="U258" s="5"/>
      <c r="V258" s="5"/>
      <c r="W258" s="5"/>
    </row>
    <row r="259" spans="1:255" x14ac:dyDescent="0.2">
      <c r="A259" s="5">
        <v>50</v>
      </c>
      <c r="B259" s="5">
        <v>0</v>
      </c>
      <c r="C259" s="5">
        <v>0</v>
      </c>
      <c r="D259" s="5">
        <v>1</v>
      </c>
      <c r="E259" s="5">
        <v>206</v>
      </c>
      <c r="F259" s="5">
        <f>ROUND(Source!T238,O259)</f>
        <v>0</v>
      </c>
      <c r="G259" s="5" t="s">
        <v>155</v>
      </c>
      <c r="H259" s="5" t="s">
        <v>156</v>
      </c>
      <c r="I259" s="5"/>
      <c r="J259" s="5"/>
      <c r="K259" s="5">
        <v>206</v>
      </c>
      <c r="L259" s="5">
        <v>20</v>
      </c>
      <c r="M259" s="5">
        <v>3</v>
      </c>
      <c r="N259" s="5" t="s">
        <v>3</v>
      </c>
      <c r="O259" s="5">
        <v>2</v>
      </c>
      <c r="P259" s="5">
        <f>ROUND(Source!DL238,O259)</f>
        <v>0</v>
      </c>
      <c r="Q259" s="5"/>
      <c r="R259" s="5"/>
      <c r="S259" s="5"/>
      <c r="T259" s="5"/>
      <c r="U259" s="5"/>
      <c r="V259" s="5"/>
      <c r="W259" s="5"/>
    </row>
    <row r="260" spans="1:255" x14ac:dyDescent="0.2">
      <c r="A260" s="5">
        <v>50</v>
      </c>
      <c r="B260" s="5">
        <v>0</v>
      </c>
      <c r="C260" s="5">
        <v>0</v>
      </c>
      <c r="D260" s="5">
        <v>1</v>
      </c>
      <c r="E260" s="5">
        <v>207</v>
      </c>
      <c r="F260" s="5">
        <f>Source!U238</f>
        <v>62.471300499999991</v>
      </c>
      <c r="G260" s="5" t="s">
        <v>157</v>
      </c>
      <c r="H260" s="5" t="s">
        <v>158</v>
      </c>
      <c r="I260" s="5"/>
      <c r="J260" s="5"/>
      <c r="K260" s="5">
        <v>207</v>
      </c>
      <c r="L260" s="5">
        <v>21</v>
      </c>
      <c r="M260" s="5">
        <v>3</v>
      </c>
      <c r="N260" s="5" t="s">
        <v>3</v>
      </c>
      <c r="O260" s="5">
        <v>-1</v>
      </c>
      <c r="P260" s="5">
        <f>Source!DM238</f>
        <v>62.471300499999991</v>
      </c>
      <c r="Q260" s="5"/>
      <c r="R260" s="5"/>
      <c r="S260" s="5"/>
      <c r="T260" s="5"/>
      <c r="U260" s="5"/>
      <c r="V260" s="5"/>
      <c r="W260" s="5"/>
    </row>
    <row r="261" spans="1:255" x14ac:dyDescent="0.2">
      <c r="A261" s="5">
        <v>50</v>
      </c>
      <c r="B261" s="5">
        <v>0</v>
      </c>
      <c r="C261" s="5">
        <v>0</v>
      </c>
      <c r="D261" s="5">
        <v>1</v>
      </c>
      <c r="E261" s="5">
        <v>208</v>
      </c>
      <c r="F261" s="5">
        <f>Source!V238</f>
        <v>0</v>
      </c>
      <c r="G261" s="5" t="s">
        <v>159</v>
      </c>
      <c r="H261" s="5" t="s">
        <v>160</v>
      </c>
      <c r="I261" s="5"/>
      <c r="J261" s="5"/>
      <c r="K261" s="5">
        <v>208</v>
      </c>
      <c r="L261" s="5">
        <v>22</v>
      </c>
      <c r="M261" s="5">
        <v>3</v>
      </c>
      <c r="N261" s="5" t="s">
        <v>3</v>
      </c>
      <c r="O261" s="5">
        <v>-1</v>
      </c>
      <c r="P261" s="5">
        <f>Source!DN238</f>
        <v>0</v>
      </c>
      <c r="Q261" s="5"/>
      <c r="R261" s="5"/>
      <c r="S261" s="5"/>
      <c r="T261" s="5"/>
      <c r="U261" s="5"/>
      <c r="V261" s="5"/>
      <c r="W261" s="5"/>
    </row>
    <row r="262" spans="1:255" x14ac:dyDescent="0.2">
      <c r="A262" s="5">
        <v>50</v>
      </c>
      <c r="B262" s="5">
        <v>0</v>
      </c>
      <c r="C262" s="5">
        <v>0</v>
      </c>
      <c r="D262" s="5">
        <v>1</v>
      </c>
      <c r="E262" s="5">
        <v>209</v>
      </c>
      <c r="F262" s="5">
        <f>ROUND(Source!W238,O262)</f>
        <v>0</v>
      </c>
      <c r="G262" s="5" t="s">
        <v>161</v>
      </c>
      <c r="H262" s="5" t="s">
        <v>162</v>
      </c>
      <c r="I262" s="5"/>
      <c r="J262" s="5"/>
      <c r="K262" s="5">
        <v>209</v>
      </c>
      <c r="L262" s="5">
        <v>23</v>
      </c>
      <c r="M262" s="5">
        <v>3</v>
      </c>
      <c r="N262" s="5" t="s">
        <v>3</v>
      </c>
      <c r="O262" s="5">
        <v>2</v>
      </c>
      <c r="P262" s="5">
        <f>ROUND(Source!DO238,O262)</f>
        <v>0</v>
      </c>
      <c r="Q262" s="5"/>
      <c r="R262" s="5"/>
      <c r="S262" s="5"/>
      <c r="T262" s="5"/>
      <c r="U262" s="5"/>
      <c r="V262" s="5"/>
      <c r="W262" s="5"/>
    </row>
    <row r="263" spans="1:255" x14ac:dyDescent="0.2">
      <c r="A263" s="5">
        <v>50</v>
      </c>
      <c r="B263" s="5">
        <v>0</v>
      </c>
      <c r="C263" s="5">
        <v>0</v>
      </c>
      <c r="D263" s="5">
        <v>1</v>
      </c>
      <c r="E263" s="5">
        <v>210</v>
      </c>
      <c r="F263" s="5">
        <f>ROUND(Source!X238,O263)</f>
        <v>0</v>
      </c>
      <c r="G263" s="5" t="s">
        <v>163</v>
      </c>
      <c r="H263" s="5" t="s">
        <v>164</v>
      </c>
      <c r="I263" s="5"/>
      <c r="J263" s="5"/>
      <c r="K263" s="5">
        <v>210</v>
      </c>
      <c r="L263" s="5">
        <v>24</v>
      </c>
      <c r="M263" s="5">
        <v>3</v>
      </c>
      <c r="N263" s="5" t="s">
        <v>3</v>
      </c>
      <c r="O263" s="5">
        <v>2</v>
      </c>
      <c r="P263" s="5">
        <f>ROUND(Source!DP238,O263)</f>
        <v>11497.09</v>
      </c>
      <c r="Q263" s="5"/>
      <c r="R263" s="5"/>
      <c r="S263" s="5"/>
      <c r="T263" s="5"/>
      <c r="U263" s="5"/>
      <c r="V263" s="5"/>
      <c r="W263" s="5"/>
    </row>
    <row r="264" spans="1:255" x14ac:dyDescent="0.2">
      <c r="A264" s="5">
        <v>50</v>
      </c>
      <c r="B264" s="5">
        <v>0</v>
      </c>
      <c r="C264" s="5">
        <v>0</v>
      </c>
      <c r="D264" s="5">
        <v>1</v>
      </c>
      <c r="E264" s="5">
        <v>211</v>
      </c>
      <c r="F264" s="5">
        <f>ROUND(Source!Y238,O264)</f>
        <v>0</v>
      </c>
      <c r="G264" s="5" t="s">
        <v>165</v>
      </c>
      <c r="H264" s="5" t="s">
        <v>166</v>
      </c>
      <c r="I264" s="5"/>
      <c r="J264" s="5"/>
      <c r="K264" s="5">
        <v>211</v>
      </c>
      <c r="L264" s="5">
        <v>25</v>
      </c>
      <c r="M264" s="5">
        <v>3</v>
      </c>
      <c r="N264" s="5" t="s">
        <v>3</v>
      </c>
      <c r="O264" s="5">
        <v>2</v>
      </c>
      <c r="P264" s="5">
        <f>ROUND(Source!DQ238,O264)</f>
        <v>6374.52</v>
      </c>
      <c r="Q264" s="5"/>
      <c r="R264" s="5"/>
      <c r="S264" s="5"/>
      <c r="T264" s="5"/>
      <c r="U264" s="5"/>
      <c r="V264" s="5"/>
      <c r="W264" s="5"/>
    </row>
    <row r="265" spans="1:255" x14ac:dyDescent="0.2">
      <c r="A265" s="5">
        <v>50</v>
      </c>
      <c r="B265" s="5">
        <v>0</v>
      </c>
      <c r="C265" s="5">
        <v>0</v>
      </c>
      <c r="D265" s="5">
        <v>1</v>
      </c>
      <c r="E265" s="5">
        <v>224</v>
      </c>
      <c r="F265" s="5">
        <f>ROUND(Source!AR238,O265)</f>
        <v>70211.08</v>
      </c>
      <c r="G265" s="5" t="s">
        <v>167</v>
      </c>
      <c r="H265" s="5" t="s">
        <v>168</v>
      </c>
      <c r="I265" s="5"/>
      <c r="J265" s="5"/>
      <c r="K265" s="5">
        <v>224</v>
      </c>
      <c r="L265" s="5">
        <v>26</v>
      </c>
      <c r="M265" s="5">
        <v>3</v>
      </c>
      <c r="N265" s="5" t="s">
        <v>3</v>
      </c>
      <c r="O265" s="5">
        <v>2</v>
      </c>
      <c r="P265" s="5">
        <f>ROUND(Source!EJ238,O265)</f>
        <v>221095.48</v>
      </c>
      <c r="Q265" s="5"/>
      <c r="R265" s="5"/>
      <c r="S265" s="5"/>
      <c r="T265" s="5"/>
      <c r="U265" s="5"/>
      <c r="V265" s="5"/>
      <c r="W265" s="5"/>
    </row>
    <row r="267" spans="1:255" x14ac:dyDescent="0.2">
      <c r="A267" s="1">
        <v>5</v>
      </c>
      <c r="B267" s="1">
        <v>1</v>
      </c>
      <c r="C267" s="1"/>
      <c r="D267" s="1">
        <f>ROW(A296)</f>
        <v>296</v>
      </c>
      <c r="E267" s="1"/>
      <c r="F267" s="1" t="s">
        <v>170</v>
      </c>
      <c r="G267" s="1" t="s">
        <v>333</v>
      </c>
      <c r="H267" s="1" t="s">
        <v>3</v>
      </c>
      <c r="I267" s="1">
        <v>0</v>
      </c>
      <c r="J267" s="1"/>
      <c r="K267" s="1">
        <v>0</v>
      </c>
      <c r="L267" s="1"/>
      <c r="M267" s="1"/>
      <c r="N267" s="1"/>
      <c r="O267" s="1"/>
      <c r="P267" s="1"/>
      <c r="Q267" s="1"/>
      <c r="R267" s="1"/>
      <c r="S267" s="1"/>
      <c r="T267" s="1"/>
      <c r="U267" s="1" t="s">
        <v>3</v>
      </c>
      <c r="V267" s="1">
        <v>0</v>
      </c>
      <c r="W267" s="1"/>
      <c r="X267" s="1"/>
      <c r="Y267" s="1"/>
      <c r="Z267" s="1"/>
      <c r="AA267" s="1"/>
      <c r="AB267" s="1" t="s">
        <v>3</v>
      </c>
      <c r="AC267" s="1" t="s">
        <v>3</v>
      </c>
      <c r="AD267" s="1" t="s">
        <v>3</v>
      </c>
      <c r="AE267" s="1" t="s">
        <v>3</v>
      </c>
      <c r="AF267" s="1" t="s">
        <v>3</v>
      </c>
      <c r="AG267" s="1" t="s">
        <v>3</v>
      </c>
      <c r="AH267" s="1"/>
      <c r="AI267" s="1"/>
      <c r="AJ267" s="1"/>
      <c r="AK267" s="1"/>
      <c r="AL267" s="1"/>
      <c r="AM267" s="1"/>
      <c r="AN267" s="1"/>
      <c r="AO267" s="1"/>
      <c r="AP267" s="1" t="s">
        <v>3</v>
      </c>
      <c r="AQ267" s="1" t="s">
        <v>3</v>
      </c>
      <c r="AR267" s="1" t="s">
        <v>3</v>
      </c>
      <c r="AS267" s="1"/>
      <c r="AT267" s="1"/>
      <c r="AU267" s="1"/>
      <c r="AV267" s="1"/>
      <c r="AW267" s="1"/>
      <c r="AX267" s="1"/>
      <c r="AY267" s="1"/>
      <c r="AZ267" s="1" t="s">
        <v>3</v>
      </c>
      <c r="BA267" s="1"/>
      <c r="BB267" s="1" t="s">
        <v>3</v>
      </c>
      <c r="BC267" s="1" t="s">
        <v>3</v>
      </c>
      <c r="BD267" s="1" t="s">
        <v>3</v>
      </c>
      <c r="BE267" s="1" t="s">
        <v>3</v>
      </c>
      <c r="BF267" s="1" t="s">
        <v>3</v>
      </c>
      <c r="BG267" s="1" t="s">
        <v>3</v>
      </c>
      <c r="BH267" s="1" t="s">
        <v>3</v>
      </c>
      <c r="BI267" s="1" t="s">
        <v>3</v>
      </c>
      <c r="BJ267" s="1" t="s">
        <v>3</v>
      </c>
      <c r="BK267" s="1" t="s">
        <v>3</v>
      </c>
      <c r="BL267" s="1" t="s">
        <v>3</v>
      </c>
      <c r="BM267" s="1" t="s">
        <v>3</v>
      </c>
      <c r="BN267" s="1" t="s">
        <v>3</v>
      </c>
      <c r="BO267" s="1" t="s">
        <v>3</v>
      </c>
      <c r="BP267" s="1" t="s">
        <v>3</v>
      </c>
      <c r="BQ267" s="1"/>
      <c r="BR267" s="1"/>
      <c r="BS267" s="1"/>
      <c r="BT267" s="1"/>
      <c r="BU267" s="1"/>
      <c r="BV267" s="1"/>
      <c r="BW267" s="1"/>
      <c r="BX267" s="1">
        <v>0</v>
      </c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>
        <v>0</v>
      </c>
    </row>
    <row r="269" spans="1:255" x14ac:dyDescent="0.2">
      <c r="A269" s="3">
        <v>52</v>
      </c>
      <c r="B269" s="3">
        <f t="shared" ref="B269:G269" si="237">B296</f>
        <v>1</v>
      </c>
      <c r="C269" s="3">
        <f t="shared" si="237"/>
        <v>5</v>
      </c>
      <c r="D269" s="3">
        <f t="shared" si="237"/>
        <v>267</v>
      </c>
      <c r="E269" s="3">
        <f t="shared" si="237"/>
        <v>0</v>
      </c>
      <c r="F269" s="3" t="str">
        <f t="shared" si="237"/>
        <v>Новый подраздел</v>
      </c>
      <c r="G269" s="3" t="str">
        <f t="shared" si="237"/>
        <v>Обеспечение доступа МГН</v>
      </c>
      <c r="H269" s="3"/>
      <c r="I269" s="3"/>
      <c r="J269" s="3"/>
      <c r="K269" s="3"/>
      <c r="L269" s="3"/>
      <c r="M269" s="3"/>
      <c r="N269" s="3"/>
      <c r="O269" s="3">
        <f t="shared" ref="O269:AT269" si="238">O296</f>
        <v>2946.43</v>
      </c>
      <c r="P269" s="3">
        <f t="shared" si="238"/>
        <v>2864.98</v>
      </c>
      <c r="Q269" s="3">
        <f t="shared" si="238"/>
        <v>10.119999999999999</v>
      </c>
      <c r="R269" s="3">
        <f t="shared" si="238"/>
        <v>2.41</v>
      </c>
      <c r="S269" s="3">
        <f t="shared" si="238"/>
        <v>71.33</v>
      </c>
      <c r="T269" s="3">
        <f t="shared" si="238"/>
        <v>0</v>
      </c>
      <c r="U269" s="3">
        <f t="shared" si="238"/>
        <v>6.2957324999999997</v>
      </c>
      <c r="V269" s="3">
        <f t="shared" si="238"/>
        <v>0</v>
      </c>
      <c r="W269" s="3">
        <f t="shared" si="238"/>
        <v>0</v>
      </c>
      <c r="X269" s="3">
        <f t="shared" si="238"/>
        <v>0</v>
      </c>
      <c r="Y269" s="3">
        <f t="shared" si="238"/>
        <v>0</v>
      </c>
      <c r="Z269" s="3">
        <f t="shared" si="238"/>
        <v>0</v>
      </c>
      <c r="AA269" s="3">
        <f t="shared" si="238"/>
        <v>0</v>
      </c>
      <c r="AB269" s="3">
        <f t="shared" si="238"/>
        <v>2946.43</v>
      </c>
      <c r="AC269" s="3">
        <f t="shared" si="238"/>
        <v>2864.98</v>
      </c>
      <c r="AD269" s="3">
        <f t="shared" si="238"/>
        <v>10.119999999999999</v>
      </c>
      <c r="AE269" s="3">
        <f t="shared" si="238"/>
        <v>2.41</v>
      </c>
      <c r="AF269" s="3">
        <f t="shared" si="238"/>
        <v>71.33</v>
      </c>
      <c r="AG269" s="3">
        <f t="shared" si="238"/>
        <v>0</v>
      </c>
      <c r="AH269" s="3">
        <f t="shared" si="238"/>
        <v>6.2957324999999997</v>
      </c>
      <c r="AI269" s="3">
        <f t="shared" si="238"/>
        <v>0</v>
      </c>
      <c r="AJ269" s="3">
        <f t="shared" si="238"/>
        <v>0</v>
      </c>
      <c r="AK269" s="3">
        <f t="shared" si="238"/>
        <v>0</v>
      </c>
      <c r="AL269" s="3">
        <f t="shared" si="238"/>
        <v>0</v>
      </c>
      <c r="AM269" s="3">
        <f t="shared" si="238"/>
        <v>0</v>
      </c>
      <c r="AN269" s="3">
        <f t="shared" si="238"/>
        <v>0</v>
      </c>
      <c r="AO269" s="3">
        <f t="shared" si="238"/>
        <v>0</v>
      </c>
      <c r="AP269" s="3">
        <f t="shared" si="238"/>
        <v>0</v>
      </c>
      <c r="AQ269" s="3">
        <f t="shared" si="238"/>
        <v>0</v>
      </c>
      <c r="AR269" s="3">
        <f t="shared" si="238"/>
        <v>2950.76</v>
      </c>
      <c r="AS269" s="3">
        <f t="shared" si="238"/>
        <v>2950.76</v>
      </c>
      <c r="AT269" s="3">
        <f t="shared" si="238"/>
        <v>0</v>
      </c>
      <c r="AU269" s="3">
        <f t="shared" ref="AU269:BZ269" si="239">AU296</f>
        <v>0</v>
      </c>
      <c r="AV269" s="3">
        <f t="shared" si="239"/>
        <v>2864.98</v>
      </c>
      <c r="AW269" s="3">
        <f t="shared" si="239"/>
        <v>2864.98</v>
      </c>
      <c r="AX269" s="3">
        <f t="shared" si="239"/>
        <v>0</v>
      </c>
      <c r="AY269" s="3">
        <f t="shared" si="239"/>
        <v>2864.98</v>
      </c>
      <c r="AZ269" s="3">
        <f t="shared" si="239"/>
        <v>0</v>
      </c>
      <c r="BA269" s="3">
        <f t="shared" si="239"/>
        <v>0</v>
      </c>
      <c r="BB269" s="3">
        <f t="shared" si="239"/>
        <v>0</v>
      </c>
      <c r="BC269" s="3">
        <f t="shared" si="239"/>
        <v>0</v>
      </c>
      <c r="BD269" s="3">
        <f t="shared" si="239"/>
        <v>0</v>
      </c>
      <c r="BE269" s="3">
        <f t="shared" si="239"/>
        <v>0</v>
      </c>
      <c r="BF269" s="3">
        <f t="shared" si="239"/>
        <v>0</v>
      </c>
      <c r="BG269" s="3">
        <f t="shared" si="239"/>
        <v>0</v>
      </c>
      <c r="BH269" s="3">
        <f t="shared" si="239"/>
        <v>0</v>
      </c>
      <c r="BI269" s="3">
        <f t="shared" si="239"/>
        <v>0</v>
      </c>
      <c r="BJ269" s="3">
        <f t="shared" si="239"/>
        <v>0</v>
      </c>
      <c r="BK269" s="3">
        <f t="shared" si="239"/>
        <v>0</v>
      </c>
      <c r="BL269" s="3">
        <f t="shared" si="239"/>
        <v>0</v>
      </c>
      <c r="BM269" s="3">
        <f t="shared" si="239"/>
        <v>0</v>
      </c>
      <c r="BN269" s="3">
        <f t="shared" si="239"/>
        <v>0</v>
      </c>
      <c r="BO269" s="3">
        <f t="shared" si="239"/>
        <v>0</v>
      </c>
      <c r="BP269" s="3">
        <f t="shared" si="239"/>
        <v>0</v>
      </c>
      <c r="BQ269" s="3">
        <f t="shared" si="239"/>
        <v>0</v>
      </c>
      <c r="BR269" s="3">
        <f t="shared" si="239"/>
        <v>0</v>
      </c>
      <c r="BS269" s="3">
        <f t="shared" si="239"/>
        <v>0</v>
      </c>
      <c r="BT269" s="3">
        <f t="shared" si="239"/>
        <v>0</v>
      </c>
      <c r="BU269" s="3">
        <f t="shared" si="239"/>
        <v>0</v>
      </c>
      <c r="BV269" s="3">
        <f t="shared" si="239"/>
        <v>0</v>
      </c>
      <c r="BW269" s="3">
        <f t="shared" si="239"/>
        <v>0</v>
      </c>
      <c r="BX269" s="3">
        <f t="shared" si="239"/>
        <v>0</v>
      </c>
      <c r="BY269" s="3">
        <f t="shared" si="239"/>
        <v>0</v>
      </c>
      <c r="BZ269" s="3">
        <f t="shared" si="239"/>
        <v>0</v>
      </c>
      <c r="CA269" s="3">
        <f t="shared" ref="CA269:DF269" si="240">CA296</f>
        <v>2950.76</v>
      </c>
      <c r="CB269" s="3">
        <f t="shared" si="240"/>
        <v>2950.76</v>
      </c>
      <c r="CC269" s="3">
        <f t="shared" si="240"/>
        <v>0</v>
      </c>
      <c r="CD269" s="3">
        <f t="shared" si="240"/>
        <v>0</v>
      </c>
      <c r="CE269" s="3">
        <f t="shared" si="240"/>
        <v>2864.98</v>
      </c>
      <c r="CF269" s="3">
        <f t="shared" si="240"/>
        <v>2864.98</v>
      </c>
      <c r="CG269" s="3">
        <f t="shared" si="240"/>
        <v>0</v>
      </c>
      <c r="CH269" s="3">
        <f t="shared" si="240"/>
        <v>2864.98</v>
      </c>
      <c r="CI269" s="3">
        <f t="shared" si="240"/>
        <v>0</v>
      </c>
      <c r="CJ269" s="3">
        <f t="shared" si="240"/>
        <v>0</v>
      </c>
      <c r="CK269" s="3">
        <f t="shared" si="240"/>
        <v>0</v>
      </c>
      <c r="CL269" s="3">
        <f t="shared" si="240"/>
        <v>0</v>
      </c>
      <c r="CM269" s="3">
        <f t="shared" si="240"/>
        <v>0</v>
      </c>
      <c r="CN269" s="3">
        <f t="shared" si="240"/>
        <v>0</v>
      </c>
      <c r="CO269" s="3">
        <f t="shared" si="240"/>
        <v>0</v>
      </c>
      <c r="CP269" s="3">
        <f t="shared" si="240"/>
        <v>0</v>
      </c>
      <c r="CQ269" s="3">
        <f t="shared" si="240"/>
        <v>0</v>
      </c>
      <c r="CR269" s="3">
        <f t="shared" si="240"/>
        <v>0</v>
      </c>
      <c r="CS269" s="3">
        <f t="shared" si="240"/>
        <v>0</v>
      </c>
      <c r="CT269" s="3">
        <f t="shared" si="240"/>
        <v>0</v>
      </c>
      <c r="CU269" s="3">
        <f t="shared" si="240"/>
        <v>0</v>
      </c>
      <c r="CV269" s="3">
        <f t="shared" si="240"/>
        <v>0</v>
      </c>
      <c r="CW269" s="3">
        <f t="shared" si="240"/>
        <v>0</v>
      </c>
      <c r="CX269" s="3">
        <f t="shared" si="240"/>
        <v>0</v>
      </c>
      <c r="CY269" s="3">
        <f t="shared" si="240"/>
        <v>0</v>
      </c>
      <c r="CZ269" s="3">
        <f t="shared" si="240"/>
        <v>0</v>
      </c>
      <c r="DA269" s="3">
        <f t="shared" si="240"/>
        <v>0</v>
      </c>
      <c r="DB269" s="3">
        <f t="shared" si="240"/>
        <v>0</v>
      </c>
      <c r="DC269" s="3">
        <f t="shared" si="240"/>
        <v>0</v>
      </c>
      <c r="DD269" s="3">
        <f t="shared" si="240"/>
        <v>0</v>
      </c>
      <c r="DE269" s="3">
        <f t="shared" si="240"/>
        <v>0</v>
      </c>
      <c r="DF269" s="3">
        <f t="shared" si="240"/>
        <v>0</v>
      </c>
      <c r="DG269" s="4">
        <f t="shared" ref="DG269:EL269" si="241">DG296</f>
        <v>17476.16</v>
      </c>
      <c r="DH269" s="4">
        <f t="shared" si="241"/>
        <v>15937.17</v>
      </c>
      <c r="DI269" s="4">
        <f t="shared" si="241"/>
        <v>83.99</v>
      </c>
      <c r="DJ269" s="4">
        <f t="shared" si="241"/>
        <v>49.19</v>
      </c>
      <c r="DK269" s="4">
        <f t="shared" si="241"/>
        <v>1455</v>
      </c>
      <c r="DL269" s="4">
        <f t="shared" si="241"/>
        <v>0</v>
      </c>
      <c r="DM269" s="4">
        <f t="shared" si="241"/>
        <v>6.2957324999999997</v>
      </c>
      <c r="DN269" s="4">
        <f t="shared" si="241"/>
        <v>0</v>
      </c>
      <c r="DO269" s="4">
        <f t="shared" si="241"/>
        <v>0</v>
      </c>
      <c r="DP269" s="4">
        <f t="shared" si="241"/>
        <v>1237.0899999999999</v>
      </c>
      <c r="DQ269" s="4">
        <f t="shared" si="241"/>
        <v>596.54</v>
      </c>
      <c r="DR269" s="4">
        <f t="shared" si="241"/>
        <v>0</v>
      </c>
      <c r="DS269" s="4">
        <f t="shared" si="241"/>
        <v>0</v>
      </c>
      <c r="DT269" s="4">
        <f t="shared" si="241"/>
        <v>17476.16</v>
      </c>
      <c r="DU269" s="4">
        <f t="shared" si="241"/>
        <v>15937.17</v>
      </c>
      <c r="DV269" s="4">
        <f t="shared" si="241"/>
        <v>83.99</v>
      </c>
      <c r="DW269" s="4">
        <f t="shared" si="241"/>
        <v>49.19</v>
      </c>
      <c r="DX269" s="4">
        <f t="shared" si="241"/>
        <v>1455</v>
      </c>
      <c r="DY269" s="4">
        <f t="shared" si="241"/>
        <v>0</v>
      </c>
      <c r="DZ269" s="4">
        <f t="shared" si="241"/>
        <v>6.2957324999999997</v>
      </c>
      <c r="EA269" s="4">
        <f t="shared" si="241"/>
        <v>0</v>
      </c>
      <c r="EB269" s="4">
        <f t="shared" si="241"/>
        <v>0</v>
      </c>
      <c r="EC269" s="4">
        <f t="shared" si="241"/>
        <v>1237.0899999999999</v>
      </c>
      <c r="ED269" s="4">
        <f t="shared" si="241"/>
        <v>596.54</v>
      </c>
      <c r="EE269" s="4">
        <f t="shared" si="241"/>
        <v>0</v>
      </c>
      <c r="EF269" s="4">
        <f t="shared" si="241"/>
        <v>0</v>
      </c>
      <c r="EG269" s="4">
        <f t="shared" si="241"/>
        <v>0</v>
      </c>
      <c r="EH269" s="4">
        <f t="shared" si="241"/>
        <v>0</v>
      </c>
      <c r="EI269" s="4">
        <f t="shared" si="241"/>
        <v>0</v>
      </c>
      <c r="EJ269" s="4">
        <f t="shared" si="241"/>
        <v>19392.43</v>
      </c>
      <c r="EK269" s="4">
        <f t="shared" si="241"/>
        <v>19392.43</v>
      </c>
      <c r="EL269" s="4">
        <f t="shared" si="241"/>
        <v>0</v>
      </c>
      <c r="EM269" s="4">
        <f t="shared" ref="EM269:FR269" si="242">EM296</f>
        <v>0</v>
      </c>
      <c r="EN269" s="4">
        <f t="shared" si="242"/>
        <v>15937.17</v>
      </c>
      <c r="EO269" s="4">
        <f t="shared" si="242"/>
        <v>15937.17</v>
      </c>
      <c r="EP269" s="4">
        <f t="shared" si="242"/>
        <v>0</v>
      </c>
      <c r="EQ269" s="4">
        <f t="shared" si="242"/>
        <v>15937.17</v>
      </c>
      <c r="ER269" s="4">
        <f t="shared" si="242"/>
        <v>0</v>
      </c>
      <c r="ES269" s="4">
        <f t="shared" si="242"/>
        <v>0</v>
      </c>
      <c r="ET269" s="4">
        <f t="shared" si="242"/>
        <v>0</v>
      </c>
      <c r="EU269" s="4">
        <f t="shared" si="242"/>
        <v>0</v>
      </c>
      <c r="EV269" s="4">
        <f t="shared" si="242"/>
        <v>0</v>
      </c>
      <c r="EW269" s="4">
        <f t="shared" si="242"/>
        <v>0</v>
      </c>
      <c r="EX269" s="4">
        <f t="shared" si="242"/>
        <v>0</v>
      </c>
      <c r="EY269" s="4">
        <f t="shared" si="242"/>
        <v>0</v>
      </c>
      <c r="EZ269" s="4">
        <f t="shared" si="242"/>
        <v>0</v>
      </c>
      <c r="FA269" s="4">
        <f t="shared" si="242"/>
        <v>0</v>
      </c>
      <c r="FB269" s="4">
        <f t="shared" si="242"/>
        <v>0</v>
      </c>
      <c r="FC269" s="4">
        <f t="shared" si="242"/>
        <v>0</v>
      </c>
      <c r="FD269" s="4">
        <f t="shared" si="242"/>
        <v>0</v>
      </c>
      <c r="FE269" s="4">
        <f t="shared" si="242"/>
        <v>0</v>
      </c>
      <c r="FF269" s="4">
        <f t="shared" si="242"/>
        <v>0</v>
      </c>
      <c r="FG269" s="4">
        <f t="shared" si="242"/>
        <v>0</v>
      </c>
      <c r="FH269" s="4">
        <f t="shared" si="242"/>
        <v>0</v>
      </c>
      <c r="FI269" s="4">
        <f t="shared" si="242"/>
        <v>0</v>
      </c>
      <c r="FJ269" s="4">
        <f t="shared" si="242"/>
        <v>0</v>
      </c>
      <c r="FK269" s="4">
        <f t="shared" si="242"/>
        <v>0</v>
      </c>
      <c r="FL269" s="4">
        <f t="shared" si="242"/>
        <v>0</v>
      </c>
      <c r="FM269" s="4">
        <f t="shared" si="242"/>
        <v>0</v>
      </c>
      <c r="FN269" s="4">
        <f t="shared" si="242"/>
        <v>0</v>
      </c>
      <c r="FO269" s="4">
        <f t="shared" si="242"/>
        <v>0</v>
      </c>
      <c r="FP269" s="4">
        <f t="shared" si="242"/>
        <v>0</v>
      </c>
      <c r="FQ269" s="4">
        <f t="shared" si="242"/>
        <v>0</v>
      </c>
      <c r="FR269" s="4">
        <f t="shared" si="242"/>
        <v>0</v>
      </c>
      <c r="FS269" s="4">
        <f t="shared" ref="FS269:GX269" si="243">FS296</f>
        <v>19392.43</v>
      </c>
      <c r="FT269" s="4">
        <f t="shared" si="243"/>
        <v>19392.43</v>
      </c>
      <c r="FU269" s="4">
        <f t="shared" si="243"/>
        <v>0</v>
      </c>
      <c r="FV269" s="4">
        <f t="shared" si="243"/>
        <v>0</v>
      </c>
      <c r="FW269" s="4">
        <f t="shared" si="243"/>
        <v>15937.17</v>
      </c>
      <c r="FX269" s="4">
        <f t="shared" si="243"/>
        <v>15937.17</v>
      </c>
      <c r="FY269" s="4">
        <f t="shared" si="243"/>
        <v>0</v>
      </c>
      <c r="FZ269" s="4">
        <f t="shared" si="243"/>
        <v>15937.17</v>
      </c>
      <c r="GA269" s="4">
        <f t="shared" si="243"/>
        <v>0</v>
      </c>
      <c r="GB269" s="4">
        <f t="shared" si="243"/>
        <v>0</v>
      </c>
      <c r="GC269" s="4">
        <f t="shared" si="243"/>
        <v>0</v>
      </c>
      <c r="GD269" s="4">
        <f t="shared" si="243"/>
        <v>0</v>
      </c>
      <c r="GE269" s="4">
        <f t="shared" si="243"/>
        <v>0</v>
      </c>
      <c r="GF269" s="4">
        <f t="shared" si="243"/>
        <v>0</v>
      </c>
      <c r="GG269" s="4">
        <f t="shared" si="243"/>
        <v>0</v>
      </c>
      <c r="GH269" s="4">
        <f t="shared" si="243"/>
        <v>0</v>
      </c>
      <c r="GI269" s="4">
        <f t="shared" si="243"/>
        <v>0</v>
      </c>
      <c r="GJ269" s="4">
        <f t="shared" si="243"/>
        <v>0</v>
      </c>
      <c r="GK269" s="4">
        <f t="shared" si="243"/>
        <v>0</v>
      </c>
      <c r="GL269" s="4">
        <f t="shared" si="243"/>
        <v>0</v>
      </c>
      <c r="GM269" s="4">
        <f t="shared" si="243"/>
        <v>0</v>
      </c>
      <c r="GN269" s="4">
        <f t="shared" si="243"/>
        <v>0</v>
      </c>
      <c r="GO269" s="4">
        <f t="shared" si="243"/>
        <v>0</v>
      </c>
      <c r="GP269" s="4">
        <f t="shared" si="243"/>
        <v>0</v>
      </c>
      <c r="GQ269" s="4">
        <f t="shared" si="243"/>
        <v>0</v>
      </c>
      <c r="GR269" s="4">
        <f t="shared" si="243"/>
        <v>0</v>
      </c>
      <c r="GS269" s="4">
        <f t="shared" si="243"/>
        <v>0</v>
      </c>
      <c r="GT269" s="4">
        <f t="shared" si="243"/>
        <v>0</v>
      </c>
      <c r="GU269" s="4">
        <f t="shared" si="243"/>
        <v>0</v>
      </c>
      <c r="GV269" s="4">
        <f t="shared" si="243"/>
        <v>0</v>
      </c>
      <c r="GW269" s="4">
        <f t="shared" si="243"/>
        <v>0</v>
      </c>
      <c r="GX269" s="4">
        <f t="shared" si="243"/>
        <v>0</v>
      </c>
    </row>
    <row r="271" spans="1:255" x14ac:dyDescent="0.2">
      <c r="A271" s="2">
        <v>17</v>
      </c>
      <c r="B271" s="2">
        <v>1</v>
      </c>
      <c r="C271" s="2">
        <f>ROW(SmtRes!A238)</f>
        <v>238</v>
      </c>
      <c r="D271" s="2">
        <f>ROW(EtalonRes!A236)</f>
        <v>236</v>
      </c>
      <c r="E271" s="2" t="s">
        <v>334</v>
      </c>
      <c r="F271" s="2" t="s">
        <v>335</v>
      </c>
      <c r="G271" s="2" t="s">
        <v>336</v>
      </c>
      <c r="H271" s="2" t="s">
        <v>313</v>
      </c>
      <c r="I271" s="2">
        <f>ROUND(35/10,9)</f>
        <v>3.5</v>
      </c>
      <c r="J271" s="2">
        <v>0</v>
      </c>
      <c r="K271" s="2"/>
      <c r="L271" s="2"/>
      <c r="M271" s="2"/>
      <c r="N271" s="2"/>
      <c r="O271" s="2">
        <f t="shared" ref="O271:O294" si="244">ROUND(CP271,2)</f>
        <v>62.64</v>
      </c>
      <c r="P271" s="2">
        <f t="shared" ref="P271:P294" si="245">ROUND(CQ271*I271,2)</f>
        <v>41.13</v>
      </c>
      <c r="Q271" s="2">
        <f t="shared" ref="Q271:Q294" si="246">ROUND(CR271*I271,2)</f>
        <v>2.63</v>
      </c>
      <c r="R271" s="2">
        <f t="shared" ref="R271:R294" si="247">ROUND(CS271*I271,2)</f>
        <v>0.48</v>
      </c>
      <c r="S271" s="2">
        <f t="shared" ref="S271:S294" si="248">ROUND(CT271*I271,2)</f>
        <v>18.88</v>
      </c>
      <c r="T271" s="2">
        <f t="shared" ref="T271:T294" si="249">ROUND(CU271*I271,2)</f>
        <v>0</v>
      </c>
      <c r="U271" s="2">
        <f t="shared" ref="U271:U294" si="250">CV271*I271</f>
        <v>1.6099999999999999</v>
      </c>
      <c r="V271" s="2">
        <f t="shared" ref="V271:V294" si="251">CW271*I271</f>
        <v>0</v>
      </c>
      <c r="W271" s="2">
        <f t="shared" ref="W271:W294" si="252">ROUND(CX271*I271,2)</f>
        <v>0</v>
      </c>
      <c r="X271" s="2">
        <f t="shared" ref="X271:X294" si="253">ROUND(CY271,2)</f>
        <v>0</v>
      </c>
      <c r="Y271" s="2">
        <f t="shared" ref="Y271:Y294" si="254">ROUND(CZ271,2)</f>
        <v>0</v>
      </c>
      <c r="Z271" s="2"/>
      <c r="AA271" s="2">
        <v>45037306</v>
      </c>
      <c r="AB271" s="2">
        <f t="shared" ref="AB271:AB294" si="255">ROUND((AC271+AD271+AF271),6)</f>
        <v>17.8935</v>
      </c>
      <c r="AC271" s="2">
        <f t="shared" ref="AC271:AC294" si="256">ROUND((ES271),6)</f>
        <v>11.75</v>
      </c>
      <c r="AD271" s="2">
        <f>ROUND(((ET271*1.25)),6)</f>
        <v>0.75</v>
      </c>
      <c r="AE271" s="2">
        <f>ROUND(((EU271*1.25)),6)</f>
        <v>0.13750000000000001</v>
      </c>
      <c r="AF271" s="2">
        <f>ROUND(((EV271*1.15)),6)</f>
        <v>5.3935000000000004</v>
      </c>
      <c r="AG271" s="2">
        <f t="shared" ref="AG271:AG294" si="257">ROUND((AP271),6)</f>
        <v>0</v>
      </c>
      <c r="AH271" s="2">
        <f>((EW271*1.15))</f>
        <v>0.45999999999999996</v>
      </c>
      <c r="AI271" s="2">
        <f>((EX271*1.25))</f>
        <v>0</v>
      </c>
      <c r="AJ271" s="2">
        <f t="shared" ref="AJ271:AJ294" si="258">ROUND((AS271),6)</f>
        <v>0</v>
      </c>
      <c r="AK271" s="2">
        <v>17.04</v>
      </c>
      <c r="AL271" s="2">
        <v>11.75</v>
      </c>
      <c r="AM271" s="2">
        <v>0.6</v>
      </c>
      <c r="AN271" s="2">
        <v>0.11</v>
      </c>
      <c r="AO271" s="2">
        <v>4.6900000000000004</v>
      </c>
      <c r="AP271" s="2">
        <v>0</v>
      </c>
      <c r="AQ271" s="2">
        <v>0.4</v>
      </c>
      <c r="AR271" s="2">
        <v>0</v>
      </c>
      <c r="AS271" s="2">
        <v>0</v>
      </c>
      <c r="AT271" s="2">
        <v>0</v>
      </c>
      <c r="AU271" s="2">
        <v>0</v>
      </c>
      <c r="AV271" s="2">
        <v>1</v>
      </c>
      <c r="AW271" s="2">
        <v>1</v>
      </c>
      <c r="AX271" s="2"/>
      <c r="AY271" s="2"/>
      <c r="AZ271" s="2">
        <v>1</v>
      </c>
      <c r="BA271" s="2">
        <v>1</v>
      </c>
      <c r="BB271" s="2">
        <v>1</v>
      </c>
      <c r="BC271" s="2">
        <v>1</v>
      </c>
      <c r="BD271" s="2" t="s">
        <v>3</v>
      </c>
      <c r="BE271" s="2" t="s">
        <v>3</v>
      </c>
      <c r="BF271" s="2" t="s">
        <v>3</v>
      </c>
      <c r="BG271" s="2" t="s">
        <v>3</v>
      </c>
      <c r="BH271" s="2">
        <v>0</v>
      </c>
      <c r="BI271" s="2">
        <v>1</v>
      </c>
      <c r="BJ271" s="2" t="s">
        <v>337</v>
      </c>
      <c r="BK271" s="2"/>
      <c r="BL271" s="2"/>
      <c r="BM271" s="2">
        <v>1555</v>
      </c>
      <c r="BN271" s="2">
        <v>7156650</v>
      </c>
      <c r="BO271" s="2" t="s">
        <v>3</v>
      </c>
      <c r="BP271" s="2">
        <v>0</v>
      </c>
      <c r="BQ271" s="2">
        <v>30</v>
      </c>
      <c r="BR271" s="2">
        <v>0</v>
      </c>
      <c r="BS271" s="2">
        <v>1</v>
      </c>
      <c r="BT271" s="2">
        <v>1</v>
      </c>
      <c r="BU271" s="2">
        <v>1</v>
      </c>
      <c r="BV271" s="2">
        <v>1</v>
      </c>
      <c r="BW271" s="2">
        <v>1</v>
      </c>
      <c r="BX271" s="2">
        <v>1</v>
      </c>
      <c r="BY271" s="2" t="s">
        <v>3</v>
      </c>
      <c r="BZ271" s="2">
        <v>0</v>
      </c>
      <c r="CA271" s="2">
        <v>0</v>
      </c>
      <c r="CB271" s="2"/>
      <c r="CC271" s="2"/>
      <c r="CD271" s="2"/>
      <c r="CE271" s="2"/>
      <c r="CF271" s="2">
        <v>0</v>
      </c>
      <c r="CG271" s="2">
        <v>0</v>
      </c>
      <c r="CH271" s="2"/>
      <c r="CI271" s="2"/>
      <c r="CJ271" s="2"/>
      <c r="CK271" s="2"/>
      <c r="CL271" s="2"/>
      <c r="CM271" s="2">
        <v>0</v>
      </c>
      <c r="CN271" s="2" t="s">
        <v>3</v>
      </c>
      <c r="CO271" s="2">
        <v>0</v>
      </c>
      <c r="CP271" s="2">
        <f t="shared" ref="CP271:CP294" si="259">(P271+Q271+S271)</f>
        <v>62.64</v>
      </c>
      <c r="CQ271" s="2">
        <f t="shared" ref="CQ271:CQ294" si="260">(AC271*BC271*AW271)</f>
        <v>11.75</v>
      </c>
      <c r="CR271" s="2">
        <f t="shared" ref="CR271:CR294" si="261">(AD271*BB271*AV271)</f>
        <v>0.75</v>
      </c>
      <c r="CS271" s="2">
        <f t="shared" ref="CS271:CS294" si="262">(AE271*BS271*AV271)</f>
        <v>0.13750000000000001</v>
      </c>
      <c r="CT271" s="2">
        <f t="shared" ref="CT271:CT294" si="263">(AF271*BA271*AV271)</f>
        <v>5.3935000000000004</v>
      </c>
      <c r="CU271" s="2">
        <f t="shared" ref="CU271:CU294" si="264">AG271</f>
        <v>0</v>
      </c>
      <c r="CV271" s="2">
        <f t="shared" ref="CV271:CV294" si="265">(AH271*AV271)</f>
        <v>0.45999999999999996</v>
      </c>
      <c r="CW271" s="2">
        <f t="shared" ref="CW271:CW294" si="266">AI271</f>
        <v>0</v>
      </c>
      <c r="CX271" s="2">
        <f t="shared" ref="CX271:CX294" si="267">AJ271</f>
        <v>0</v>
      </c>
      <c r="CY271" s="2">
        <f t="shared" ref="CY271:CY294" si="268">S271*(BZ271/100)</f>
        <v>0</v>
      </c>
      <c r="CZ271" s="2">
        <f t="shared" ref="CZ271:CZ294" si="269">S271*(CA271/100)</f>
        <v>0</v>
      </c>
      <c r="DA271" s="2"/>
      <c r="DB271" s="2"/>
      <c r="DC271" s="2" t="s">
        <v>3</v>
      </c>
      <c r="DD271" s="2" t="s">
        <v>3</v>
      </c>
      <c r="DE271" s="2" t="s">
        <v>36</v>
      </c>
      <c r="DF271" s="2" t="s">
        <v>36</v>
      </c>
      <c r="DG271" s="2" t="s">
        <v>37</v>
      </c>
      <c r="DH271" s="2" t="s">
        <v>3</v>
      </c>
      <c r="DI271" s="2" t="s">
        <v>37</v>
      </c>
      <c r="DJ271" s="2" t="s">
        <v>36</v>
      </c>
      <c r="DK271" s="2" t="s">
        <v>3</v>
      </c>
      <c r="DL271" s="2" t="s">
        <v>3</v>
      </c>
      <c r="DM271" s="2" t="s">
        <v>3</v>
      </c>
      <c r="DN271" s="2">
        <v>104</v>
      </c>
      <c r="DO271" s="2">
        <v>70</v>
      </c>
      <c r="DP271" s="2">
        <v>1.0469999999999999</v>
      </c>
      <c r="DQ271" s="2">
        <v>1</v>
      </c>
      <c r="DR271" s="2"/>
      <c r="DS271" s="2"/>
      <c r="DT271" s="2"/>
      <c r="DU271" s="2">
        <v>1010</v>
      </c>
      <c r="DV271" s="2" t="s">
        <v>313</v>
      </c>
      <c r="DW271" s="2" t="s">
        <v>313</v>
      </c>
      <c r="DX271" s="2">
        <v>10</v>
      </c>
      <c r="DY271" s="2"/>
      <c r="DZ271" s="2"/>
      <c r="EA271" s="2"/>
      <c r="EB271" s="2"/>
      <c r="EC271" s="2"/>
      <c r="ED271" s="2"/>
      <c r="EE271" s="2">
        <v>44848062</v>
      </c>
      <c r="EF271" s="2">
        <v>30</v>
      </c>
      <c r="EG271" s="2" t="s">
        <v>38</v>
      </c>
      <c r="EH271" s="2">
        <v>0</v>
      </c>
      <c r="EI271" s="2" t="s">
        <v>3</v>
      </c>
      <c r="EJ271" s="2">
        <v>1</v>
      </c>
      <c r="EK271" s="2">
        <v>1555</v>
      </c>
      <c r="EL271" s="2" t="s">
        <v>338</v>
      </c>
      <c r="EM271" s="2" t="s">
        <v>339</v>
      </c>
      <c r="EN271" s="2"/>
      <c r="EO271" s="2" t="s">
        <v>3</v>
      </c>
      <c r="EP271" s="2"/>
      <c r="EQ271" s="2">
        <v>131072</v>
      </c>
      <c r="ER271" s="2">
        <v>17.04</v>
      </c>
      <c r="ES271" s="2">
        <v>11.75</v>
      </c>
      <c r="ET271" s="2">
        <v>0.6</v>
      </c>
      <c r="EU271" s="2">
        <v>0.11</v>
      </c>
      <c r="EV271" s="2">
        <v>4.6900000000000004</v>
      </c>
      <c r="EW271" s="2">
        <v>0.4</v>
      </c>
      <c r="EX271" s="2">
        <v>0</v>
      </c>
      <c r="EY271" s="2">
        <v>0</v>
      </c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>
        <v>0</v>
      </c>
      <c r="FR271" s="2">
        <f t="shared" ref="FR271:FR294" si="270">ROUND(IF(AND(BH271=3,BI271=3),P271,0),2)</f>
        <v>0</v>
      </c>
      <c r="FS271" s="2">
        <v>0</v>
      </c>
      <c r="FT271" s="2"/>
      <c r="FU271" s="2"/>
      <c r="FV271" s="2"/>
      <c r="FW271" s="2"/>
      <c r="FX271" s="2">
        <v>104</v>
      </c>
      <c r="FY271" s="2">
        <v>70</v>
      </c>
      <c r="FZ271" s="2"/>
      <c r="GA271" s="2" t="s">
        <v>3</v>
      </c>
      <c r="GB271" s="2"/>
      <c r="GC271" s="2"/>
      <c r="GD271" s="2">
        <v>0</v>
      </c>
      <c r="GE271" s="2"/>
      <c r="GF271" s="2">
        <v>1921608345</v>
      </c>
      <c r="GG271" s="2">
        <v>2</v>
      </c>
      <c r="GH271" s="2">
        <v>1</v>
      </c>
      <c r="GI271" s="2">
        <v>3</v>
      </c>
      <c r="GJ271" s="2">
        <v>0</v>
      </c>
      <c r="GK271" s="2">
        <f>ROUND(R271*(R12)/100,2)</f>
        <v>0.86</v>
      </c>
      <c r="GL271" s="2">
        <f t="shared" ref="GL271:GL294" si="271">ROUND(IF(AND(BH271=3,BI271=3,FS271&lt;&gt;0),P271,0),2)</f>
        <v>0</v>
      </c>
      <c r="GM271" s="2">
        <f t="shared" ref="GM271:GM294" si="272">ROUND(O271+X271+Y271+GK271,2)+GX271</f>
        <v>63.5</v>
      </c>
      <c r="GN271" s="2">
        <f t="shared" ref="GN271:GN294" si="273">IF(OR(BI271=0,BI271=1),ROUND(O271+X271+Y271+GK271,2),0)</f>
        <v>63.5</v>
      </c>
      <c r="GO271" s="2">
        <f t="shared" ref="GO271:GO294" si="274">IF(BI271=2,ROUND(O271+X271+Y271+GK271,2),0)</f>
        <v>0</v>
      </c>
      <c r="GP271" s="2">
        <f t="shared" ref="GP271:GP294" si="275">IF(BI271=4,ROUND(O271+X271+Y271+GK271,2)+GX271,0)</f>
        <v>0</v>
      </c>
      <c r="GQ271" s="2"/>
      <c r="GR271" s="2">
        <v>0</v>
      </c>
      <c r="GS271" s="2">
        <v>3</v>
      </c>
      <c r="GT271" s="2">
        <v>0</v>
      </c>
      <c r="GU271" s="2" t="s">
        <v>3</v>
      </c>
      <c r="GV271" s="2">
        <f t="shared" ref="GV271:GV294" si="276">ROUND(GT271,6)</f>
        <v>0</v>
      </c>
      <c r="GW271" s="2">
        <v>1</v>
      </c>
      <c r="GX271" s="2">
        <f t="shared" ref="GX271:GX294" si="277">ROUND(GV271*GW271*I271,2)</f>
        <v>0</v>
      </c>
      <c r="GY271" s="2"/>
      <c r="GZ271" s="2"/>
      <c r="HA271" s="2">
        <v>0</v>
      </c>
      <c r="HB271" s="2">
        <v>0</v>
      </c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2"/>
      <c r="HZ271" s="2"/>
      <c r="IA271" s="2"/>
      <c r="IB271" s="2"/>
      <c r="IC271" s="2"/>
      <c r="ID271" s="2"/>
      <c r="IE271" s="2"/>
      <c r="IF271" s="2"/>
      <c r="IG271" s="2"/>
      <c r="IH271" s="2"/>
      <c r="II271" s="2"/>
      <c r="IJ271" s="2"/>
      <c r="IK271" s="2">
        <v>0</v>
      </c>
      <c r="IL271" s="2"/>
      <c r="IM271" s="2"/>
      <c r="IN271" s="2"/>
      <c r="IO271" s="2"/>
      <c r="IP271" s="2"/>
      <c r="IQ271" s="2"/>
      <c r="IR271" s="2"/>
      <c r="IS271" s="2"/>
      <c r="IT271" s="2"/>
      <c r="IU271" s="2"/>
    </row>
    <row r="272" spans="1:255" x14ac:dyDescent="0.2">
      <c r="A272">
        <v>17</v>
      </c>
      <c r="B272">
        <v>1</v>
      </c>
      <c r="C272">
        <f>ROW(SmtRes!A244)</f>
        <v>244</v>
      </c>
      <c r="D272">
        <f>ROW(EtalonRes!A242)</f>
        <v>242</v>
      </c>
      <c r="E272" t="s">
        <v>334</v>
      </c>
      <c r="F272" t="s">
        <v>335</v>
      </c>
      <c r="G272" t="s">
        <v>336</v>
      </c>
      <c r="H272" t="s">
        <v>313</v>
      </c>
      <c r="I272">
        <f>ROUND(35/10,9)</f>
        <v>3.5</v>
      </c>
      <c r="J272">
        <v>0</v>
      </c>
      <c r="O272">
        <f t="shared" si="244"/>
        <v>485.73</v>
      </c>
      <c r="P272">
        <f t="shared" si="245"/>
        <v>82.25</v>
      </c>
      <c r="Q272">
        <f t="shared" si="246"/>
        <v>18.38</v>
      </c>
      <c r="R272">
        <f t="shared" si="247"/>
        <v>9.82</v>
      </c>
      <c r="S272">
        <f t="shared" si="248"/>
        <v>385.1</v>
      </c>
      <c r="T272">
        <f t="shared" si="249"/>
        <v>0</v>
      </c>
      <c r="U272">
        <f t="shared" si="250"/>
        <v>1.6099999999999999</v>
      </c>
      <c r="V272">
        <f t="shared" si="251"/>
        <v>0</v>
      </c>
      <c r="W272">
        <f t="shared" si="252"/>
        <v>0</v>
      </c>
      <c r="X272">
        <f t="shared" si="253"/>
        <v>327.33999999999997</v>
      </c>
      <c r="Y272">
        <f t="shared" si="254"/>
        <v>157.88999999999999</v>
      </c>
      <c r="AA272">
        <v>45037307</v>
      </c>
      <c r="AB272">
        <f t="shared" si="255"/>
        <v>17.8935</v>
      </c>
      <c r="AC272">
        <f t="shared" si="256"/>
        <v>11.75</v>
      </c>
      <c r="AD272">
        <f>ROUND(((ET272*1.25)),6)</f>
        <v>0.75</v>
      </c>
      <c r="AE272">
        <f>ROUND(((EU272*1.25)),6)</f>
        <v>0.13750000000000001</v>
      </c>
      <c r="AF272">
        <f>ROUND(((EV272*1.15)),6)</f>
        <v>5.3935000000000004</v>
      </c>
      <c r="AG272">
        <f t="shared" si="257"/>
        <v>0</v>
      </c>
      <c r="AH272">
        <f>((EW272*1.15))</f>
        <v>0.45999999999999996</v>
      </c>
      <c r="AI272">
        <f>((EX272*1.25))</f>
        <v>0</v>
      </c>
      <c r="AJ272">
        <f t="shared" si="258"/>
        <v>0</v>
      </c>
      <c r="AK272">
        <v>17.04</v>
      </c>
      <c r="AL272">
        <v>11.75</v>
      </c>
      <c r="AM272">
        <v>0.6</v>
      </c>
      <c r="AN272">
        <v>0.11</v>
      </c>
      <c r="AO272">
        <v>4.6900000000000004</v>
      </c>
      <c r="AP272">
        <v>0</v>
      </c>
      <c r="AQ272">
        <v>0.4</v>
      </c>
      <c r="AR272">
        <v>0</v>
      </c>
      <c r="AS272">
        <v>0</v>
      </c>
      <c r="AT272">
        <v>85</v>
      </c>
      <c r="AU272">
        <v>41</v>
      </c>
      <c r="AV272">
        <v>1</v>
      </c>
      <c r="AW272">
        <v>1</v>
      </c>
      <c r="AZ272">
        <v>1</v>
      </c>
      <c r="BA272">
        <v>20.399999999999999</v>
      </c>
      <c r="BB272">
        <v>7</v>
      </c>
      <c r="BC272">
        <v>2</v>
      </c>
      <c r="BD272" t="s">
        <v>3</v>
      </c>
      <c r="BE272" t="s">
        <v>3</v>
      </c>
      <c r="BF272" t="s">
        <v>3</v>
      </c>
      <c r="BG272" t="s">
        <v>3</v>
      </c>
      <c r="BH272">
        <v>0</v>
      </c>
      <c r="BI272">
        <v>1</v>
      </c>
      <c r="BJ272" t="s">
        <v>337</v>
      </c>
      <c r="BM272">
        <v>1555</v>
      </c>
      <c r="BN272">
        <v>7156650</v>
      </c>
      <c r="BO272" t="s">
        <v>335</v>
      </c>
      <c r="BP272">
        <v>1</v>
      </c>
      <c r="BQ272">
        <v>30</v>
      </c>
      <c r="BR272">
        <v>0</v>
      </c>
      <c r="BS272">
        <v>20.399999999999999</v>
      </c>
      <c r="BT272">
        <v>1</v>
      </c>
      <c r="BU272">
        <v>1</v>
      </c>
      <c r="BV272">
        <v>1</v>
      </c>
      <c r="BW272">
        <v>1</v>
      </c>
      <c r="BX272">
        <v>1</v>
      </c>
      <c r="BY272" t="s">
        <v>3</v>
      </c>
      <c r="BZ272">
        <v>85</v>
      </c>
      <c r="CA272">
        <v>41</v>
      </c>
      <c r="CF272">
        <v>0</v>
      </c>
      <c r="CG272">
        <v>0</v>
      </c>
      <c r="CM272">
        <v>0</v>
      </c>
      <c r="CN272" t="s">
        <v>3</v>
      </c>
      <c r="CO272">
        <v>0</v>
      </c>
      <c r="CP272">
        <f t="shared" si="259"/>
        <v>485.73</v>
      </c>
      <c r="CQ272">
        <f t="shared" si="260"/>
        <v>23.5</v>
      </c>
      <c r="CR272">
        <f t="shared" si="261"/>
        <v>5.25</v>
      </c>
      <c r="CS272">
        <f t="shared" si="262"/>
        <v>2.8050000000000002</v>
      </c>
      <c r="CT272">
        <f t="shared" si="263"/>
        <v>110.0274</v>
      </c>
      <c r="CU272">
        <f t="shared" si="264"/>
        <v>0</v>
      </c>
      <c r="CV272">
        <f t="shared" si="265"/>
        <v>0.45999999999999996</v>
      </c>
      <c r="CW272">
        <f t="shared" si="266"/>
        <v>0</v>
      </c>
      <c r="CX272">
        <f t="shared" si="267"/>
        <v>0</v>
      </c>
      <c r="CY272">
        <f t="shared" si="268"/>
        <v>327.33500000000004</v>
      </c>
      <c r="CZ272">
        <f t="shared" si="269"/>
        <v>157.89099999999999</v>
      </c>
      <c r="DC272" t="s">
        <v>3</v>
      </c>
      <c r="DD272" t="s">
        <v>3</v>
      </c>
      <c r="DE272" t="s">
        <v>36</v>
      </c>
      <c r="DF272" t="s">
        <v>36</v>
      </c>
      <c r="DG272" t="s">
        <v>37</v>
      </c>
      <c r="DH272" t="s">
        <v>3</v>
      </c>
      <c r="DI272" t="s">
        <v>37</v>
      </c>
      <c r="DJ272" t="s">
        <v>36</v>
      </c>
      <c r="DK272" t="s">
        <v>3</v>
      </c>
      <c r="DL272" t="s">
        <v>3</v>
      </c>
      <c r="DM272" t="s">
        <v>3</v>
      </c>
      <c r="DN272">
        <v>104</v>
      </c>
      <c r="DO272">
        <v>70</v>
      </c>
      <c r="DP272">
        <v>1.0469999999999999</v>
      </c>
      <c r="DQ272">
        <v>1</v>
      </c>
      <c r="DU272">
        <v>1010</v>
      </c>
      <c r="DV272" t="s">
        <v>313</v>
      </c>
      <c r="DW272" t="s">
        <v>313</v>
      </c>
      <c r="DX272">
        <v>10</v>
      </c>
      <c r="EE272">
        <v>44848062</v>
      </c>
      <c r="EF272">
        <v>30</v>
      </c>
      <c r="EG272" t="s">
        <v>38</v>
      </c>
      <c r="EH272">
        <v>0</v>
      </c>
      <c r="EI272" t="s">
        <v>3</v>
      </c>
      <c r="EJ272">
        <v>1</v>
      </c>
      <c r="EK272">
        <v>1555</v>
      </c>
      <c r="EL272" t="s">
        <v>338</v>
      </c>
      <c r="EM272" t="s">
        <v>339</v>
      </c>
      <c r="EO272" t="s">
        <v>3</v>
      </c>
      <c r="EQ272">
        <v>131072</v>
      </c>
      <c r="ER272">
        <v>17.04</v>
      </c>
      <c r="ES272">
        <v>11.75</v>
      </c>
      <c r="ET272">
        <v>0.6</v>
      </c>
      <c r="EU272">
        <v>0.11</v>
      </c>
      <c r="EV272">
        <v>4.6900000000000004</v>
      </c>
      <c r="EW272">
        <v>0.4</v>
      </c>
      <c r="EX272">
        <v>0</v>
      </c>
      <c r="EY272">
        <v>0</v>
      </c>
      <c r="FQ272">
        <v>0</v>
      </c>
      <c r="FR272">
        <f t="shared" si="270"/>
        <v>0</v>
      </c>
      <c r="FS272">
        <v>0</v>
      </c>
      <c r="FX272">
        <v>104</v>
      </c>
      <c r="FY272">
        <v>70</v>
      </c>
      <c r="GA272" t="s">
        <v>3</v>
      </c>
      <c r="GD272">
        <v>0</v>
      </c>
      <c r="GF272">
        <v>1921608345</v>
      </c>
      <c r="GG272">
        <v>2</v>
      </c>
      <c r="GH272">
        <v>1</v>
      </c>
      <c r="GI272">
        <v>3</v>
      </c>
      <c r="GJ272">
        <v>0</v>
      </c>
      <c r="GK272">
        <f>ROUND(R272*(S12)/100,2)</f>
        <v>16.5</v>
      </c>
      <c r="GL272">
        <f t="shared" si="271"/>
        <v>0</v>
      </c>
      <c r="GM272">
        <f t="shared" si="272"/>
        <v>987.46</v>
      </c>
      <c r="GN272">
        <f t="shared" si="273"/>
        <v>987.46</v>
      </c>
      <c r="GO272">
        <f t="shared" si="274"/>
        <v>0</v>
      </c>
      <c r="GP272">
        <f t="shared" si="275"/>
        <v>0</v>
      </c>
      <c r="GR272">
        <v>0</v>
      </c>
      <c r="GS272">
        <v>3</v>
      </c>
      <c r="GT272">
        <v>0</v>
      </c>
      <c r="GU272" t="s">
        <v>3</v>
      </c>
      <c r="GV272">
        <f t="shared" si="276"/>
        <v>0</v>
      </c>
      <c r="GW272">
        <v>1</v>
      </c>
      <c r="GX272">
        <f t="shared" si="277"/>
        <v>0</v>
      </c>
      <c r="HA272">
        <v>0</v>
      </c>
      <c r="HB272">
        <v>0</v>
      </c>
      <c r="IK272">
        <v>0</v>
      </c>
    </row>
    <row r="273" spans="1:255" x14ac:dyDescent="0.2">
      <c r="A273" s="2">
        <v>18</v>
      </c>
      <c r="B273" s="2">
        <v>1</v>
      </c>
      <c r="C273" s="2">
        <v>238</v>
      </c>
      <c r="D273" s="2"/>
      <c r="E273" s="2" t="s">
        <v>340</v>
      </c>
      <c r="F273" s="2" t="s">
        <v>341</v>
      </c>
      <c r="G273" s="2" t="s">
        <v>342</v>
      </c>
      <c r="H273" s="2" t="s">
        <v>101</v>
      </c>
      <c r="I273" s="2">
        <f>I271*J273</f>
        <v>3.15</v>
      </c>
      <c r="J273" s="2">
        <v>0.9</v>
      </c>
      <c r="K273" s="2"/>
      <c r="L273" s="2"/>
      <c r="M273" s="2"/>
      <c r="N273" s="2"/>
      <c r="O273" s="2">
        <f t="shared" si="244"/>
        <v>553.01</v>
      </c>
      <c r="P273" s="2">
        <f t="shared" si="245"/>
        <v>553.01</v>
      </c>
      <c r="Q273" s="2">
        <f t="shared" si="246"/>
        <v>0</v>
      </c>
      <c r="R273" s="2">
        <f t="shared" si="247"/>
        <v>0</v>
      </c>
      <c r="S273" s="2">
        <f t="shared" si="248"/>
        <v>0</v>
      </c>
      <c r="T273" s="2">
        <f t="shared" si="249"/>
        <v>0</v>
      </c>
      <c r="U273" s="2">
        <f t="shared" si="250"/>
        <v>0</v>
      </c>
      <c r="V273" s="2">
        <f t="shared" si="251"/>
        <v>0</v>
      </c>
      <c r="W273" s="2">
        <f t="shared" si="252"/>
        <v>0</v>
      </c>
      <c r="X273" s="2">
        <f t="shared" si="253"/>
        <v>0</v>
      </c>
      <c r="Y273" s="2">
        <f t="shared" si="254"/>
        <v>0</v>
      </c>
      <c r="Z273" s="2"/>
      <c r="AA273" s="2">
        <v>45037306</v>
      </c>
      <c r="AB273" s="2">
        <f t="shared" si="255"/>
        <v>175.56</v>
      </c>
      <c r="AC273" s="2">
        <f t="shared" si="256"/>
        <v>175.56</v>
      </c>
      <c r="AD273" s="2">
        <f t="shared" ref="AD273:AF274" si="278">ROUND((ET273),6)</f>
        <v>0</v>
      </c>
      <c r="AE273" s="2">
        <f t="shared" si="278"/>
        <v>0</v>
      </c>
      <c r="AF273" s="2">
        <f t="shared" si="278"/>
        <v>0</v>
      </c>
      <c r="AG273" s="2">
        <f t="shared" si="257"/>
        <v>0</v>
      </c>
      <c r="AH273" s="2">
        <f>(EW273)</f>
        <v>0</v>
      </c>
      <c r="AI273" s="2">
        <f>(EX273)</f>
        <v>0</v>
      </c>
      <c r="AJ273" s="2">
        <f t="shared" si="258"/>
        <v>0</v>
      </c>
      <c r="AK273" s="2">
        <v>175.56</v>
      </c>
      <c r="AL273" s="2">
        <v>175.56</v>
      </c>
      <c r="AM273" s="2">
        <v>0</v>
      </c>
      <c r="AN273" s="2">
        <v>0</v>
      </c>
      <c r="AO273" s="2">
        <v>0</v>
      </c>
      <c r="AP273" s="2">
        <v>0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1</v>
      </c>
      <c r="AW273" s="2">
        <v>1</v>
      </c>
      <c r="AX273" s="2"/>
      <c r="AY273" s="2"/>
      <c r="AZ273" s="2">
        <v>1</v>
      </c>
      <c r="BA273" s="2">
        <v>1</v>
      </c>
      <c r="BB273" s="2">
        <v>1</v>
      </c>
      <c r="BC273" s="2">
        <v>1</v>
      </c>
      <c r="BD273" s="2" t="s">
        <v>3</v>
      </c>
      <c r="BE273" s="2" t="s">
        <v>3</v>
      </c>
      <c r="BF273" s="2" t="s">
        <v>3</v>
      </c>
      <c r="BG273" s="2" t="s">
        <v>3</v>
      </c>
      <c r="BH273" s="2">
        <v>3</v>
      </c>
      <c r="BI273" s="2">
        <v>1</v>
      </c>
      <c r="BJ273" s="2" t="s">
        <v>343</v>
      </c>
      <c r="BK273" s="2"/>
      <c r="BL273" s="2"/>
      <c r="BM273" s="2">
        <v>1555</v>
      </c>
      <c r="BN273" s="2">
        <v>7156650</v>
      </c>
      <c r="BO273" s="2" t="s">
        <v>3</v>
      </c>
      <c r="BP273" s="2">
        <v>0</v>
      </c>
      <c r="BQ273" s="2">
        <v>30</v>
      </c>
      <c r="BR273" s="2">
        <v>0</v>
      </c>
      <c r="BS273" s="2">
        <v>1</v>
      </c>
      <c r="BT273" s="2">
        <v>1</v>
      </c>
      <c r="BU273" s="2">
        <v>1</v>
      </c>
      <c r="BV273" s="2">
        <v>1</v>
      </c>
      <c r="BW273" s="2">
        <v>1</v>
      </c>
      <c r="BX273" s="2">
        <v>1</v>
      </c>
      <c r="BY273" s="2" t="s">
        <v>3</v>
      </c>
      <c r="BZ273" s="2">
        <v>0</v>
      </c>
      <c r="CA273" s="2">
        <v>0</v>
      </c>
      <c r="CB273" s="2"/>
      <c r="CC273" s="2"/>
      <c r="CD273" s="2"/>
      <c r="CE273" s="2"/>
      <c r="CF273" s="2">
        <v>0</v>
      </c>
      <c r="CG273" s="2">
        <v>0</v>
      </c>
      <c r="CH273" s="2"/>
      <c r="CI273" s="2"/>
      <c r="CJ273" s="2"/>
      <c r="CK273" s="2"/>
      <c r="CL273" s="2"/>
      <c r="CM273" s="2">
        <v>0</v>
      </c>
      <c r="CN273" s="2" t="s">
        <v>3</v>
      </c>
      <c r="CO273" s="2">
        <v>0</v>
      </c>
      <c r="CP273" s="2">
        <f t="shared" si="259"/>
        <v>553.01</v>
      </c>
      <c r="CQ273" s="2">
        <f t="shared" si="260"/>
        <v>175.56</v>
      </c>
      <c r="CR273" s="2">
        <f t="shared" si="261"/>
        <v>0</v>
      </c>
      <c r="CS273" s="2">
        <f t="shared" si="262"/>
        <v>0</v>
      </c>
      <c r="CT273" s="2">
        <f t="shared" si="263"/>
        <v>0</v>
      </c>
      <c r="CU273" s="2">
        <f t="shared" si="264"/>
        <v>0</v>
      </c>
      <c r="CV273" s="2">
        <f t="shared" si="265"/>
        <v>0</v>
      </c>
      <c r="CW273" s="2">
        <f t="shared" si="266"/>
        <v>0</v>
      </c>
      <c r="CX273" s="2">
        <f t="shared" si="267"/>
        <v>0</v>
      </c>
      <c r="CY273" s="2">
        <f t="shared" si="268"/>
        <v>0</v>
      </c>
      <c r="CZ273" s="2">
        <f t="shared" si="269"/>
        <v>0</v>
      </c>
      <c r="DA273" s="2"/>
      <c r="DB273" s="2"/>
      <c r="DC273" s="2" t="s">
        <v>3</v>
      </c>
      <c r="DD273" s="2" t="s">
        <v>3</v>
      </c>
      <c r="DE273" s="2" t="s">
        <v>3</v>
      </c>
      <c r="DF273" s="2" t="s">
        <v>3</v>
      </c>
      <c r="DG273" s="2" t="s">
        <v>3</v>
      </c>
      <c r="DH273" s="2" t="s">
        <v>3</v>
      </c>
      <c r="DI273" s="2" t="s">
        <v>3</v>
      </c>
      <c r="DJ273" s="2" t="s">
        <v>3</v>
      </c>
      <c r="DK273" s="2" t="s">
        <v>3</v>
      </c>
      <c r="DL273" s="2" t="s">
        <v>3</v>
      </c>
      <c r="DM273" s="2" t="s">
        <v>3</v>
      </c>
      <c r="DN273" s="2">
        <v>104</v>
      </c>
      <c r="DO273" s="2">
        <v>70</v>
      </c>
      <c r="DP273" s="2">
        <v>1.0469999999999999</v>
      </c>
      <c r="DQ273" s="2">
        <v>1</v>
      </c>
      <c r="DR273" s="2"/>
      <c r="DS273" s="2"/>
      <c r="DT273" s="2"/>
      <c r="DU273" s="2">
        <v>1005</v>
      </c>
      <c r="DV273" s="2" t="s">
        <v>101</v>
      </c>
      <c r="DW273" s="2" t="s">
        <v>101</v>
      </c>
      <c r="DX273" s="2">
        <v>1</v>
      </c>
      <c r="DY273" s="2"/>
      <c r="DZ273" s="2"/>
      <c r="EA273" s="2"/>
      <c r="EB273" s="2"/>
      <c r="EC273" s="2"/>
      <c r="ED273" s="2"/>
      <c r="EE273" s="2">
        <v>44848062</v>
      </c>
      <c r="EF273" s="2">
        <v>30</v>
      </c>
      <c r="EG273" s="2" t="s">
        <v>38</v>
      </c>
      <c r="EH273" s="2">
        <v>0</v>
      </c>
      <c r="EI273" s="2" t="s">
        <v>3</v>
      </c>
      <c r="EJ273" s="2">
        <v>1</v>
      </c>
      <c r="EK273" s="2">
        <v>1555</v>
      </c>
      <c r="EL273" s="2" t="s">
        <v>338</v>
      </c>
      <c r="EM273" s="2" t="s">
        <v>339</v>
      </c>
      <c r="EN273" s="2"/>
      <c r="EO273" s="2" t="s">
        <v>3</v>
      </c>
      <c r="EP273" s="2"/>
      <c r="EQ273" s="2">
        <v>0</v>
      </c>
      <c r="ER273" s="2">
        <v>175.56</v>
      </c>
      <c r="ES273" s="2">
        <v>175.56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>
        <v>0</v>
      </c>
      <c r="FR273" s="2">
        <f t="shared" si="270"/>
        <v>0</v>
      </c>
      <c r="FS273" s="2">
        <v>0</v>
      </c>
      <c r="FT273" s="2"/>
      <c r="FU273" s="2"/>
      <c r="FV273" s="2"/>
      <c r="FW273" s="2"/>
      <c r="FX273" s="2">
        <v>104</v>
      </c>
      <c r="FY273" s="2">
        <v>70</v>
      </c>
      <c r="FZ273" s="2"/>
      <c r="GA273" s="2" t="s">
        <v>3</v>
      </c>
      <c r="GB273" s="2"/>
      <c r="GC273" s="2"/>
      <c r="GD273" s="2">
        <v>0</v>
      </c>
      <c r="GE273" s="2"/>
      <c r="GF273" s="2">
        <v>1185441805</v>
      </c>
      <c r="GG273" s="2">
        <v>2</v>
      </c>
      <c r="GH273" s="2">
        <v>1</v>
      </c>
      <c r="GI273" s="2">
        <v>3</v>
      </c>
      <c r="GJ273" s="2">
        <v>0</v>
      </c>
      <c r="GK273" s="2">
        <f>ROUND(R273*(R12)/100,2)</f>
        <v>0</v>
      </c>
      <c r="GL273" s="2">
        <f t="shared" si="271"/>
        <v>0</v>
      </c>
      <c r="GM273" s="2">
        <f t="shared" si="272"/>
        <v>553.01</v>
      </c>
      <c r="GN273" s="2">
        <f t="shared" si="273"/>
        <v>553.01</v>
      </c>
      <c r="GO273" s="2">
        <f t="shared" si="274"/>
        <v>0</v>
      </c>
      <c r="GP273" s="2">
        <f t="shared" si="275"/>
        <v>0</v>
      </c>
      <c r="GQ273" s="2"/>
      <c r="GR273" s="2">
        <v>0</v>
      </c>
      <c r="GS273" s="2">
        <v>3</v>
      </c>
      <c r="GT273" s="2">
        <v>0</v>
      </c>
      <c r="GU273" s="2" t="s">
        <v>3</v>
      </c>
      <c r="GV273" s="2">
        <f t="shared" si="276"/>
        <v>0</v>
      </c>
      <c r="GW273" s="2">
        <v>1</v>
      </c>
      <c r="GX273" s="2">
        <f t="shared" si="277"/>
        <v>0</v>
      </c>
      <c r="GY273" s="2"/>
      <c r="GZ273" s="2"/>
      <c r="HA273" s="2">
        <v>0</v>
      </c>
      <c r="HB273" s="2">
        <v>0</v>
      </c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2"/>
      <c r="HZ273" s="2"/>
      <c r="IA273" s="2"/>
      <c r="IB273" s="2"/>
      <c r="IC273" s="2"/>
      <c r="ID273" s="2"/>
      <c r="IE273" s="2"/>
      <c r="IF273" s="2"/>
      <c r="IG273" s="2"/>
      <c r="IH273" s="2"/>
      <c r="II273" s="2"/>
      <c r="IJ273" s="2"/>
      <c r="IK273" s="2">
        <v>0</v>
      </c>
      <c r="IL273" s="2"/>
      <c r="IM273" s="2"/>
      <c r="IN273" s="2"/>
      <c r="IO273" s="2"/>
      <c r="IP273" s="2"/>
      <c r="IQ273" s="2"/>
      <c r="IR273" s="2"/>
      <c r="IS273" s="2"/>
      <c r="IT273" s="2"/>
      <c r="IU273" s="2"/>
    </row>
    <row r="274" spans="1:255" x14ac:dyDescent="0.2">
      <c r="A274">
        <v>18</v>
      </c>
      <c r="B274">
        <v>1</v>
      </c>
      <c r="C274">
        <v>244</v>
      </c>
      <c r="E274" t="s">
        <v>340</v>
      </c>
      <c r="F274" t="s">
        <v>341</v>
      </c>
      <c r="G274" t="s">
        <v>342</v>
      </c>
      <c r="H274" t="s">
        <v>101</v>
      </c>
      <c r="I274">
        <f>I272*J274</f>
        <v>3.15</v>
      </c>
      <c r="J274">
        <v>0.9</v>
      </c>
      <c r="O274">
        <f t="shared" si="244"/>
        <v>5170.68</v>
      </c>
      <c r="P274">
        <f t="shared" si="245"/>
        <v>5170.68</v>
      </c>
      <c r="Q274">
        <f t="shared" si="246"/>
        <v>0</v>
      </c>
      <c r="R274">
        <f t="shared" si="247"/>
        <v>0</v>
      </c>
      <c r="S274">
        <f t="shared" si="248"/>
        <v>0</v>
      </c>
      <c r="T274">
        <f t="shared" si="249"/>
        <v>0</v>
      </c>
      <c r="U274">
        <f t="shared" si="250"/>
        <v>0</v>
      </c>
      <c r="V274">
        <f t="shared" si="251"/>
        <v>0</v>
      </c>
      <c r="W274">
        <f t="shared" si="252"/>
        <v>0</v>
      </c>
      <c r="X274">
        <f t="shared" si="253"/>
        <v>0</v>
      </c>
      <c r="Y274">
        <f t="shared" si="254"/>
        <v>0</v>
      </c>
      <c r="AA274">
        <v>45037307</v>
      </c>
      <c r="AB274">
        <f t="shared" si="255"/>
        <v>175.56</v>
      </c>
      <c r="AC274">
        <f t="shared" si="256"/>
        <v>175.56</v>
      </c>
      <c r="AD274">
        <f t="shared" si="278"/>
        <v>0</v>
      </c>
      <c r="AE274">
        <f t="shared" si="278"/>
        <v>0</v>
      </c>
      <c r="AF274">
        <f t="shared" si="278"/>
        <v>0</v>
      </c>
      <c r="AG274">
        <f t="shared" si="257"/>
        <v>0</v>
      </c>
      <c r="AH274">
        <f>(EW274)</f>
        <v>0</v>
      </c>
      <c r="AI274">
        <f>(EX274)</f>
        <v>0</v>
      </c>
      <c r="AJ274">
        <f t="shared" si="258"/>
        <v>0</v>
      </c>
      <c r="AK274">
        <v>175.56</v>
      </c>
      <c r="AL274">
        <v>175.56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1</v>
      </c>
      <c r="AW274">
        <v>1</v>
      </c>
      <c r="AZ274">
        <v>1</v>
      </c>
      <c r="BA274">
        <v>1</v>
      </c>
      <c r="BB274">
        <v>1</v>
      </c>
      <c r="BC274">
        <v>9.35</v>
      </c>
      <c r="BD274" t="s">
        <v>3</v>
      </c>
      <c r="BE274" t="s">
        <v>3</v>
      </c>
      <c r="BF274" t="s">
        <v>3</v>
      </c>
      <c r="BG274" t="s">
        <v>3</v>
      </c>
      <c r="BH274">
        <v>3</v>
      </c>
      <c r="BI274">
        <v>1</v>
      </c>
      <c r="BJ274" t="s">
        <v>343</v>
      </c>
      <c r="BM274">
        <v>1555</v>
      </c>
      <c r="BN274">
        <v>7156650</v>
      </c>
      <c r="BO274" t="s">
        <v>341</v>
      </c>
      <c r="BP274">
        <v>1</v>
      </c>
      <c r="BQ274">
        <v>30</v>
      </c>
      <c r="BR274">
        <v>0</v>
      </c>
      <c r="BS274">
        <v>1</v>
      </c>
      <c r="BT274">
        <v>1</v>
      </c>
      <c r="BU274">
        <v>1</v>
      </c>
      <c r="BV274">
        <v>1</v>
      </c>
      <c r="BW274">
        <v>1</v>
      </c>
      <c r="BX274">
        <v>1</v>
      </c>
      <c r="BY274" t="s">
        <v>3</v>
      </c>
      <c r="BZ274">
        <v>0</v>
      </c>
      <c r="CA274">
        <v>0</v>
      </c>
      <c r="CF274">
        <v>0</v>
      </c>
      <c r="CG274">
        <v>0</v>
      </c>
      <c r="CM274">
        <v>0</v>
      </c>
      <c r="CN274" t="s">
        <v>3</v>
      </c>
      <c r="CO274">
        <v>0</v>
      </c>
      <c r="CP274">
        <f t="shared" si="259"/>
        <v>5170.68</v>
      </c>
      <c r="CQ274">
        <f t="shared" si="260"/>
        <v>1641.4859999999999</v>
      </c>
      <c r="CR274">
        <f t="shared" si="261"/>
        <v>0</v>
      </c>
      <c r="CS274">
        <f t="shared" si="262"/>
        <v>0</v>
      </c>
      <c r="CT274">
        <f t="shared" si="263"/>
        <v>0</v>
      </c>
      <c r="CU274">
        <f t="shared" si="264"/>
        <v>0</v>
      </c>
      <c r="CV274">
        <f t="shared" si="265"/>
        <v>0</v>
      </c>
      <c r="CW274">
        <f t="shared" si="266"/>
        <v>0</v>
      </c>
      <c r="CX274">
        <f t="shared" si="267"/>
        <v>0</v>
      </c>
      <c r="CY274">
        <f t="shared" si="268"/>
        <v>0</v>
      </c>
      <c r="CZ274">
        <f t="shared" si="269"/>
        <v>0</v>
      </c>
      <c r="DC274" t="s">
        <v>3</v>
      </c>
      <c r="DD274" t="s">
        <v>3</v>
      </c>
      <c r="DE274" t="s">
        <v>3</v>
      </c>
      <c r="DF274" t="s">
        <v>3</v>
      </c>
      <c r="DG274" t="s">
        <v>3</v>
      </c>
      <c r="DH274" t="s">
        <v>3</v>
      </c>
      <c r="DI274" t="s">
        <v>3</v>
      </c>
      <c r="DJ274" t="s">
        <v>3</v>
      </c>
      <c r="DK274" t="s">
        <v>3</v>
      </c>
      <c r="DL274" t="s">
        <v>3</v>
      </c>
      <c r="DM274" t="s">
        <v>3</v>
      </c>
      <c r="DN274">
        <v>104</v>
      </c>
      <c r="DO274">
        <v>70</v>
      </c>
      <c r="DP274">
        <v>1.0469999999999999</v>
      </c>
      <c r="DQ274">
        <v>1</v>
      </c>
      <c r="DU274">
        <v>1005</v>
      </c>
      <c r="DV274" t="s">
        <v>101</v>
      </c>
      <c r="DW274" t="s">
        <v>101</v>
      </c>
      <c r="DX274">
        <v>1</v>
      </c>
      <c r="EE274">
        <v>44848062</v>
      </c>
      <c r="EF274">
        <v>30</v>
      </c>
      <c r="EG274" t="s">
        <v>38</v>
      </c>
      <c r="EH274">
        <v>0</v>
      </c>
      <c r="EI274" t="s">
        <v>3</v>
      </c>
      <c r="EJ274">
        <v>1</v>
      </c>
      <c r="EK274">
        <v>1555</v>
      </c>
      <c r="EL274" t="s">
        <v>338</v>
      </c>
      <c r="EM274" t="s">
        <v>339</v>
      </c>
      <c r="EO274" t="s">
        <v>3</v>
      </c>
      <c r="EQ274">
        <v>0</v>
      </c>
      <c r="ER274">
        <v>175.56</v>
      </c>
      <c r="ES274">
        <v>175.56</v>
      </c>
      <c r="ET274">
        <v>0</v>
      </c>
      <c r="EU274">
        <v>0</v>
      </c>
      <c r="EV274">
        <v>0</v>
      </c>
      <c r="EW274">
        <v>0</v>
      </c>
      <c r="EX274">
        <v>0</v>
      </c>
      <c r="FQ274">
        <v>0</v>
      </c>
      <c r="FR274">
        <f t="shared" si="270"/>
        <v>0</v>
      </c>
      <c r="FS274">
        <v>0</v>
      </c>
      <c r="FX274">
        <v>104</v>
      </c>
      <c r="FY274">
        <v>70</v>
      </c>
      <c r="GA274" t="s">
        <v>3</v>
      </c>
      <c r="GD274">
        <v>0</v>
      </c>
      <c r="GF274">
        <v>1185441805</v>
      </c>
      <c r="GG274">
        <v>2</v>
      </c>
      <c r="GH274">
        <v>1</v>
      </c>
      <c r="GI274">
        <v>3</v>
      </c>
      <c r="GJ274">
        <v>0</v>
      </c>
      <c r="GK274">
        <f>ROUND(R274*(S12)/100,2)</f>
        <v>0</v>
      </c>
      <c r="GL274">
        <f t="shared" si="271"/>
        <v>0</v>
      </c>
      <c r="GM274">
        <f t="shared" si="272"/>
        <v>5170.68</v>
      </c>
      <c r="GN274">
        <f t="shared" si="273"/>
        <v>5170.68</v>
      </c>
      <c r="GO274">
        <f t="shared" si="274"/>
        <v>0</v>
      </c>
      <c r="GP274">
        <f t="shared" si="275"/>
        <v>0</v>
      </c>
      <c r="GR274">
        <v>0</v>
      </c>
      <c r="GS274">
        <v>3</v>
      </c>
      <c r="GT274">
        <v>0</v>
      </c>
      <c r="GU274" t="s">
        <v>3</v>
      </c>
      <c r="GV274">
        <f t="shared" si="276"/>
        <v>0</v>
      </c>
      <c r="GW274">
        <v>1</v>
      </c>
      <c r="GX274">
        <f t="shared" si="277"/>
        <v>0</v>
      </c>
      <c r="HA274">
        <v>0</v>
      </c>
      <c r="HB274">
        <v>0</v>
      </c>
      <c r="IK274">
        <v>0</v>
      </c>
    </row>
    <row r="275" spans="1:255" x14ac:dyDescent="0.2">
      <c r="A275" s="2">
        <v>17</v>
      </c>
      <c r="B275" s="2">
        <v>1</v>
      </c>
      <c r="C275" s="2">
        <f>ROW(SmtRes!A250)</f>
        <v>250</v>
      </c>
      <c r="D275" s="2">
        <f>ROW(EtalonRes!A248)</f>
        <v>248</v>
      </c>
      <c r="E275" s="2" t="s">
        <v>344</v>
      </c>
      <c r="F275" s="2" t="s">
        <v>345</v>
      </c>
      <c r="G275" s="2" t="s">
        <v>346</v>
      </c>
      <c r="H275" s="2" t="s">
        <v>313</v>
      </c>
      <c r="I275" s="2">
        <f>ROUND(8/10,9)</f>
        <v>0.8</v>
      </c>
      <c r="J275" s="2">
        <v>0</v>
      </c>
      <c r="K275" s="2"/>
      <c r="L275" s="2"/>
      <c r="M275" s="2"/>
      <c r="N275" s="2"/>
      <c r="O275" s="2">
        <f t="shared" si="244"/>
        <v>47.45</v>
      </c>
      <c r="P275" s="2">
        <f t="shared" si="245"/>
        <v>0.14000000000000001</v>
      </c>
      <c r="Q275" s="2">
        <f t="shared" si="246"/>
        <v>7.49</v>
      </c>
      <c r="R275" s="2">
        <f t="shared" si="247"/>
        <v>1.93</v>
      </c>
      <c r="S275" s="2">
        <f t="shared" si="248"/>
        <v>39.82</v>
      </c>
      <c r="T275" s="2">
        <f t="shared" si="249"/>
        <v>0</v>
      </c>
      <c r="U275" s="2">
        <f t="shared" si="250"/>
        <v>3.5695999999999999</v>
      </c>
      <c r="V275" s="2">
        <f t="shared" si="251"/>
        <v>0</v>
      </c>
      <c r="W275" s="2">
        <f t="shared" si="252"/>
        <v>0</v>
      </c>
      <c r="X275" s="2">
        <f t="shared" si="253"/>
        <v>0</v>
      </c>
      <c r="Y275" s="2">
        <f t="shared" si="254"/>
        <v>0</v>
      </c>
      <c r="Z275" s="2"/>
      <c r="AA275" s="2">
        <v>45037306</v>
      </c>
      <c r="AB275" s="2">
        <f t="shared" si="255"/>
        <v>59.314500000000002</v>
      </c>
      <c r="AC275" s="2">
        <f t="shared" si="256"/>
        <v>0.18</v>
      </c>
      <c r="AD275" s="2">
        <f>ROUND(((ET275*1.25)),6)</f>
        <v>9.3625000000000007</v>
      </c>
      <c r="AE275" s="2">
        <f>ROUND(((EU275*1.25)),6)</f>
        <v>2.4125000000000001</v>
      </c>
      <c r="AF275" s="2">
        <f>ROUND(((EV275*1.15)),6)</f>
        <v>49.771999999999998</v>
      </c>
      <c r="AG275" s="2">
        <f t="shared" si="257"/>
        <v>0</v>
      </c>
      <c r="AH275" s="2">
        <f>((EW275*1.15))</f>
        <v>4.4619999999999997</v>
      </c>
      <c r="AI275" s="2">
        <f>((EX275*1.25))</f>
        <v>0</v>
      </c>
      <c r="AJ275" s="2">
        <f t="shared" si="258"/>
        <v>0</v>
      </c>
      <c r="AK275" s="2">
        <v>50.95</v>
      </c>
      <c r="AL275" s="2">
        <v>0.18</v>
      </c>
      <c r="AM275" s="2">
        <v>7.49</v>
      </c>
      <c r="AN275" s="2">
        <v>1.93</v>
      </c>
      <c r="AO275" s="2">
        <v>43.28</v>
      </c>
      <c r="AP275" s="2">
        <v>0</v>
      </c>
      <c r="AQ275" s="2">
        <v>3.88</v>
      </c>
      <c r="AR275" s="2">
        <v>0</v>
      </c>
      <c r="AS275" s="2">
        <v>0</v>
      </c>
      <c r="AT275" s="2">
        <v>0</v>
      </c>
      <c r="AU275" s="2">
        <v>0</v>
      </c>
      <c r="AV275" s="2">
        <v>1</v>
      </c>
      <c r="AW275" s="2">
        <v>1</v>
      </c>
      <c r="AX275" s="2"/>
      <c r="AY275" s="2"/>
      <c r="AZ275" s="2">
        <v>1</v>
      </c>
      <c r="BA275" s="2">
        <v>1</v>
      </c>
      <c r="BB275" s="2">
        <v>1</v>
      </c>
      <c r="BC275" s="2">
        <v>1</v>
      </c>
      <c r="BD275" s="2" t="s">
        <v>3</v>
      </c>
      <c r="BE275" s="2" t="s">
        <v>3</v>
      </c>
      <c r="BF275" s="2" t="s">
        <v>3</v>
      </c>
      <c r="BG275" s="2" t="s">
        <v>3</v>
      </c>
      <c r="BH275" s="2">
        <v>0</v>
      </c>
      <c r="BI275" s="2">
        <v>1</v>
      </c>
      <c r="BJ275" s="2" t="s">
        <v>347</v>
      </c>
      <c r="BK275" s="2"/>
      <c r="BL275" s="2"/>
      <c r="BM275" s="2">
        <v>1538</v>
      </c>
      <c r="BN275" s="2">
        <v>7156650</v>
      </c>
      <c r="BO275" s="2" t="s">
        <v>3</v>
      </c>
      <c r="BP275" s="2">
        <v>0</v>
      </c>
      <c r="BQ275" s="2">
        <v>30</v>
      </c>
      <c r="BR275" s="2">
        <v>0</v>
      </c>
      <c r="BS275" s="2">
        <v>1</v>
      </c>
      <c r="BT275" s="2">
        <v>1</v>
      </c>
      <c r="BU275" s="2">
        <v>1</v>
      </c>
      <c r="BV275" s="2">
        <v>1</v>
      </c>
      <c r="BW275" s="2">
        <v>1</v>
      </c>
      <c r="BX275" s="2">
        <v>1</v>
      </c>
      <c r="BY275" s="2" t="s">
        <v>3</v>
      </c>
      <c r="BZ275" s="2">
        <v>0</v>
      </c>
      <c r="CA275" s="2">
        <v>0</v>
      </c>
      <c r="CB275" s="2"/>
      <c r="CC275" s="2"/>
      <c r="CD275" s="2"/>
      <c r="CE275" s="2"/>
      <c r="CF275" s="2">
        <v>0</v>
      </c>
      <c r="CG275" s="2">
        <v>0</v>
      </c>
      <c r="CH275" s="2"/>
      <c r="CI275" s="2"/>
      <c r="CJ275" s="2"/>
      <c r="CK275" s="2"/>
      <c r="CL275" s="2"/>
      <c r="CM275" s="2">
        <v>0</v>
      </c>
      <c r="CN275" s="2" t="s">
        <v>3</v>
      </c>
      <c r="CO275" s="2">
        <v>0</v>
      </c>
      <c r="CP275" s="2">
        <f t="shared" si="259"/>
        <v>47.45</v>
      </c>
      <c r="CQ275" s="2">
        <f t="shared" si="260"/>
        <v>0.18</v>
      </c>
      <c r="CR275" s="2">
        <f t="shared" si="261"/>
        <v>9.3625000000000007</v>
      </c>
      <c r="CS275" s="2">
        <f t="shared" si="262"/>
        <v>2.4125000000000001</v>
      </c>
      <c r="CT275" s="2">
        <f t="shared" si="263"/>
        <v>49.771999999999998</v>
      </c>
      <c r="CU275" s="2">
        <f t="shared" si="264"/>
        <v>0</v>
      </c>
      <c r="CV275" s="2">
        <f t="shared" si="265"/>
        <v>4.4619999999999997</v>
      </c>
      <c r="CW275" s="2">
        <f t="shared" si="266"/>
        <v>0</v>
      </c>
      <c r="CX275" s="2">
        <f t="shared" si="267"/>
        <v>0</v>
      </c>
      <c r="CY275" s="2">
        <f t="shared" si="268"/>
        <v>0</v>
      </c>
      <c r="CZ275" s="2">
        <f t="shared" si="269"/>
        <v>0</v>
      </c>
      <c r="DA275" s="2"/>
      <c r="DB275" s="2"/>
      <c r="DC275" s="2" t="s">
        <v>3</v>
      </c>
      <c r="DD275" s="2" t="s">
        <v>3</v>
      </c>
      <c r="DE275" s="2" t="s">
        <v>36</v>
      </c>
      <c r="DF275" s="2" t="s">
        <v>36</v>
      </c>
      <c r="DG275" s="2" t="s">
        <v>37</v>
      </c>
      <c r="DH275" s="2" t="s">
        <v>3</v>
      </c>
      <c r="DI275" s="2" t="s">
        <v>37</v>
      </c>
      <c r="DJ275" s="2" t="s">
        <v>36</v>
      </c>
      <c r="DK275" s="2" t="s">
        <v>3</v>
      </c>
      <c r="DL275" s="2" t="s">
        <v>3</v>
      </c>
      <c r="DM275" s="2" t="s">
        <v>3</v>
      </c>
      <c r="DN275" s="2">
        <v>156</v>
      </c>
      <c r="DO275" s="2">
        <v>84</v>
      </c>
      <c r="DP275" s="2">
        <v>1</v>
      </c>
      <c r="DQ275" s="2">
        <v>1</v>
      </c>
      <c r="DR275" s="2"/>
      <c r="DS275" s="2"/>
      <c r="DT275" s="2"/>
      <c r="DU275" s="2">
        <v>1010</v>
      </c>
      <c r="DV275" s="2" t="s">
        <v>313</v>
      </c>
      <c r="DW275" s="2" t="s">
        <v>313</v>
      </c>
      <c r="DX275" s="2">
        <v>10</v>
      </c>
      <c r="DY275" s="2"/>
      <c r="DZ275" s="2"/>
      <c r="EA275" s="2"/>
      <c r="EB275" s="2"/>
      <c r="EC275" s="2"/>
      <c r="ED275" s="2"/>
      <c r="EE275" s="2">
        <v>44848045</v>
      </c>
      <c r="EF275" s="2">
        <v>30</v>
      </c>
      <c r="EG275" s="2" t="s">
        <v>38</v>
      </c>
      <c r="EH275" s="2">
        <v>0</v>
      </c>
      <c r="EI275" s="2" t="s">
        <v>3</v>
      </c>
      <c r="EJ275" s="2">
        <v>1</v>
      </c>
      <c r="EK275" s="2">
        <v>1538</v>
      </c>
      <c r="EL275" s="2" t="s">
        <v>348</v>
      </c>
      <c r="EM275" s="2" t="s">
        <v>349</v>
      </c>
      <c r="EN275" s="2"/>
      <c r="EO275" s="2" t="s">
        <v>3</v>
      </c>
      <c r="EP275" s="2"/>
      <c r="EQ275" s="2">
        <v>131072</v>
      </c>
      <c r="ER275" s="2">
        <v>50.95</v>
      </c>
      <c r="ES275" s="2">
        <v>0.18</v>
      </c>
      <c r="ET275" s="2">
        <v>7.49</v>
      </c>
      <c r="EU275" s="2">
        <v>1.93</v>
      </c>
      <c r="EV275" s="2">
        <v>43.28</v>
      </c>
      <c r="EW275" s="2">
        <v>3.88</v>
      </c>
      <c r="EX275" s="2">
        <v>0</v>
      </c>
      <c r="EY275" s="2">
        <v>0</v>
      </c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>
        <v>0</v>
      </c>
      <c r="FR275" s="2">
        <f t="shared" si="270"/>
        <v>0</v>
      </c>
      <c r="FS275" s="2">
        <v>0</v>
      </c>
      <c r="FT275" s="2"/>
      <c r="FU275" s="2"/>
      <c r="FV275" s="2"/>
      <c r="FW275" s="2"/>
      <c r="FX275" s="2">
        <v>156</v>
      </c>
      <c r="FY275" s="2">
        <v>84</v>
      </c>
      <c r="FZ275" s="2"/>
      <c r="GA275" s="2" t="s">
        <v>3</v>
      </c>
      <c r="GB275" s="2"/>
      <c r="GC275" s="2"/>
      <c r="GD275" s="2">
        <v>0</v>
      </c>
      <c r="GE275" s="2"/>
      <c r="GF275" s="2">
        <v>1238830603</v>
      </c>
      <c r="GG275" s="2">
        <v>2</v>
      </c>
      <c r="GH275" s="2">
        <v>1</v>
      </c>
      <c r="GI275" s="2">
        <v>3</v>
      </c>
      <c r="GJ275" s="2">
        <v>0</v>
      </c>
      <c r="GK275" s="2">
        <f>ROUND(R275*(R12)/100,2)</f>
        <v>3.47</v>
      </c>
      <c r="GL275" s="2">
        <f t="shared" si="271"/>
        <v>0</v>
      </c>
      <c r="GM275" s="2">
        <f t="shared" si="272"/>
        <v>50.92</v>
      </c>
      <c r="GN275" s="2">
        <f t="shared" si="273"/>
        <v>50.92</v>
      </c>
      <c r="GO275" s="2">
        <f t="shared" si="274"/>
        <v>0</v>
      </c>
      <c r="GP275" s="2">
        <f t="shared" si="275"/>
        <v>0</v>
      </c>
      <c r="GQ275" s="2"/>
      <c r="GR275" s="2">
        <v>0</v>
      </c>
      <c r="GS275" s="2">
        <v>3</v>
      </c>
      <c r="GT275" s="2">
        <v>0</v>
      </c>
      <c r="GU275" s="2" t="s">
        <v>3</v>
      </c>
      <c r="GV275" s="2">
        <f t="shared" si="276"/>
        <v>0</v>
      </c>
      <c r="GW275" s="2">
        <v>1</v>
      </c>
      <c r="GX275" s="2">
        <f t="shared" si="277"/>
        <v>0</v>
      </c>
      <c r="GY275" s="2"/>
      <c r="GZ275" s="2"/>
      <c r="HA275" s="2">
        <v>0</v>
      </c>
      <c r="HB275" s="2">
        <v>0</v>
      </c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2"/>
      <c r="HZ275" s="2"/>
      <c r="IA275" s="2"/>
      <c r="IB275" s="2"/>
      <c r="IC275" s="2"/>
      <c r="ID275" s="2"/>
      <c r="IE275" s="2"/>
      <c r="IF275" s="2"/>
      <c r="IG275" s="2"/>
      <c r="IH275" s="2"/>
      <c r="II275" s="2"/>
      <c r="IJ275" s="2"/>
      <c r="IK275" s="2">
        <v>0</v>
      </c>
      <c r="IL275" s="2"/>
      <c r="IM275" s="2"/>
      <c r="IN275" s="2"/>
      <c r="IO275" s="2"/>
      <c r="IP275" s="2"/>
      <c r="IQ275" s="2"/>
      <c r="IR275" s="2"/>
      <c r="IS275" s="2"/>
      <c r="IT275" s="2"/>
      <c r="IU275" s="2"/>
    </row>
    <row r="276" spans="1:255" x14ac:dyDescent="0.2">
      <c r="A276">
        <v>17</v>
      </c>
      <c r="B276">
        <v>1</v>
      </c>
      <c r="C276">
        <f>ROW(SmtRes!A256)</f>
        <v>256</v>
      </c>
      <c r="D276">
        <f>ROW(EtalonRes!A254)</f>
        <v>254</v>
      </c>
      <c r="E276" t="s">
        <v>344</v>
      </c>
      <c r="F276" t="s">
        <v>345</v>
      </c>
      <c r="G276" t="s">
        <v>346</v>
      </c>
      <c r="H276" t="s">
        <v>313</v>
      </c>
      <c r="I276">
        <f>ROUND(8/10,9)</f>
        <v>0.8</v>
      </c>
      <c r="J276">
        <v>0</v>
      </c>
      <c r="O276">
        <f t="shared" si="244"/>
        <v>878.49</v>
      </c>
      <c r="P276">
        <f t="shared" si="245"/>
        <v>0.6</v>
      </c>
      <c r="Q276">
        <f t="shared" si="246"/>
        <v>65.61</v>
      </c>
      <c r="R276">
        <f t="shared" si="247"/>
        <v>39.369999999999997</v>
      </c>
      <c r="S276">
        <f t="shared" si="248"/>
        <v>812.28</v>
      </c>
      <c r="T276">
        <f t="shared" si="249"/>
        <v>0</v>
      </c>
      <c r="U276">
        <f t="shared" si="250"/>
        <v>3.5695999999999999</v>
      </c>
      <c r="V276">
        <f t="shared" si="251"/>
        <v>0</v>
      </c>
      <c r="W276">
        <f t="shared" si="252"/>
        <v>0</v>
      </c>
      <c r="X276">
        <f t="shared" si="253"/>
        <v>731.05</v>
      </c>
      <c r="Y276">
        <f t="shared" si="254"/>
        <v>333.03</v>
      </c>
      <c r="AA276">
        <v>45037307</v>
      </c>
      <c r="AB276">
        <f t="shared" si="255"/>
        <v>59.314500000000002</v>
      </c>
      <c r="AC276">
        <f t="shared" si="256"/>
        <v>0.18</v>
      </c>
      <c r="AD276">
        <f>ROUND(((ET276*1.25)),6)</f>
        <v>9.3625000000000007</v>
      </c>
      <c r="AE276">
        <f>ROUND(((EU276*1.25)),6)</f>
        <v>2.4125000000000001</v>
      </c>
      <c r="AF276">
        <f>ROUND(((EV276*1.15)),6)</f>
        <v>49.771999999999998</v>
      </c>
      <c r="AG276">
        <f t="shared" si="257"/>
        <v>0</v>
      </c>
      <c r="AH276">
        <f>((EW276*1.15))</f>
        <v>4.4619999999999997</v>
      </c>
      <c r="AI276">
        <f>((EX276*1.25))</f>
        <v>0</v>
      </c>
      <c r="AJ276">
        <f t="shared" si="258"/>
        <v>0</v>
      </c>
      <c r="AK276">
        <v>50.95</v>
      </c>
      <c r="AL276">
        <v>0.18</v>
      </c>
      <c r="AM276">
        <v>7.49</v>
      </c>
      <c r="AN276">
        <v>1.93</v>
      </c>
      <c r="AO276">
        <v>43.28</v>
      </c>
      <c r="AP276">
        <v>0</v>
      </c>
      <c r="AQ276">
        <v>3.88</v>
      </c>
      <c r="AR276">
        <v>0</v>
      </c>
      <c r="AS276">
        <v>0</v>
      </c>
      <c r="AT276">
        <v>90</v>
      </c>
      <c r="AU276">
        <v>41</v>
      </c>
      <c r="AV276">
        <v>1</v>
      </c>
      <c r="AW276">
        <v>1</v>
      </c>
      <c r="AZ276">
        <v>1</v>
      </c>
      <c r="BA276">
        <v>20.399999999999999</v>
      </c>
      <c r="BB276">
        <v>8.76</v>
      </c>
      <c r="BC276">
        <v>4.17</v>
      </c>
      <c r="BD276" t="s">
        <v>3</v>
      </c>
      <c r="BE276" t="s">
        <v>3</v>
      </c>
      <c r="BF276" t="s">
        <v>3</v>
      </c>
      <c r="BG276" t="s">
        <v>3</v>
      </c>
      <c r="BH276">
        <v>0</v>
      </c>
      <c r="BI276">
        <v>1</v>
      </c>
      <c r="BJ276" t="s">
        <v>347</v>
      </c>
      <c r="BM276">
        <v>1538</v>
      </c>
      <c r="BN276">
        <v>7156650</v>
      </c>
      <c r="BO276" t="s">
        <v>345</v>
      </c>
      <c r="BP276">
        <v>1</v>
      </c>
      <c r="BQ276">
        <v>30</v>
      </c>
      <c r="BR276">
        <v>0</v>
      </c>
      <c r="BS276">
        <v>20.399999999999999</v>
      </c>
      <c r="BT276">
        <v>1</v>
      </c>
      <c r="BU276">
        <v>1</v>
      </c>
      <c r="BV276">
        <v>1</v>
      </c>
      <c r="BW276">
        <v>1</v>
      </c>
      <c r="BX276">
        <v>1</v>
      </c>
      <c r="BY276" t="s">
        <v>3</v>
      </c>
      <c r="BZ276">
        <v>90</v>
      </c>
      <c r="CA276">
        <v>41</v>
      </c>
      <c r="CF276">
        <v>0</v>
      </c>
      <c r="CG276">
        <v>0</v>
      </c>
      <c r="CM276">
        <v>0</v>
      </c>
      <c r="CN276" t="s">
        <v>3</v>
      </c>
      <c r="CO276">
        <v>0</v>
      </c>
      <c r="CP276">
        <f t="shared" si="259"/>
        <v>878.49</v>
      </c>
      <c r="CQ276">
        <f t="shared" si="260"/>
        <v>0.75059999999999993</v>
      </c>
      <c r="CR276">
        <f t="shared" si="261"/>
        <v>82.015500000000003</v>
      </c>
      <c r="CS276">
        <f t="shared" si="262"/>
        <v>49.214999999999996</v>
      </c>
      <c r="CT276">
        <f t="shared" si="263"/>
        <v>1015.3487999999999</v>
      </c>
      <c r="CU276">
        <f t="shared" si="264"/>
        <v>0</v>
      </c>
      <c r="CV276">
        <f t="shared" si="265"/>
        <v>4.4619999999999997</v>
      </c>
      <c r="CW276">
        <f t="shared" si="266"/>
        <v>0</v>
      </c>
      <c r="CX276">
        <f t="shared" si="267"/>
        <v>0</v>
      </c>
      <c r="CY276">
        <f t="shared" si="268"/>
        <v>731.05200000000002</v>
      </c>
      <c r="CZ276">
        <f t="shared" si="269"/>
        <v>333.03479999999996</v>
      </c>
      <c r="DC276" t="s">
        <v>3</v>
      </c>
      <c r="DD276" t="s">
        <v>3</v>
      </c>
      <c r="DE276" t="s">
        <v>36</v>
      </c>
      <c r="DF276" t="s">
        <v>36</v>
      </c>
      <c r="DG276" t="s">
        <v>37</v>
      </c>
      <c r="DH276" t="s">
        <v>3</v>
      </c>
      <c r="DI276" t="s">
        <v>37</v>
      </c>
      <c r="DJ276" t="s">
        <v>36</v>
      </c>
      <c r="DK276" t="s">
        <v>3</v>
      </c>
      <c r="DL276" t="s">
        <v>3</v>
      </c>
      <c r="DM276" t="s">
        <v>3</v>
      </c>
      <c r="DN276">
        <v>156</v>
      </c>
      <c r="DO276">
        <v>84</v>
      </c>
      <c r="DP276">
        <v>1</v>
      </c>
      <c r="DQ276">
        <v>1</v>
      </c>
      <c r="DU276">
        <v>1010</v>
      </c>
      <c r="DV276" t="s">
        <v>313</v>
      </c>
      <c r="DW276" t="s">
        <v>313</v>
      </c>
      <c r="DX276">
        <v>10</v>
      </c>
      <c r="EE276">
        <v>44848045</v>
      </c>
      <c r="EF276">
        <v>30</v>
      </c>
      <c r="EG276" t="s">
        <v>38</v>
      </c>
      <c r="EH276">
        <v>0</v>
      </c>
      <c r="EI276" t="s">
        <v>3</v>
      </c>
      <c r="EJ276">
        <v>1</v>
      </c>
      <c r="EK276">
        <v>1538</v>
      </c>
      <c r="EL276" t="s">
        <v>348</v>
      </c>
      <c r="EM276" t="s">
        <v>349</v>
      </c>
      <c r="EO276" t="s">
        <v>3</v>
      </c>
      <c r="EQ276">
        <v>131072</v>
      </c>
      <c r="ER276">
        <v>50.95</v>
      </c>
      <c r="ES276">
        <v>0.18</v>
      </c>
      <c r="ET276">
        <v>7.49</v>
      </c>
      <c r="EU276">
        <v>1.93</v>
      </c>
      <c r="EV276">
        <v>43.28</v>
      </c>
      <c r="EW276">
        <v>3.88</v>
      </c>
      <c r="EX276">
        <v>0</v>
      </c>
      <c r="EY276">
        <v>0</v>
      </c>
      <c r="FQ276">
        <v>0</v>
      </c>
      <c r="FR276">
        <f t="shared" si="270"/>
        <v>0</v>
      </c>
      <c r="FS276">
        <v>0</v>
      </c>
      <c r="FX276">
        <v>156</v>
      </c>
      <c r="FY276">
        <v>84</v>
      </c>
      <c r="GA276" t="s">
        <v>3</v>
      </c>
      <c r="GD276">
        <v>0</v>
      </c>
      <c r="GF276">
        <v>1238830603</v>
      </c>
      <c r="GG276">
        <v>2</v>
      </c>
      <c r="GH276">
        <v>1</v>
      </c>
      <c r="GI276">
        <v>3</v>
      </c>
      <c r="GJ276">
        <v>0</v>
      </c>
      <c r="GK276">
        <f>ROUND(R276*(S12)/100,2)</f>
        <v>66.14</v>
      </c>
      <c r="GL276">
        <f t="shared" si="271"/>
        <v>0</v>
      </c>
      <c r="GM276">
        <f t="shared" si="272"/>
        <v>2008.71</v>
      </c>
      <c r="GN276">
        <f t="shared" si="273"/>
        <v>2008.71</v>
      </c>
      <c r="GO276">
        <f t="shared" si="274"/>
        <v>0</v>
      </c>
      <c r="GP276">
        <f t="shared" si="275"/>
        <v>0</v>
      </c>
      <c r="GR276">
        <v>0</v>
      </c>
      <c r="GS276">
        <v>3</v>
      </c>
      <c r="GT276">
        <v>0</v>
      </c>
      <c r="GU276" t="s">
        <v>3</v>
      </c>
      <c r="GV276">
        <f t="shared" si="276"/>
        <v>0</v>
      </c>
      <c r="GW276">
        <v>1</v>
      </c>
      <c r="GX276">
        <f t="shared" si="277"/>
        <v>0</v>
      </c>
      <c r="HA276">
        <v>0</v>
      </c>
      <c r="HB276">
        <v>0</v>
      </c>
      <c r="IK276">
        <v>0</v>
      </c>
    </row>
    <row r="277" spans="1:255" x14ac:dyDescent="0.2">
      <c r="A277" s="2">
        <v>18</v>
      </c>
      <c r="B277" s="2">
        <v>1</v>
      </c>
      <c r="C277" s="2">
        <v>249</v>
      </c>
      <c r="D277" s="2"/>
      <c r="E277" s="2" t="s">
        <v>350</v>
      </c>
      <c r="F277" s="2" t="s">
        <v>351</v>
      </c>
      <c r="G277" s="2" t="s">
        <v>352</v>
      </c>
      <c r="H277" s="2" t="s">
        <v>29</v>
      </c>
      <c r="I277" s="2">
        <f>I275*J277</f>
        <v>0.1148</v>
      </c>
      <c r="J277" s="2">
        <v>0.14349999999999999</v>
      </c>
      <c r="K277" s="2"/>
      <c r="L277" s="2"/>
      <c r="M277" s="2"/>
      <c r="N277" s="2"/>
      <c r="O277" s="2">
        <f t="shared" si="244"/>
        <v>66.12</v>
      </c>
      <c r="P277" s="2">
        <f t="shared" si="245"/>
        <v>66.12</v>
      </c>
      <c r="Q277" s="2">
        <f t="shared" si="246"/>
        <v>0</v>
      </c>
      <c r="R277" s="2">
        <f t="shared" si="247"/>
        <v>0</v>
      </c>
      <c r="S277" s="2">
        <f t="shared" si="248"/>
        <v>0</v>
      </c>
      <c r="T277" s="2">
        <f t="shared" si="249"/>
        <v>0</v>
      </c>
      <c r="U277" s="2">
        <f t="shared" si="250"/>
        <v>0</v>
      </c>
      <c r="V277" s="2">
        <f t="shared" si="251"/>
        <v>0</v>
      </c>
      <c r="W277" s="2">
        <f t="shared" si="252"/>
        <v>0</v>
      </c>
      <c r="X277" s="2">
        <f t="shared" si="253"/>
        <v>0</v>
      </c>
      <c r="Y277" s="2">
        <f t="shared" si="254"/>
        <v>0</v>
      </c>
      <c r="Z277" s="2"/>
      <c r="AA277" s="2">
        <v>45037306</v>
      </c>
      <c r="AB277" s="2">
        <f t="shared" si="255"/>
        <v>575.97</v>
      </c>
      <c r="AC277" s="2">
        <f t="shared" si="256"/>
        <v>575.97</v>
      </c>
      <c r="AD277" s="2">
        <f t="shared" ref="AD277:AF280" si="279">ROUND((ET277),6)</f>
        <v>0</v>
      </c>
      <c r="AE277" s="2">
        <f t="shared" si="279"/>
        <v>0</v>
      </c>
      <c r="AF277" s="2">
        <f t="shared" si="279"/>
        <v>0</v>
      </c>
      <c r="AG277" s="2">
        <f t="shared" si="257"/>
        <v>0</v>
      </c>
      <c r="AH277" s="2">
        <f t="shared" ref="AH277:AI280" si="280">(EW277)</f>
        <v>0</v>
      </c>
      <c r="AI277" s="2">
        <f t="shared" si="280"/>
        <v>0</v>
      </c>
      <c r="AJ277" s="2">
        <f t="shared" si="258"/>
        <v>0</v>
      </c>
      <c r="AK277" s="2">
        <v>575.97</v>
      </c>
      <c r="AL277" s="2">
        <v>575.97</v>
      </c>
      <c r="AM277" s="2">
        <v>0</v>
      </c>
      <c r="AN277" s="2">
        <v>0</v>
      </c>
      <c r="AO277" s="2">
        <v>0</v>
      </c>
      <c r="AP277" s="2">
        <v>0</v>
      </c>
      <c r="AQ277" s="2">
        <v>0</v>
      </c>
      <c r="AR277" s="2">
        <v>0</v>
      </c>
      <c r="AS277" s="2">
        <v>0</v>
      </c>
      <c r="AT277" s="2">
        <v>0</v>
      </c>
      <c r="AU277" s="2">
        <v>0</v>
      </c>
      <c r="AV277" s="2">
        <v>1</v>
      </c>
      <c r="AW277" s="2">
        <v>1</v>
      </c>
      <c r="AX277" s="2"/>
      <c r="AY277" s="2"/>
      <c r="AZ277" s="2">
        <v>1</v>
      </c>
      <c r="BA277" s="2">
        <v>1</v>
      </c>
      <c r="BB277" s="2">
        <v>1</v>
      </c>
      <c r="BC277" s="2">
        <v>1</v>
      </c>
      <c r="BD277" s="2" t="s">
        <v>3</v>
      </c>
      <c r="BE277" s="2" t="s">
        <v>3</v>
      </c>
      <c r="BF277" s="2" t="s">
        <v>3</v>
      </c>
      <c r="BG277" s="2" t="s">
        <v>3</v>
      </c>
      <c r="BH277" s="2">
        <v>3</v>
      </c>
      <c r="BI277" s="2">
        <v>1</v>
      </c>
      <c r="BJ277" s="2" t="s">
        <v>353</v>
      </c>
      <c r="BK277" s="2"/>
      <c r="BL277" s="2"/>
      <c r="BM277" s="2">
        <v>1538</v>
      </c>
      <c r="BN277" s="2">
        <v>7156650</v>
      </c>
      <c r="BO277" s="2" t="s">
        <v>3</v>
      </c>
      <c r="BP277" s="2">
        <v>0</v>
      </c>
      <c r="BQ277" s="2">
        <v>30</v>
      </c>
      <c r="BR277" s="2">
        <v>0</v>
      </c>
      <c r="BS277" s="2">
        <v>1</v>
      </c>
      <c r="BT277" s="2">
        <v>1</v>
      </c>
      <c r="BU277" s="2">
        <v>1</v>
      </c>
      <c r="BV277" s="2">
        <v>1</v>
      </c>
      <c r="BW277" s="2">
        <v>1</v>
      </c>
      <c r="BX277" s="2">
        <v>1</v>
      </c>
      <c r="BY277" s="2" t="s">
        <v>3</v>
      </c>
      <c r="BZ277" s="2">
        <v>0</v>
      </c>
      <c r="CA277" s="2">
        <v>0</v>
      </c>
      <c r="CB277" s="2"/>
      <c r="CC277" s="2"/>
      <c r="CD277" s="2"/>
      <c r="CE277" s="2"/>
      <c r="CF277" s="2">
        <v>0</v>
      </c>
      <c r="CG277" s="2">
        <v>0</v>
      </c>
      <c r="CH277" s="2"/>
      <c r="CI277" s="2"/>
      <c r="CJ277" s="2"/>
      <c r="CK277" s="2"/>
      <c r="CL277" s="2"/>
      <c r="CM277" s="2">
        <v>0</v>
      </c>
      <c r="CN277" s="2" t="s">
        <v>3</v>
      </c>
      <c r="CO277" s="2">
        <v>0</v>
      </c>
      <c r="CP277" s="2">
        <f t="shared" si="259"/>
        <v>66.12</v>
      </c>
      <c r="CQ277" s="2">
        <f t="shared" si="260"/>
        <v>575.97</v>
      </c>
      <c r="CR277" s="2">
        <f t="shared" si="261"/>
        <v>0</v>
      </c>
      <c r="CS277" s="2">
        <f t="shared" si="262"/>
        <v>0</v>
      </c>
      <c r="CT277" s="2">
        <f t="shared" si="263"/>
        <v>0</v>
      </c>
      <c r="CU277" s="2">
        <f t="shared" si="264"/>
        <v>0</v>
      </c>
      <c r="CV277" s="2">
        <f t="shared" si="265"/>
        <v>0</v>
      </c>
      <c r="CW277" s="2">
        <f t="shared" si="266"/>
        <v>0</v>
      </c>
      <c r="CX277" s="2">
        <f t="shared" si="267"/>
        <v>0</v>
      </c>
      <c r="CY277" s="2">
        <f t="shared" si="268"/>
        <v>0</v>
      </c>
      <c r="CZ277" s="2">
        <f t="shared" si="269"/>
        <v>0</v>
      </c>
      <c r="DA277" s="2"/>
      <c r="DB277" s="2"/>
      <c r="DC277" s="2" t="s">
        <v>3</v>
      </c>
      <c r="DD277" s="2" t="s">
        <v>3</v>
      </c>
      <c r="DE277" s="2" t="s">
        <v>3</v>
      </c>
      <c r="DF277" s="2" t="s">
        <v>3</v>
      </c>
      <c r="DG277" s="2" t="s">
        <v>3</v>
      </c>
      <c r="DH277" s="2" t="s">
        <v>3</v>
      </c>
      <c r="DI277" s="2" t="s">
        <v>3</v>
      </c>
      <c r="DJ277" s="2" t="s">
        <v>3</v>
      </c>
      <c r="DK277" s="2" t="s">
        <v>3</v>
      </c>
      <c r="DL277" s="2" t="s">
        <v>3</v>
      </c>
      <c r="DM277" s="2" t="s">
        <v>3</v>
      </c>
      <c r="DN277" s="2">
        <v>156</v>
      </c>
      <c r="DO277" s="2">
        <v>84</v>
      </c>
      <c r="DP277" s="2">
        <v>1</v>
      </c>
      <c r="DQ277" s="2">
        <v>1</v>
      </c>
      <c r="DR277" s="2"/>
      <c r="DS277" s="2"/>
      <c r="DT277" s="2"/>
      <c r="DU277" s="2">
        <v>1009</v>
      </c>
      <c r="DV277" s="2" t="s">
        <v>29</v>
      </c>
      <c r="DW277" s="2" t="s">
        <v>29</v>
      </c>
      <c r="DX277" s="2">
        <v>1000</v>
      </c>
      <c r="DY277" s="2"/>
      <c r="DZ277" s="2"/>
      <c r="EA277" s="2"/>
      <c r="EB277" s="2"/>
      <c r="EC277" s="2"/>
      <c r="ED277" s="2"/>
      <c r="EE277" s="2">
        <v>44848045</v>
      </c>
      <c r="EF277" s="2">
        <v>30</v>
      </c>
      <c r="EG277" s="2" t="s">
        <v>38</v>
      </c>
      <c r="EH277" s="2">
        <v>0</v>
      </c>
      <c r="EI277" s="2" t="s">
        <v>3</v>
      </c>
      <c r="EJ277" s="2">
        <v>1</v>
      </c>
      <c r="EK277" s="2">
        <v>1538</v>
      </c>
      <c r="EL277" s="2" t="s">
        <v>348</v>
      </c>
      <c r="EM277" s="2" t="s">
        <v>349</v>
      </c>
      <c r="EN277" s="2"/>
      <c r="EO277" s="2" t="s">
        <v>3</v>
      </c>
      <c r="EP277" s="2"/>
      <c r="EQ277" s="2">
        <v>0</v>
      </c>
      <c r="ER277" s="2">
        <v>575.97</v>
      </c>
      <c r="ES277" s="2">
        <v>575.97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>
        <v>0</v>
      </c>
      <c r="FR277" s="2">
        <f t="shared" si="270"/>
        <v>0</v>
      </c>
      <c r="FS277" s="2">
        <v>0</v>
      </c>
      <c r="FT277" s="2"/>
      <c r="FU277" s="2"/>
      <c r="FV277" s="2"/>
      <c r="FW277" s="2"/>
      <c r="FX277" s="2">
        <v>156</v>
      </c>
      <c r="FY277" s="2">
        <v>84</v>
      </c>
      <c r="FZ277" s="2"/>
      <c r="GA277" s="2" t="s">
        <v>3</v>
      </c>
      <c r="GB277" s="2"/>
      <c r="GC277" s="2"/>
      <c r="GD277" s="2">
        <v>0</v>
      </c>
      <c r="GE277" s="2"/>
      <c r="GF277" s="2">
        <v>597656424</v>
      </c>
      <c r="GG277" s="2">
        <v>2</v>
      </c>
      <c r="GH277" s="2">
        <v>1</v>
      </c>
      <c r="GI277" s="2">
        <v>3</v>
      </c>
      <c r="GJ277" s="2">
        <v>0</v>
      </c>
      <c r="GK277" s="2">
        <f>ROUND(R277*(R12)/100,2)</f>
        <v>0</v>
      </c>
      <c r="GL277" s="2">
        <f t="shared" si="271"/>
        <v>0</v>
      </c>
      <c r="GM277" s="2">
        <f t="shared" si="272"/>
        <v>66.12</v>
      </c>
      <c r="GN277" s="2">
        <f t="shared" si="273"/>
        <v>66.12</v>
      </c>
      <c r="GO277" s="2">
        <f t="shared" si="274"/>
        <v>0</v>
      </c>
      <c r="GP277" s="2">
        <f t="shared" si="275"/>
        <v>0</v>
      </c>
      <c r="GQ277" s="2"/>
      <c r="GR277" s="2">
        <v>0</v>
      </c>
      <c r="GS277" s="2">
        <v>3</v>
      </c>
      <c r="GT277" s="2">
        <v>0</v>
      </c>
      <c r="GU277" s="2" t="s">
        <v>3</v>
      </c>
      <c r="GV277" s="2">
        <f t="shared" si="276"/>
        <v>0</v>
      </c>
      <c r="GW277" s="2">
        <v>1</v>
      </c>
      <c r="GX277" s="2">
        <f t="shared" si="277"/>
        <v>0</v>
      </c>
      <c r="GY277" s="2"/>
      <c r="GZ277" s="2"/>
      <c r="HA277" s="2">
        <v>0</v>
      </c>
      <c r="HB277" s="2">
        <v>0</v>
      </c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2"/>
      <c r="HZ277" s="2"/>
      <c r="IA277" s="2"/>
      <c r="IB277" s="2"/>
      <c r="IC277" s="2"/>
      <c r="ID277" s="2"/>
      <c r="IE277" s="2"/>
      <c r="IF277" s="2"/>
      <c r="IG277" s="2"/>
      <c r="IH277" s="2"/>
      <c r="II277" s="2"/>
      <c r="IJ277" s="2"/>
      <c r="IK277" s="2">
        <v>0</v>
      </c>
      <c r="IL277" s="2"/>
      <c r="IM277" s="2"/>
      <c r="IN277" s="2"/>
      <c r="IO277" s="2"/>
      <c r="IP277" s="2"/>
      <c r="IQ277" s="2"/>
      <c r="IR277" s="2"/>
      <c r="IS277" s="2"/>
      <c r="IT277" s="2"/>
      <c r="IU277" s="2"/>
    </row>
    <row r="278" spans="1:255" x14ac:dyDescent="0.2">
      <c r="A278">
        <v>18</v>
      </c>
      <c r="B278">
        <v>1</v>
      </c>
      <c r="C278">
        <v>255</v>
      </c>
      <c r="E278" t="s">
        <v>350</v>
      </c>
      <c r="F278" t="s">
        <v>351</v>
      </c>
      <c r="G278" t="s">
        <v>352</v>
      </c>
      <c r="H278" t="s">
        <v>29</v>
      </c>
      <c r="I278">
        <f>I276*J278</f>
        <v>0.1148</v>
      </c>
      <c r="J278">
        <v>0.14349999999999999</v>
      </c>
      <c r="O278">
        <f t="shared" si="244"/>
        <v>337.22</v>
      </c>
      <c r="P278">
        <f t="shared" si="245"/>
        <v>337.22</v>
      </c>
      <c r="Q278">
        <f t="shared" si="246"/>
        <v>0</v>
      </c>
      <c r="R278">
        <f t="shared" si="247"/>
        <v>0</v>
      </c>
      <c r="S278">
        <f t="shared" si="248"/>
        <v>0</v>
      </c>
      <c r="T278">
        <f t="shared" si="249"/>
        <v>0</v>
      </c>
      <c r="U278">
        <f t="shared" si="250"/>
        <v>0</v>
      </c>
      <c r="V278">
        <f t="shared" si="251"/>
        <v>0</v>
      </c>
      <c r="W278">
        <f t="shared" si="252"/>
        <v>0</v>
      </c>
      <c r="X278">
        <f t="shared" si="253"/>
        <v>0</v>
      </c>
      <c r="Y278">
        <f t="shared" si="254"/>
        <v>0</v>
      </c>
      <c r="AA278">
        <v>45037307</v>
      </c>
      <c r="AB278">
        <f t="shared" si="255"/>
        <v>575.97</v>
      </c>
      <c r="AC278">
        <f t="shared" si="256"/>
        <v>575.97</v>
      </c>
      <c r="AD278">
        <f t="shared" si="279"/>
        <v>0</v>
      </c>
      <c r="AE278">
        <f t="shared" si="279"/>
        <v>0</v>
      </c>
      <c r="AF278">
        <f t="shared" si="279"/>
        <v>0</v>
      </c>
      <c r="AG278">
        <f t="shared" si="257"/>
        <v>0</v>
      </c>
      <c r="AH278">
        <f t="shared" si="280"/>
        <v>0</v>
      </c>
      <c r="AI278">
        <f t="shared" si="280"/>
        <v>0</v>
      </c>
      <c r="AJ278">
        <f t="shared" si="258"/>
        <v>0</v>
      </c>
      <c r="AK278">
        <v>575.97</v>
      </c>
      <c r="AL278">
        <v>575.97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0</v>
      </c>
      <c r="AU278">
        <v>0</v>
      </c>
      <c r="AV278">
        <v>1</v>
      </c>
      <c r="AW278">
        <v>1</v>
      </c>
      <c r="AZ278">
        <v>1</v>
      </c>
      <c r="BA278">
        <v>1</v>
      </c>
      <c r="BB278">
        <v>1</v>
      </c>
      <c r="BC278">
        <v>5.0999999999999996</v>
      </c>
      <c r="BD278" t="s">
        <v>3</v>
      </c>
      <c r="BE278" t="s">
        <v>3</v>
      </c>
      <c r="BF278" t="s">
        <v>3</v>
      </c>
      <c r="BG278" t="s">
        <v>3</v>
      </c>
      <c r="BH278">
        <v>3</v>
      </c>
      <c r="BI278">
        <v>1</v>
      </c>
      <c r="BJ278" t="s">
        <v>353</v>
      </c>
      <c r="BM278">
        <v>1538</v>
      </c>
      <c r="BN278">
        <v>7156650</v>
      </c>
      <c r="BO278" t="s">
        <v>351</v>
      </c>
      <c r="BP278">
        <v>1</v>
      </c>
      <c r="BQ278">
        <v>30</v>
      </c>
      <c r="BR278">
        <v>0</v>
      </c>
      <c r="BS278">
        <v>1</v>
      </c>
      <c r="BT278">
        <v>1</v>
      </c>
      <c r="BU278">
        <v>1</v>
      </c>
      <c r="BV278">
        <v>1</v>
      </c>
      <c r="BW278">
        <v>1</v>
      </c>
      <c r="BX278">
        <v>1</v>
      </c>
      <c r="BY278" t="s">
        <v>3</v>
      </c>
      <c r="BZ278">
        <v>0</v>
      </c>
      <c r="CA278">
        <v>0</v>
      </c>
      <c r="CF278">
        <v>0</v>
      </c>
      <c r="CG278">
        <v>0</v>
      </c>
      <c r="CM278">
        <v>0</v>
      </c>
      <c r="CN278" t="s">
        <v>3</v>
      </c>
      <c r="CO278">
        <v>0</v>
      </c>
      <c r="CP278">
        <f t="shared" si="259"/>
        <v>337.22</v>
      </c>
      <c r="CQ278">
        <f t="shared" si="260"/>
        <v>2937.4470000000001</v>
      </c>
      <c r="CR278">
        <f t="shared" si="261"/>
        <v>0</v>
      </c>
      <c r="CS278">
        <f t="shared" si="262"/>
        <v>0</v>
      </c>
      <c r="CT278">
        <f t="shared" si="263"/>
        <v>0</v>
      </c>
      <c r="CU278">
        <f t="shared" si="264"/>
        <v>0</v>
      </c>
      <c r="CV278">
        <f t="shared" si="265"/>
        <v>0</v>
      </c>
      <c r="CW278">
        <f t="shared" si="266"/>
        <v>0</v>
      </c>
      <c r="CX278">
        <f t="shared" si="267"/>
        <v>0</v>
      </c>
      <c r="CY278">
        <f t="shared" si="268"/>
        <v>0</v>
      </c>
      <c r="CZ278">
        <f t="shared" si="269"/>
        <v>0</v>
      </c>
      <c r="DC278" t="s">
        <v>3</v>
      </c>
      <c r="DD278" t="s">
        <v>3</v>
      </c>
      <c r="DE278" t="s">
        <v>3</v>
      </c>
      <c r="DF278" t="s">
        <v>3</v>
      </c>
      <c r="DG278" t="s">
        <v>3</v>
      </c>
      <c r="DH278" t="s">
        <v>3</v>
      </c>
      <c r="DI278" t="s">
        <v>3</v>
      </c>
      <c r="DJ278" t="s">
        <v>3</v>
      </c>
      <c r="DK278" t="s">
        <v>3</v>
      </c>
      <c r="DL278" t="s">
        <v>3</v>
      </c>
      <c r="DM278" t="s">
        <v>3</v>
      </c>
      <c r="DN278">
        <v>156</v>
      </c>
      <c r="DO278">
        <v>84</v>
      </c>
      <c r="DP278">
        <v>1</v>
      </c>
      <c r="DQ278">
        <v>1</v>
      </c>
      <c r="DU278">
        <v>1009</v>
      </c>
      <c r="DV278" t="s">
        <v>29</v>
      </c>
      <c r="DW278" t="s">
        <v>29</v>
      </c>
      <c r="DX278">
        <v>1000</v>
      </c>
      <c r="EE278">
        <v>44848045</v>
      </c>
      <c r="EF278">
        <v>30</v>
      </c>
      <c r="EG278" t="s">
        <v>38</v>
      </c>
      <c r="EH278">
        <v>0</v>
      </c>
      <c r="EI278" t="s">
        <v>3</v>
      </c>
      <c r="EJ278">
        <v>1</v>
      </c>
      <c r="EK278">
        <v>1538</v>
      </c>
      <c r="EL278" t="s">
        <v>348</v>
      </c>
      <c r="EM278" t="s">
        <v>349</v>
      </c>
      <c r="EO278" t="s">
        <v>3</v>
      </c>
      <c r="EQ278">
        <v>0</v>
      </c>
      <c r="ER278">
        <v>575.97</v>
      </c>
      <c r="ES278">
        <v>575.97</v>
      </c>
      <c r="ET278">
        <v>0</v>
      </c>
      <c r="EU278">
        <v>0</v>
      </c>
      <c r="EV278">
        <v>0</v>
      </c>
      <c r="EW278">
        <v>0</v>
      </c>
      <c r="EX278">
        <v>0</v>
      </c>
      <c r="FQ278">
        <v>0</v>
      </c>
      <c r="FR278">
        <f t="shared" si="270"/>
        <v>0</v>
      </c>
      <c r="FS278">
        <v>0</v>
      </c>
      <c r="FX278">
        <v>156</v>
      </c>
      <c r="FY278">
        <v>84</v>
      </c>
      <c r="GA278" t="s">
        <v>3</v>
      </c>
      <c r="GD278">
        <v>0</v>
      </c>
      <c r="GF278">
        <v>597656424</v>
      </c>
      <c r="GG278">
        <v>2</v>
      </c>
      <c r="GH278">
        <v>1</v>
      </c>
      <c r="GI278">
        <v>3</v>
      </c>
      <c r="GJ278">
        <v>0</v>
      </c>
      <c r="GK278">
        <f>ROUND(R278*(S12)/100,2)</f>
        <v>0</v>
      </c>
      <c r="GL278">
        <f t="shared" si="271"/>
        <v>0</v>
      </c>
      <c r="GM278">
        <f t="shared" si="272"/>
        <v>337.22</v>
      </c>
      <c r="GN278">
        <f t="shared" si="273"/>
        <v>337.22</v>
      </c>
      <c r="GO278">
        <f t="shared" si="274"/>
        <v>0</v>
      </c>
      <c r="GP278">
        <f t="shared" si="275"/>
        <v>0</v>
      </c>
      <c r="GR278">
        <v>0</v>
      </c>
      <c r="GS278">
        <v>3</v>
      </c>
      <c r="GT278">
        <v>0</v>
      </c>
      <c r="GU278" t="s">
        <v>3</v>
      </c>
      <c r="GV278">
        <f t="shared" si="276"/>
        <v>0</v>
      </c>
      <c r="GW278">
        <v>1</v>
      </c>
      <c r="GX278">
        <f t="shared" si="277"/>
        <v>0</v>
      </c>
      <c r="HA278">
        <v>0</v>
      </c>
      <c r="HB278">
        <v>0</v>
      </c>
      <c r="IK278">
        <v>0</v>
      </c>
    </row>
    <row r="279" spans="1:255" x14ac:dyDescent="0.2">
      <c r="A279" s="2">
        <v>18</v>
      </c>
      <c r="B279" s="2">
        <v>1</v>
      </c>
      <c r="C279" s="2">
        <v>250</v>
      </c>
      <c r="D279" s="2"/>
      <c r="E279" s="2" t="s">
        <v>354</v>
      </c>
      <c r="F279" s="2" t="s">
        <v>355</v>
      </c>
      <c r="G279" s="2" t="s">
        <v>356</v>
      </c>
      <c r="H279" s="2" t="s">
        <v>101</v>
      </c>
      <c r="I279" s="2">
        <f>I275*J279</f>
        <v>2.88</v>
      </c>
      <c r="J279" s="2">
        <v>3.5999999999999996</v>
      </c>
      <c r="K279" s="2"/>
      <c r="L279" s="2"/>
      <c r="M279" s="2"/>
      <c r="N279" s="2"/>
      <c r="O279" s="2">
        <f t="shared" si="244"/>
        <v>654.39</v>
      </c>
      <c r="P279" s="2">
        <f t="shared" si="245"/>
        <v>654.39</v>
      </c>
      <c r="Q279" s="2">
        <f t="shared" si="246"/>
        <v>0</v>
      </c>
      <c r="R279" s="2">
        <f t="shared" si="247"/>
        <v>0</v>
      </c>
      <c r="S279" s="2">
        <f t="shared" si="248"/>
        <v>0</v>
      </c>
      <c r="T279" s="2">
        <f t="shared" si="249"/>
        <v>0</v>
      </c>
      <c r="U279" s="2">
        <f t="shared" si="250"/>
        <v>0</v>
      </c>
      <c r="V279" s="2">
        <f t="shared" si="251"/>
        <v>0</v>
      </c>
      <c r="W279" s="2">
        <f t="shared" si="252"/>
        <v>0</v>
      </c>
      <c r="X279" s="2">
        <f t="shared" si="253"/>
        <v>0</v>
      </c>
      <c r="Y279" s="2">
        <f t="shared" si="254"/>
        <v>0</v>
      </c>
      <c r="Z279" s="2"/>
      <c r="AA279" s="2">
        <v>45037306</v>
      </c>
      <c r="AB279" s="2">
        <f t="shared" si="255"/>
        <v>227.22</v>
      </c>
      <c r="AC279" s="2">
        <f t="shared" si="256"/>
        <v>227.22</v>
      </c>
      <c r="AD279" s="2">
        <f t="shared" si="279"/>
        <v>0</v>
      </c>
      <c r="AE279" s="2">
        <f t="shared" si="279"/>
        <v>0</v>
      </c>
      <c r="AF279" s="2">
        <f t="shared" si="279"/>
        <v>0</v>
      </c>
      <c r="AG279" s="2">
        <f t="shared" si="257"/>
        <v>0</v>
      </c>
      <c r="AH279" s="2">
        <f t="shared" si="280"/>
        <v>0</v>
      </c>
      <c r="AI279" s="2">
        <f t="shared" si="280"/>
        <v>0</v>
      </c>
      <c r="AJ279" s="2">
        <f t="shared" si="258"/>
        <v>0</v>
      </c>
      <c r="AK279" s="2">
        <v>227.22</v>
      </c>
      <c r="AL279" s="2">
        <v>227.22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1</v>
      </c>
      <c r="AW279" s="2">
        <v>1</v>
      </c>
      <c r="AX279" s="2"/>
      <c r="AY279" s="2"/>
      <c r="AZ279" s="2">
        <v>1</v>
      </c>
      <c r="BA279" s="2">
        <v>1</v>
      </c>
      <c r="BB279" s="2">
        <v>1</v>
      </c>
      <c r="BC279" s="2">
        <v>1</v>
      </c>
      <c r="BD279" s="2" t="s">
        <v>3</v>
      </c>
      <c r="BE279" s="2" t="s">
        <v>3</v>
      </c>
      <c r="BF279" s="2" t="s">
        <v>3</v>
      </c>
      <c r="BG279" s="2" t="s">
        <v>3</v>
      </c>
      <c r="BH279" s="2">
        <v>3</v>
      </c>
      <c r="BI279" s="2">
        <v>1</v>
      </c>
      <c r="BJ279" s="2" t="s">
        <v>357</v>
      </c>
      <c r="BK279" s="2"/>
      <c r="BL279" s="2"/>
      <c r="BM279" s="2">
        <v>1538</v>
      </c>
      <c r="BN279" s="2">
        <v>7156650</v>
      </c>
      <c r="BO279" s="2" t="s">
        <v>3</v>
      </c>
      <c r="BP279" s="2">
        <v>0</v>
      </c>
      <c r="BQ279" s="2">
        <v>30</v>
      </c>
      <c r="BR279" s="2">
        <v>0</v>
      </c>
      <c r="BS279" s="2">
        <v>1</v>
      </c>
      <c r="BT279" s="2">
        <v>1</v>
      </c>
      <c r="BU279" s="2">
        <v>1</v>
      </c>
      <c r="BV279" s="2">
        <v>1</v>
      </c>
      <c r="BW279" s="2">
        <v>1</v>
      </c>
      <c r="BX279" s="2">
        <v>1</v>
      </c>
      <c r="BY279" s="2" t="s">
        <v>3</v>
      </c>
      <c r="BZ279" s="2">
        <v>0</v>
      </c>
      <c r="CA279" s="2">
        <v>0</v>
      </c>
      <c r="CB279" s="2"/>
      <c r="CC279" s="2"/>
      <c r="CD279" s="2"/>
      <c r="CE279" s="2"/>
      <c r="CF279" s="2">
        <v>0</v>
      </c>
      <c r="CG279" s="2">
        <v>0</v>
      </c>
      <c r="CH279" s="2"/>
      <c r="CI279" s="2"/>
      <c r="CJ279" s="2"/>
      <c r="CK279" s="2"/>
      <c r="CL279" s="2"/>
      <c r="CM279" s="2">
        <v>0</v>
      </c>
      <c r="CN279" s="2" t="s">
        <v>3</v>
      </c>
      <c r="CO279" s="2">
        <v>0</v>
      </c>
      <c r="CP279" s="2">
        <f t="shared" si="259"/>
        <v>654.39</v>
      </c>
      <c r="CQ279" s="2">
        <f t="shared" si="260"/>
        <v>227.22</v>
      </c>
      <c r="CR279" s="2">
        <f t="shared" si="261"/>
        <v>0</v>
      </c>
      <c r="CS279" s="2">
        <f t="shared" si="262"/>
        <v>0</v>
      </c>
      <c r="CT279" s="2">
        <f t="shared" si="263"/>
        <v>0</v>
      </c>
      <c r="CU279" s="2">
        <f t="shared" si="264"/>
        <v>0</v>
      </c>
      <c r="CV279" s="2">
        <f t="shared" si="265"/>
        <v>0</v>
      </c>
      <c r="CW279" s="2">
        <f t="shared" si="266"/>
        <v>0</v>
      </c>
      <c r="CX279" s="2">
        <f t="shared" si="267"/>
        <v>0</v>
      </c>
      <c r="CY279" s="2">
        <f t="shared" si="268"/>
        <v>0</v>
      </c>
      <c r="CZ279" s="2">
        <f t="shared" si="269"/>
        <v>0</v>
      </c>
      <c r="DA279" s="2"/>
      <c r="DB279" s="2"/>
      <c r="DC279" s="2" t="s">
        <v>3</v>
      </c>
      <c r="DD279" s="2" t="s">
        <v>3</v>
      </c>
      <c r="DE279" s="2" t="s">
        <v>3</v>
      </c>
      <c r="DF279" s="2" t="s">
        <v>3</v>
      </c>
      <c r="DG279" s="2" t="s">
        <v>3</v>
      </c>
      <c r="DH279" s="2" t="s">
        <v>3</v>
      </c>
      <c r="DI279" s="2" t="s">
        <v>3</v>
      </c>
      <c r="DJ279" s="2" t="s">
        <v>3</v>
      </c>
      <c r="DK279" s="2" t="s">
        <v>3</v>
      </c>
      <c r="DL279" s="2" t="s">
        <v>3</v>
      </c>
      <c r="DM279" s="2" t="s">
        <v>3</v>
      </c>
      <c r="DN279" s="2">
        <v>156</v>
      </c>
      <c r="DO279" s="2">
        <v>84</v>
      </c>
      <c r="DP279" s="2">
        <v>1</v>
      </c>
      <c r="DQ279" s="2">
        <v>1</v>
      </c>
      <c r="DR279" s="2"/>
      <c r="DS279" s="2"/>
      <c r="DT279" s="2"/>
      <c r="DU279" s="2">
        <v>1005</v>
      </c>
      <c r="DV279" s="2" t="s">
        <v>101</v>
      </c>
      <c r="DW279" s="2" t="s">
        <v>101</v>
      </c>
      <c r="DX279" s="2">
        <v>1</v>
      </c>
      <c r="DY279" s="2"/>
      <c r="DZ279" s="2"/>
      <c r="EA279" s="2"/>
      <c r="EB279" s="2"/>
      <c r="EC279" s="2"/>
      <c r="ED279" s="2"/>
      <c r="EE279" s="2">
        <v>44848045</v>
      </c>
      <c r="EF279" s="2">
        <v>30</v>
      </c>
      <c r="EG279" s="2" t="s">
        <v>38</v>
      </c>
      <c r="EH279" s="2">
        <v>0</v>
      </c>
      <c r="EI279" s="2" t="s">
        <v>3</v>
      </c>
      <c r="EJ279" s="2">
        <v>1</v>
      </c>
      <c r="EK279" s="2">
        <v>1538</v>
      </c>
      <c r="EL279" s="2" t="s">
        <v>348</v>
      </c>
      <c r="EM279" s="2" t="s">
        <v>349</v>
      </c>
      <c r="EN279" s="2"/>
      <c r="EO279" s="2" t="s">
        <v>3</v>
      </c>
      <c r="EP279" s="2"/>
      <c r="EQ279" s="2">
        <v>0</v>
      </c>
      <c r="ER279" s="2">
        <v>227.22</v>
      </c>
      <c r="ES279" s="2">
        <v>227.22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>
        <v>0</v>
      </c>
      <c r="FR279" s="2">
        <f t="shared" si="270"/>
        <v>0</v>
      </c>
      <c r="FS279" s="2">
        <v>0</v>
      </c>
      <c r="FT279" s="2"/>
      <c r="FU279" s="2"/>
      <c r="FV279" s="2"/>
      <c r="FW279" s="2"/>
      <c r="FX279" s="2">
        <v>156</v>
      </c>
      <c r="FY279" s="2">
        <v>84</v>
      </c>
      <c r="FZ279" s="2"/>
      <c r="GA279" s="2" t="s">
        <v>3</v>
      </c>
      <c r="GB279" s="2"/>
      <c r="GC279" s="2"/>
      <c r="GD279" s="2">
        <v>0</v>
      </c>
      <c r="GE279" s="2"/>
      <c r="GF279" s="2">
        <v>-113972751</v>
      </c>
      <c r="GG279" s="2">
        <v>2</v>
      </c>
      <c r="GH279" s="2">
        <v>1</v>
      </c>
      <c r="GI279" s="2">
        <v>3</v>
      </c>
      <c r="GJ279" s="2">
        <v>0</v>
      </c>
      <c r="GK279" s="2">
        <f>ROUND(R279*(R12)/100,2)</f>
        <v>0</v>
      </c>
      <c r="GL279" s="2">
        <f t="shared" si="271"/>
        <v>0</v>
      </c>
      <c r="GM279" s="2">
        <f t="shared" si="272"/>
        <v>654.39</v>
      </c>
      <c r="GN279" s="2">
        <f t="shared" si="273"/>
        <v>654.39</v>
      </c>
      <c r="GO279" s="2">
        <f t="shared" si="274"/>
        <v>0</v>
      </c>
      <c r="GP279" s="2">
        <f t="shared" si="275"/>
        <v>0</v>
      </c>
      <c r="GQ279" s="2"/>
      <c r="GR279" s="2">
        <v>0</v>
      </c>
      <c r="GS279" s="2">
        <v>3</v>
      </c>
      <c r="GT279" s="2">
        <v>0</v>
      </c>
      <c r="GU279" s="2" t="s">
        <v>3</v>
      </c>
      <c r="GV279" s="2">
        <f t="shared" si="276"/>
        <v>0</v>
      </c>
      <c r="GW279" s="2">
        <v>1</v>
      </c>
      <c r="GX279" s="2">
        <f t="shared" si="277"/>
        <v>0</v>
      </c>
      <c r="GY279" s="2"/>
      <c r="GZ279" s="2"/>
      <c r="HA279" s="2">
        <v>0</v>
      </c>
      <c r="HB279" s="2">
        <v>0</v>
      </c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2"/>
      <c r="HZ279" s="2"/>
      <c r="IA279" s="2"/>
      <c r="IB279" s="2"/>
      <c r="IC279" s="2"/>
      <c r="ID279" s="2"/>
      <c r="IE279" s="2"/>
      <c r="IF279" s="2"/>
      <c r="IG279" s="2"/>
      <c r="IH279" s="2"/>
      <c r="II279" s="2"/>
      <c r="IJ279" s="2"/>
      <c r="IK279" s="2">
        <v>0</v>
      </c>
      <c r="IL279" s="2"/>
      <c r="IM279" s="2"/>
      <c r="IN279" s="2"/>
      <c r="IO279" s="2"/>
      <c r="IP279" s="2"/>
      <c r="IQ279" s="2"/>
      <c r="IR279" s="2"/>
      <c r="IS279" s="2"/>
      <c r="IT279" s="2"/>
      <c r="IU279" s="2"/>
    </row>
    <row r="280" spans="1:255" x14ac:dyDescent="0.2">
      <c r="A280">
        <v>18</v>
      </c>
      <c r="B280">
        <v>1</v>
      </c>
      <c r="C280">
        <v>256</v>
      </c>
      <c r="E280" t="s">
        <v>354</v>
      </c>
      <c r="F280" t="s">
        <v>355</v>
      </c>
      <c r="G280" t="s">
        <v>356</v>
      </c>
      <c r="H280" t="s">
        <v>101</v>
      </c>
      <c r="I280">
        <f>I276*J280</f>
        <v>2.88</v>
      </c>
      <c r="J280">
        <v>3.5999999999999996</v>
      </c>
      <c r="O280">
        <f t="shared" si="244"/>
        <v>2244.5700000000002</v>
      </c>
      <c r="P280">
        <f t="shared" si="245"/>
        <v>2244.5700000000002</v>
      </c>
      <c r="Q280">
        <f t="shared" si="246"/>
        <v>0</v>
      </c>
      <c r="R280">
        <f t="shared" si="247"/>
        <v>0</v>
      </c>
      <c r="S280">
        <f t="shared" si="248"/>
        <v>0</v>
      </c>
      <c r="T280">
        <f t="shared" si="249"/>
        <v>0</v>
      </c>
      <c r="U280">
        <f t="shared" si="250"/>
        <v>0</v>
      </c>
      <c r="V280">
        <f t="shared" si="251"/>
        <v>0</v>
      </c>
      <c r="W280">
        <f t="shared" si="252"/>
        <v>0</v>
      </c>
      <c r="X280">
        <f t="shared" si="253"/>
        <v>0</v>
      </c>
      <c r="Y280">
        <f t="shared" si="254"/>
        <v>0</v>
      </c>
      <c r="AA280">
        <v>45037307</v>
      </c>
      <c r="AB280">
        <f t="shared" si="255"/>
        <v>227.22</v>
      </c>
      <c r="AC280">
        <f t="shared" si="256"/>
        <v>227.22</v>
      </c>
      <c r="AD280">
        <f t="shared" si="279"/>
        <v>0</v>
      </c>
      <c r="AE280">
        <f t="shared" si="279"/>
        <v>0</v>
      </c>
      <c r="AF280">
        <f t="shared" si="279"/>
        <v>0</v>
      </c>
      <c r="AG280">
        <f t="shared" si="257"/>
        <v>0</v>
      </c>
      <c r="AH280">
        <f t="shared" si="280"/>
        <v>0</v>
      </c>
      <c r="AI280">
        <f t="shared" si="280"/>
        <v>0</v>
      </c>
      <c r="AJ280">
        <f t="shared" si="258"/>
        <v>0</v>
      </c>
      <c r="AK280">
        <v>227.22</v>
      </c>
      <c r="AL280">
        <v>227.22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1</v>
      </c>
      <c r="AW280">
        <v>1</v>
      </c>
      <c r="AZ280">
        <v>1</v>
      </c>
      <c r="BA280">
        <v>1</v>
      </c>
      <c r="BB280">
        <v>1</v>
      </c>
      <c r="BC280">
        <v>3.43</v>
      </c>
      <c r="BD280" t="s">
        <v>3</v>
      </c>
      <c r="BE280" t="s">
        <v>3</v>
      </c>
      <c r="BF280" t="s">
        <v>3</v>
      </c>
      <c r="BG280" t="s">
        <v>3</v>
      </c>
      <c r="BH280">
        <v>3</v>
      </c>
      <c r="BI280">
        <v>1</v>
      </c>
      <c r="BJ280" t="s">
        <v>357</v>
      </c>
      <c r="BM280">
        <v>1538</v>
      </c>
      <c r="BN280">
        <v>7156650</v>
      </c>
      <c r="BO280" t="s">
        <v>355</v>
      </c>
      <c r="BP280">
        <v>1</v>
      </c>
      <c r="BQ280">
        <v>30</v>
      </c>
      <c r="BR280">
        <v>0</v>
      </c>
      <c r="BS280">
        <v>1</v>
      </c>
      <c r="BT280">
        <v>1</v>
      </c>
      <c r="BU280">
        <v>1</v>
      </c>
      <c r="BV280">
        <v>1</v>
      </c>
      <c r="BW280">
        <v>1</v>
      </c>
      <c r="BX280">
        <v>1</v>
      </c>
      <c r="BY280" t="s">
        <v>3</v>
      </c>
      <c r="BZ280">
        <v>0</v>
      </c>
      <c r="CA280">
        <v>0</v>
      </c>
      <c r="CF280">
        <v>0</v>
      </c>
      <c r="CG280">
        <v>0</v>
      </c>
      <c r="CM280">
        <v>0</v>
      </c>
      <c r="CN280" t="s">
        <v>3</v>
      </c>
      <c r="CO280">
        <v>0</v>
      </c>
      <c r="CP280">
        <f t="shared" si="259"/>
        <v>2244.5700000000002</v>
      </c>
      <c r="CQ280">
        <f t="shared" si="260"/>
        <v>779.3646</v>
      </c>
      <c r="CR280">
        <f t="shared" si="261"/>
        <v>0</v>
      </c>
      <c r="CS280">
        <f t="shared" si="262"/>
        <v>0</v>
      </c>
      <c r="CT280">
        <f t="shared" si="263"/>
        <v>0</v>
      </c>
      <c r="CU280">
        <f t="shared" si="264"/>
        <v>0</v>
      </c>
      <c r="CV280">
        <f t="shared" si="265"/>
        <v>0</v>
      </c>
      <c r="CW280">
        <f t="shared" si="266"/>
        <v>0</v>
      </c>
      <c r="CX280">
        <f t="shared" si="267"/>
        <v>0</v>
      </c>
      <c r="CY280">
        <f t="shared" si="268"/>
        <v>0</v>
      </c>
      <c r="CZ280">
        <f t="shared" si="269"/>
        <v>0</v>
      </c>
      <c r="DC280" t="s">
        <v>3</v>
      </c>
      <c r="DD280" t="s">
        <v>3</v>
      </c>
      <c r="DE280" t="s">
        <v>3</v>
      </c>
      <c r="DF280" t="s">
        <v>3</v>
      </c>
      <c r="DG280" t="s">
        <v>3</v>
      </c>
      <c r="DH280" t="s">
        <v>3</v>
      </c>
      <c r="DI280" t="s">
        <v>3</v>
      </c>
      <c r="DJ280" t="s">
        <v>3</v>
      </c>
      <c r="DK280" t="s">
        <v>3</v>
      </c>
      <c r="DL280" t="s">
        <v>3</v>
      </c>
      <c r="DM280" t="s">
        <v>3</v>
      </c>
      <c r="DN280">
        <v>156</v>
      </c>
      <c r="DO280">
        <v>84</v>
      </c>
      <c r="DP280">
        <v>1</v>
      </c>
      <c r="DQ280">
        <v>1</v>
      </c>
      <c r="DU280">
        <v>1005</v>
      </c>
      <c r="DV280" t="s">
        <v>101</v>
      </c>
      <c r="DW280" t="s">
        <v>101</v>
      </c>
      <c r="DX280">
        <v>1</v>
      </c>
      <c r="EE280">
        <v>44848045</v>
      </c>
      <c r="EF280">
        <v>30</v>
      </c>
      <c r="EG280" t="s">
        <v>38</v>
      </c>
      <c r="EH280">
        <v>0</v>
      </c>
      <c r="EI280" t="s">
        <v>3</v>
      </c>
      <c r="EJ280">
        <v>1</v>
      </c>
      <c r="EK280">
        <v>1538</v>
      </c>
      <c r="EL280" t="s">
        <v>348</v>
      </c>
      <c r="EM280" t="s">
        <v>349</v>
      </c>
      <c r="EO280" t="s">
        <v>3</v>
      </c>
      <c r="EQ280">
        <v>0</v>
      </c>
      <c r="ER280">
        <v>227.22</v>
      </c>
      <c r="ES280">
        <v>227.22</v>
      </c>
      <c r="ET280">
        <v>0</v>
      </c>
      <c r="EU280">
        <v>0</v>
      </c>
      <c r="EV280">
        <v>0</v>
      </c>
      <c r="EW280">
        <v>0</v>
      </c>
      <c r="EX280">
        <v>0</v>
      </c>
      <c r="FQ280">
        <v>0</v>
      </c>
      <c r="FR280">
        <f t="shared" si="270"/>
        <v>0</v>
      </c>
      <c r="FS280">
        <v>0</v>
      </c>
      <c r="FX280">
        <v>156</v>
      </c>
      <c r="FY280">
        <v>84</v>
      </c>
      <c r="GA280" t="s">
        <v>3</v>
      </c>
      <c r="GD280">
        <v>0</v>
      </c>
      <c r="GF280">
        <v>-113972751</v>
      </c>
      <c r="GG280">
        <v>2</v>
      </c>
      <c r="GH280">
        <v>1</v>
      </c>
      <c r="GI280">
        <v>3</v>
      </c>
      <c r="GJ280">
        <v>0</v>
      </c>
      <c r="GK280">
        <f>ROUND(R280*(S12)/100,2)</f>
        <v>0</v>
      </c>
      <c r="GL280">
        <f t="shared" si="271"/>
        <v>0</v>
      </c>
      <c r="GM280">
        <f t="shared" si="272"/>
        <v>2244.5700000000002</v>
      </c>
      <c r="GN280">
        <f t="shared" si="273"/>
        <v>2244.5700000000002</v>
      </c>
      <c r="GO280">
        <f t="shared" si="274"/>
        <v>0</v>
      </c>
      <c r="GP280">
        <f t="shared" si="275"/>
        <v>0</v>
      </c>
      <c r="GR280">
        <v>0</v>
      </c>
      <c r="GS280">
        <v>3</v>
      </c>
      <c r="GT280">
        <v>0</v>
      </c>
      <c r="GU280" t="s">
        <v>3</v>
      </c>
      <c r="GV280">
        <f t="shared" si="276"/>
        <v>0</v>
      </c>
      <c r="GW280">
        <v>1</v>
      </c>
      <c r="GX280">
        <f t="shared" si="277"/>
        <v>0</v>
      </c>
      <c r="HA280">
        <v>0</v>
      </c>
      <c r="HB280">
        <v>0</v>
      </c>
      <c r="IK280">
        <v>0</v>
      </c>
    </row>
    <row r="281" spans="1:255" x14ac:dyDescent="0.2">
      <c r="A281" s="2">
        <v>17</v>
      </c>
      <c r="B281" s="2">
        <v>1</v>
      </c>
      <c r="C281" s="2">
        <f>ROW(SmtRes!A260)</f>
        <v>260</v>
      </c>
      <c r="D281" s="2">
        <f>ROW(EtalonRes!A258)</f>
        <v>258</v>
      </c>
      <c r="E281" s="2" t="s">
        <v>358</v>
      </c>
      <c r="F281" s="2" t="s">
        <v>359</v>
      </c>
      <c r="G281" s="2" t="s">
        <v>360</v>
      </c>
      <c r="H281" s="2" t="s">
        <v>54</v>
      </c>
      <c r="I281" s="2">
        <f>ROUND(0.085/100,9)</f>
        <v>8.4999999999999995E-4</v>
      </c>
      <c r="J281" s="2">
        <v>0</v>
      </c>
      <c r="K281" s="2"/>
      <c r="L281" s="2"/>
      <c r="M281" s="2"/>
      <c r="N281" s="2"/>
      <c r="O281" s="2">
        <f t="shared" si="244"/>
        <v>1.1399999999999999</v>
      </c>
      <c r="P281" s="2">
        <f t="shared" si="245"/>
        <v>0.13</v>
      </c>
      <c r="Q281" s="2">
        <f t="shared" si="246"/>
        <v>0</v>
      </c>
      <c r="R281" s="2">
        <f t="shared" si="247"/>
        <v>0</v>
      </c>
      <c r="S281" s="2">
        <f t="shared" si="248"/>
        <v>1.01</v>
      </c>
      <c r="T281" s="2">
        <f t="shared" si="249"/>
        <v>0</v>
      </c>
      <c r="U281" s="2">
        <f t="shared" si="250"/>
        <v>8.1132499999999982E-2</v>
      </c>
      <c r="V281" s="2">
        <f t="shared" si="251"/>
        <v>0</v>
      </c>
      <c r="W281" s="2">
        <f t="shared" si="252"/>
        <v>0</v>
      </c>
      <c r="X281" s="2">
        <f t="shared" si="253"/>
        <v>0</v>
      </c>
      <c r="Y281" s="2">
        <f t="shared" si="254"/>
        <v>0</v>
      </c>
      <c r="Z281" s="2"/>
      <c r="AA281" s="2">
        <v>45037306</v>
      </c>
      <c r="AB281" s="2">
        <f t="shared" si="255"/>
        <v>1339.7705000000001</v>
      </c>
      <c r="AC281" s="2">
        <f t="shared" si="256"/>
        <v>147.6</v>
      </c>
      <c r="AD281" s="2">
        <f>ROUND(((ET281*1.25)),6)</f>
        <v>0</v>
      </c>
      <c r="AE281" s="2">
        <f>ROUND(((EU281*1.25)),6)</f>
        <v>0</v>
      </c>
      <c r="AF281" s="2">
        <f>ROUND(((EV281*1.15)),6)</f>
        <v>1192.1704999999999</v>
      </c>
      <c r="AG281" s="2">
        <f t="shared" si="257"/>
        <v>0</v>
      </c>
      <c r="AH281" s="2">
        <f>((EW281*1.15))</f>
        <v>95.449999999999989</v>
      </c>
      <c r="AI281" s="2">
        <f>((EX281*1.25))</f>
        <v>0</v>
      </c>
      <c r="AJ281" s="2">
        <f t="shared" si="258"/>
        <v>0</v>
      </c>
      <c r="AK281" s="2">
        <v>1184.27</v>
      </c>
      <c r="AL281" s="2">
        <v>147.6</v>
      </c>
      <c r="AM281" s="2">
        <v>0</v>
      </c>
      <c r="AN281" s="2">
        <v>0</v>
      </c>
      <c r="AO281" s="2">
        <v>1036.67</v>
      </c>
      <c r="AP281" s="2">
        <v>0</v>
      </c>
      <c r="AQ281" s="2">
        <v>83</v>
      </c>
      <c r="AR281" s="2">
        <v>0</v>
      </c>
      <c r="AS281" s="2">
        <v>0</v>
      </c>
      <c r="AT281" s="2">
        <v>0</v>
      </c>
      <c r="AU281" s="2">
        <v>0</v>
      </c>
      <c r="AV281" s="2">
        <v>1</v>
      </c>
      <c r="AW281" s="2">
        <v>1</v>
      </c>
      <c r="AX281" s="2"/>
      <c r="AY281" s="2"/>
      <c r="AZ281" s="2">
        <v>1</v>
      </c>
      <c r="BA281" s="2">
        <v>1</v>
      </c>
      <c r="BB281" s="2">
        <v>1</v>
      </c>
      <c r="BC281" s="2">
        <v>1</v>
      </c>
      <c r="BD281" s="2" t="s">
        <v>3</v>
      </c>
      <c r="BE281" s="2" t="s">
        <v>3</v>
      </c>
      <c r="BF281" s="2" t="s">
        <v>3</v>
      </c>
      <c r="BG281" s="2" t="s">
        <v>3</v>
      </c>
      <c r="BH281" s="2">
        <v>0</v>
      </c>
      <c r="BI281" s="2">
        <v>1</v>
      </c>
      <c r="BJ281" s="2" t="s">
        <v>361</v>
      </c>
      <c r="BK281" s="2"/>
      <c r="BL281" s="2"/>
      <c r="BM281" s="2">
        <v>91</v>
      </c>
      <c r="BN281" s="2">
        <v>7156650</v>
      </c>
      <c r="BO281" s="2" t="s">
        <v>3</v>
      </c>
      <c r="BP281" s="2">
        <v>0</v>
      </c>
      <c r="BQ281" s="2">
        <v>30</v>
      </c>
      <c r="BR281" s="2">
        <v>0</v>
      </c>
      <c r="BS281" s="2">
        <v>1</v>
      </c>
      <c r="BT281" s="2">
        <v>1</v>
      </c>
      <c r="BU281" s="2">
        <v>1</v>
      </c>
      <c r="BV281" s="2">
        <v>1</v>
      </c>
      <c r="BW281" s="2">
        <v>1</v>
      </c>
      <c r="BX281" s="2">
        <v>1</v>
      </c>
      <c r="BY281" s="2" t="s">
        <v>3</v>
      </c>
      <c r="BZ281" s="2">
        <v>0</v>
      </c>
      <c r="CA281" s="2">
        <v>0</v>
      </c>
      <c r="CB281" s="2"/>
      <c r="CC281" s="2"/>
      <c r="CD281" s="2"/>
      <c r="CE281" s="2"/>
      <c r="CF281" s="2">
        <v>0</v>
      </c>
      <c r="CG281" s="2">
        <v>0</v>
      </c>
      <c r="CH281" s="2"/>
      <c r="CI281" s="2"/>
      <c r="CJ281" s="2"/>
      <c r="CK281" s="2"/>
      <c r="CL281" s="2"/>
      <c r="CM281" s="2">
        <v>0</v>
      </c>
      <c r="CN281" s="2" t="s">
        <v>3</v>
      </c>
      <c r="CO281" s="2">
        <v>0</v>
      </c>
      <c r="CP281" s="2">
        <f t="shared" si="259"/>
        <v>1.1400000000000001</v>
      </c>
      <c r="CQ281" s="2">
        <f t="shared" si="260"/>
        <v>147.6</v>
      </c>
      <c r="CR281" s="2">
        <f t="shared" si="261"/>
        <v>0</v>
      </c>
      <c r="CS281" s="2">
        <f t="shared" si="262"/>
        <v>0</v>
      </c>
      <c r="CT281" s="2">
        <f t="shared" si="263"/>
        <v>1192.1704999999999</v>
      </c>
      <c r="CU281" s="2">
        <f t="shared" si="264"/>
        <v>0</v>
      </c>
      <c r="CV281" s="2">
        <f t="shared" si="265"/>
        <v>95.449999999999989</v>
      </c>
      <c r="CW281" s="2">
        <f t="shared" si="266"/>
        <v>0</v>
      </c>
      <c r="CX281" s="2">
        <f t="shared" si="267"/>
        <v>0</v>
      </c>
      <c r="CY281" s="2">
        <f t="shared" si="268"/>
        <v>0</v>
      </c>
      <c r="CZ281" s="2">
        <f t="shared" si="269"/>
        <v>0</v>
      </c>
      <c r="DA281" s="2"/>
      <c r="DB281" s="2"/>
      <c r="DC281" s="2" t="s">
        <v>3</v>
      </c>
      <c r="DD281" s="2" t="s">
        <v>3</v>
      </c>
      <c r="DE281" s="2" t="s">
        <v>36</v>
      </c>
      <c r="DF281" s="2" t="s">
        <v>36</v>
      </c>
      <c r="DG281" s="2" t="s">
        <v>37</v>
      </c>
      <c r="DH281" s="2" t="s">
        <v>3</v>
      </c>
      <c r="DI281" s="2" t="s">
        <v>37</v>
      </c>
      <c r="DJ281" s="2" t="s">
        <v>36</v>
      </c>
      <c r="DK281" s="2" t="s">
        <v>3</v>
      </c>
      <c r="DL281" s="2" t="s">
        <v>3</v>
      </c>
      <c r="DM281" s="2" t="s">
        <v>3</v>
      </c>
      <c r="DN281" s="2">
        <v>104</v>
      </c>
      <c r="DO281" s="2">
        <v>70</v>
      </c>
      <c r="DP281" s="2">
        <v>1.0469999999999999</v>
      </c>
      <c r="DQ281" s="2">
        <v>1</v>
      </c>
      <c r="DR281" s="2"/>
      <c r="DS281" s="2"/>
      <c r="DT281" s="2"/>
      <c r="DU281" s="2">
        <v>1013</v>
      </c>
      <c r="DV281" s="2" t="s">
        <v>54</v>
      </c>
      <c r="DW281" s="2" t="s">
        <v>54</v>
      </c>
      <c r="DX281" s="2">
        <v>1</v>
      </c>
      <c r="DY281" s="2"/>
      <c r="DZ281" s="2"/>
      <c r="EA281" s="2"/>
      <c r="EB281" s="2"/>
      <c r="EC281" s="2"/>
      <c r="ED281" s="2"/>
      <c r="EE281" s="2">
        <v>44846598</v>
      </c>
      <c r="EF281" s="2">
        <v>30</v>
      </c>
      <c r="EG281" s="2" t="s">
        <v>38</v>
      </c>
      <c r="EH281" s="2">
        <v>0</v>
      </c>
      <c r="EI281" s="2" t="s">
        <v>3</v>
      </c>
      <c r="EJ281" s="2">
        <v>1</v>
      </c>
      <c r="EK281" s="2">
        <v>91</v>
      </c>
      <c r="EL281" s="2" t="s">
        <v>221</v>
      </c>
      <c r="EM281" s="2" t="s">
        <v>222</v>
      </c>
      <c r="EN281" s="2"/>
      <c r="EO281" s="2" t="s">
        <v>3</v>
      </c>
      <c r="EP281" s="2"/>
      <c r="EQ281" s="2">
        <v>131072</v>
      </c>
      <c r="ER281" s="2">
        <v>1184.27</v>
      </c>
      <c r="ES281" s="2">
        <v>147.6</v>
      </c>
      <c r="ET281" s="2">
        <v>0</v>
      </c>
      <c r="EU281" s="2">
        <v>0</v>
      </c>
      <c r="EV281" s="2">
        <v>1036.67</v>
      </c>
      <c r="EW281" s="2">
        <v>83</v>
      </c>
      <c r="EX281" s="2">
        <v>0</v>
      </c>
      <c r="EY281" s="2">
        <v>0</v>
      </c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>
        <v>0</v>
      </c>
      <c r="FR281" s="2">
        <f t="shared" si="270"/>
        <v>0</v>
      </c>
      <c r="FS281" s="2">
        <v>0</v>
      </c>
      <c r="FT281" s="2"/>
      <c r="FU281" s="2"/>
      <c r="FV281" s="2"/>
      <c r="FW281" s="2"/>
      <c r="FX281" s="2">
        <v>104</v>
      </c>
      <c r="FY281" s="2">
        <v>70</v>
      </c>
      <c r="FZ281" s="2"/>
      <c r="GA281" s="2" t="s">
        <v>3</v>
      </c>
      <c r="GB281" s="2"/>
      <c r="GC281" s="2"/>
      <c r="GD281" s="2">
        <v>0</v>
      </c>
      <c r="GE281" s="2"/>
      <c r="GF281" s="2">
        <v>-184583450</v>
      </c>
      <c r="GG281" s="2">
        <v>2</v>
      </c>
      <c r="GH281" s="2">
        <v>1</v>
      </c>
      <c r="GI281" s="2">
        <v>3</v>
      </c>
      <c r="GJ281" s="2">
        <v>0</v>
      </c>
      <c r="GK281" s="2">
        <f>ROUND(R281*(R12)/100,2)</f>
        <v>0</v>
      </c>
      <c r="GL281" s="2">
        <f t="shared" si="271"/>
        <v>0</v>
      </c>
      <c r="GM281" s="2">
        <f t="shared" si="272"/>
        <v>1.1399999999999999</v>
      </c>
      <c r="GN281" s="2">
        <f t="shared" si="273"/>
        <v>1.1399999999999999</v>
      </c>
      <c r="GO281" s="2">
        <f t="shared" si="274"/>
        <v>0</v>
      </c>
      <c r="GP281" s="2">
        <f t="shared" si="275"/>
        <v>0</v>
      </c>
      <c r="GQ281" s="2"/>
      <c r="GR281" s="2">
        <v>0</v>
      </c>
      <c r="GS281" s="2">
        <v>3</v>
      </c>
      <c r="GT281" s="2">
        <v>0</v>
      </c>
      <c r="GU281" s="2" t="s">
        <v>3</v>
      </c>
      <c r="GV281" s="2">
        <f t="shared" si="276"/>
        <v>0</v>
      </c>
      <c r="GW281" s="2">
        <v>1</v>
      </c>
      <c r="GX281" s="2">
        <f t="shared" si="277"/>
        <v>0</v>
      </c>
      <c r="GY281" s="2"/>
      <c r="GZ281" s="2"/>
      <c r="HA281" s="2">
        <v>0</v>
      </c>
      <c r="HB281" s="2">
        <v>0</v>
      </c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2"/>
      <c r="HZ281" s="2"/>
      <c r="IA281" s="2"/>
      <c r="IB281" s="2"/>
      <c r="IC281" s="2"/>
      <c r="ID281" s="2"/>
      <c r="IE281" s="2"/>
      <c r="IF281" s="2"/>
      <c r="IG281" s="2"/>
      <c r="IH281" s="2"/>
      <c r="II281" s="2"/>
      <c r="IJ281" s="2"/>
      <c r="IK281" s="2">
        <v>0</v>
      </c>
      <c r="IL281" s="2"/>
      <c r="IM281" s="2"/>
      <c r="IN281" s="2"/>
      <c r="IO281" s="2"/>
      <c r="IP281" s="2"/>
      <c r="IQ281" s="2"/>
      <c r="IR281" s="2"/>
      <c r="IS281" s="2"/>
      <c r="IT281" s="2"/>
      <c r="IU281" s="2"/>
    </row>
    <row r="282" spans="1:255" x14ac:dyDescent="0.2">
      <c r="A282">
        <v>17</v>
      </c>
      <c r="B282">
        <v>1</v>
      </c>
      <c r="C282">
        <f>ROW(SmtRes!A264)</f>
        <v>264</v>
      </c>
      <c r="D282">
        <f>ROW(EtalonRes!A262)</f>
        <v>262</v>
      </c>
      <c r="E282" t="s">
        <v>358</v>
      </c>
      <c r="F282" t="s">
        <v>359</v>
      </c>
      <c r="G282" t="s">
        <v>360</v>
      </c>
      <c r="H282" t="s">
        <v>54</v>
      </c>
      <c r="I282">
        <f>ROUND(0.085/100,9)</f>
        <v>8.4999999999999995E-4</v>
      </c>
      <c r="J282">
        <v>0</v>
      </c>
      <c r="O282">
        <f t="shared" si="244"/>
        <v>21.33</v>
      </c>
      <c r="P282">
        <f t="shared" si="245"/>
        <v>0.66</v>
      </c>
      <c r="Q282">
        <f t="shared" si="246"/>
        <v>0</v>
      </c>
      <c r="R282">
        <f t="shared" si="247"/>
        <v>0</v>
      </c>
      <c r="S282">
        <f t="shared" si="248"/>
        <v>20.67</v>
      </c>
      <c r="T282">
        <f t="shared" si="249"/>
        <v>0</v>
      </c>
      <c r="U282">
        <f t="shared" si="250"/>
        <v>8.1132499999999982E-2</v>
      </c>
      <c r="V282">
        <f t="shared" si="251"/>
        <v>0</v>
      </c>
      <c r="W282">
        <f t="shared" si="252"/>
        <v>0</v>
      </c>
      <c r="X282">
        <f t="shared" si="253"/>
        <v>17.57</v>
      </c>
      <c r="Y282">
        <f t="shared" si="254"/>
        <v>8.4700000000000006</v>
      </c>
      <c r="AA282">
        <v>45037307</v>
      </c>
      <c r="AB282">
        <f t="shared" si="255"/>
        <v>1339.7705000000001</v>
      </c>
      <c r="AC282">
        <f t="shared" si="256"/>
        <v>147.6</v>
      </c>
      <c r="AD282">
        <f>ROUND(((ET282*1.25)),6)</f>
        <v>0</v>
      </c>
      <c r="AE282">
        <f>ROUND(((EU282*1.25)),6)</f>
        <v>0</v>
      </c>
      <c r="AF282">
        <f>ROUND(((EV282*1.15)),6)</f>
        <v>1192.1704999999999</v>
      </c>
      <c r="AG282">
        <f t="shared" si="257"/>
        <v>0</v>
      </c>
      <c r="AH282">
        <f>((EW282*1.15))</f>
        <v>95.449999999999989</v>
      </c>
      <c r="AI282">
        <f>((EX282*1.25))</f>
        <v>0</v>
      </c>
      <c r="AJ282">
        <f t="shared" si="258"/>
        <v>0</v>
      </c>
      <c r="AK282">
        <v>1184.27</v>
      </c>
      <c r="AL282">
        <v>147.6</v>
      </c>
      <c r="AM282">
        <v>0</v>
      </c>
      <c r="AN282">
        <v>0</v>
      </c>
      <c r="AO282">
        <v>1036.67</v>
      </c>
      <c r="AP282">
        <v>0</v>
      </c>
      <c r="AQ282">
        <v>83</v>
      </c>
      <c r="AR282">
        <v>0</v>
      </c>
      <c r="AS282">
        <v>0</v>
      </c>
      <c r="AT282">
        <v>85</v>
      </c>
      <c r="AU282">
        <v>41</v>
      </c>
      <c r="AV282">
        <v>1</v>
      </c>
      <c r="AW282">
        <v>1</v>
      </c>
      <c r="AZ282">
        <v>1</v>
      </c>
      <c r="BA282">
        <v>20.399999999999999</v>
      </c>
      <c r="BB282">
        <v>1</v>
      </c>
      <c r="BC282">
        <v>5.23</v>
      </c>
      <c r="BD282" t="s">
        <v>3</v>
      </c>
      <c r="BE282" t="s">
        <v>3</v>
      </c>
      <c r="BF282" t="s">
        <v>3</v>
      </c>
      <c r="BG282" t="s">
        <v>3</v>
      </c>
      <c r="BH282">
        <v>0</v>
      </c>
      <c r="BI282">
        <v>1</v>
      </c>
      <c r="BJ282" t="s">
        <v>361</v>
      </c>
      <c r="BM282">
        <v>91</v>
      </c>
      <c r="BN282">
        <v>7156650</v>
      </c>
      <c r="BO282" t="s">
        <v>359</v>
      </c>
      <c r="BP282">
        <v>1</v>
      </c>
      <c r="BQ282">
        <v>30</v>
      </c>
      <c r="BR282">
        <v>0</v>
      </c>
      <c r="BS282">
        <v>20.399999999999999</v>
      </c>
      <c r="BT282">
        <v>1</v>
      </c>
      <c r="BU282">
        <v>1</v>
      </c>
      <c r="BV282">
        <v>1</v>
      </c>
      <c r="BW282">
        <v>1</v>
      </c>
      <c r="BX282">
        <v>1</v>
      </c>
      <c r="BY282" t="s">
        <v>3</v>
      </c>
      <c r="BZ282">
        <v>85</v>
      </c>
      <c r="CA282">
        <v>41</v>
      </c>
      <c r="CF282">
        <v>0</v>
      </c>
      <c r="CG282">
        <v>0</v>
      </c>
      <c r="CM282">
        <v>0</v>
      </c>
      <c r="CN282" t="s">
        <v>3</v>
      </c>
      <c r="CO282">
        <v>0</v>
      </c>
      <c r="CP282">
        <f t="shared" si="259"/>
        <v>21.330000000000002</v>
      </c>
      <c r="CQ282">
        <f t="shared" si="260"/>
        <v>771.94799999999998</v>
      </c>
      <c r="CR282">
        <f t="shared" si="261"/>
        <v>0</v>
      </c>
      <c r="CS282">
        <f t="shared" si="262"/>
        <v>0</v>
      </c>
      <c r="CT282">
        <f t="shared" si="263"/>
        <v>24320.278199999997</v>
      </c>
      <c r="CU282">
        <f t="shared" si="264"/>
        <v>0</v>
      </c>
      <c r="CV282">
        <f t="shared" si="265"/>
        <v>95.449999999999989</v>
      </c>
      <c r="CW282">
        <f t="shared" si="266"/>
        <v>0</v>
      </c>
      <c r="CX282">
        <f t="shared" si="267"/>
        <v>0</v>
      </c>
      <c r="CY282">
        <f t="shared" si="268"/>
        <v>17.569500000000001</v>
      </c>
      <c r="CZ282">
        <f t="shared" si="269"/>
        <v>8.4747000000000003</v>
      </c>
      <c r="DC282" t="s">
        <v>3</v>
      </c>
      <c r="DD282" t="s">
        <v>3</v>
      </c>
      <c r="DE282" t="s">
        <v>36</v>
      </c>
      <c r="DF282" t="s">
        <v>36</v>
      </c>
      <c r="DG282" t="s">
        <v>37</v>
      </c>
      <c r="DH282" t="s">
        <v>3</v>
      </c>
      <c r="DI282" t="s">
        <v>37</v>
      </c>
      <c r="DJ282" t="s">
        <v>36</v>
      </c>
      <c r="DK282" t="s">
        <v>3</v>
      </c>
      <c r="DL282" t="s">
        <v>3</v>
      </c>
      <c r="DM282" t="s">
        <v>3</v>
      </c>
      <c r="DN282">
        <v>104</v>
      </c>
      <c r="DO282">
        <v>70</v>
      </c>
      <c r="DP282">
        <v>1.0469999999999999</v>
      </c>
      <c r="DQ282">
        <v>1</v>
      </c>
      <c r="DU282">
        <v>1013</v>
      </c>
      <c r="DV282" t="s">
        <v>54</v>
      </c>
      <c r="DW282" t="s">
        <v>54</v>
      </c>
      <c r="DX282">
        <v>1</v>
      </c>
      <c r="EE282">
        <v>44846598</v>
      </c>
      <c r="EF282">
        <v>30</v>
      </c>
      <c r="EG282" t="s">
        <v>38</v>
      </c>
      <c r="EH282">
        <v>0</v>
      </c>
      <c r="EI282" t="s">
        <v>3</v>
      </c>
      <c r="EJ282">
        <v>1</v>
      </c>
      <c r="EK282">
        <v>91</v>
      </c>
      <c r="EL282" t="s">
        <v>221</v>
      </c>
      <c r="EM282" t="s">
        <v>222</v>
      </c>
      <c r="EO282" t="s">
        <v>3</v>
      </c>
      <c r="EQ282">
        <v>131072</v>
      </c>
      <c r="ER282">
        <v>1184.27</v>
      </c>
      <c r="ES282">
        <v>147.6</v>
      </c>
      <c r="ET282">
        <v>0</v>
      </c>
      <c r="EU282">
        <v>0</v>
      </c>
      <c r="EV282">
        <v>1036.67</v>
      </c>
      <c r="EW282">
        <v>83</v>
      </c>
      <c r="EX282">
        <v>0</v>
      </c>
      <c r="EY282">
        <v>0</v>
      </c>
      <c r="FQ282">
        <v>0</v>
      </c>
      <c r="FR282">
        <f t="shared" si="270"/>
        <v>0</v>
      </c>
      <c r="FS282">
        <v>0</v>
      </c>
      <c r="FX282">
        <v>104</v>
      </c>
      <c r="FY282">
        <v>70</v>
      </c>
      <c r="GA282" t="s">
        <v>3</v>
      </c>
      <c r="GD282">
        <v>0</v>
      </c>
      <c r="GF282">
        <v>-184583450</v>
      </c>
      <c r="GG282">
        <v>2</v>
      </c>
      <c r="GH282">
        <v>1</v>
      </c>
      <c r="GI282">
        <v>3</v>
      </c>
      <c r="GJ282">
        <v>0</v>
      </c>
      <c r="GK282">
        <f>ROUND(R282*(S12)/100,2)</f>
        <v>0</v>
      </c>
      <c r="GL282">
        <f t="shared" si="271"/>
        <v>0</v>
      </c>
      <c r="GM282">
        <f t="shared" si="272"/>
        <v>47.37</v>
      </c>
      <c r="GN282">
        <f t="shared" si="273"/>
        <v>47.37</v>
      </c>
      <c r="GO282">
        <f t="shared" si="274"/>
        <v>0</v>
      </c>
      <c r="GP282">
        <f t="shared" si="275"/>
        <v>0</v>
      </c>
      <c r="GR282">
        <v>0</v>
      </c>
      <c r="GS282">
        <v>3</v>
      </c>
      <c r="GT282">
        <v>0</v>
      </c>
      <c r="GU282" t="s">
        <v>3</v>
      </c>
      <c r="GV282">
        <f t="shared" si="276"/>
        <v>0</v>
      </c>
      <c r="GW282">
        <v>1</v>
      </c>
      <c r="GX282">
        <f t="shared" si="277"/>
        <v>0</v>
      </c>
      <c r="HA282">
        <v>0</v>
      </c>
      <c r="HB282">
        <v>0</v>
      </c>
      <c r="IK282">
        <v>0</v>
      </c>
    </row>
    <row r="283" spans="1:255" x14ac:dyDescent="0.2">
      <c r="A283" s="2">
        <v>18</v>
      </c>
      <c r="B283" s="2">
        <v>1</v>
      </c>
      <c r="C283" s="2">
        <v>260</v>
      </c>
      <c r="D283" s="2"/>
      <c r="E283" s="2" t="s">
        <v>362</v>
      </c>
      <c r="F283" s="2" t="s">
        <v>258</v>
      </c>
      <c r="G283" s="2" t="s">
        <v>363</v>
      </c>
      <c r="H283" s="2" t="s">
        <v>364</v>
      </c>
      <c r="I283" s="2">
        <f>I281*J283</f>
        <v>3.4</v>
      </c>
      <c r="J283" s="2">
        <v>4000</v>
      </c>
      <c r="K283" s="2"/>
      <c r="L283" s="2"/>
      <c r="M283" s="2"/>
      <c r="N283" s="2"/>
      <c r="O283" s="2">
        <f t="shared" si="244"/>
        <v>69.12</v>
      </c>
      <c r="P283" s="2">
        <f t="shared" si="245"/>
        <v>69.12</v>
      </c>
      <c r="Q283" s="2">
        <f t="shared" si="246"/>
        <v>0</v>
      </c>
      <c r="R283" s="2">
        <f t="shared" si="247"/>
        <v>0</v>
      </c>
      <c r="S283" s="2">
        <f t="shared" si="248"/>
        <v>0</v>
      </c>
      <c r="T283" s="2">
        <f t="shared" si="249"/>
        <v>0</v>
      </c>
      <c r="U283" s="2">
        <f t="shared" si="250"/>
        <v>0</v>
      </c>
      <c r="V283" s="2">
        <f t="shared" si="251"/>
        <v>0</v>
      </c>
      <c r="W283" s="2">
        <f t="shared" si="252"/>
        <v>0</v>
      </c>
      <c r="X283" s="2">
        <f t="shared" si="253"/>
        <v>0</v>
      </c>
      <c r="Y283" s="2">
        <f t="shared" si="254"/>
        <v>0</v>
      </c>
      <c r="Z283" s="2"/>
      <c r="AA283" s="2">
        <v>45037306</v>
      </c>
      <c r="AB283" s="2">
        <f t="shared" si="255"/>
        <v>20.329999999999998</v>
      </c>
      <c r="AC283" s="2">
        <f t="shared" si="256"/>
        <v>20.329999999999998</v>
      </c>
      <c r="AD283" s="2">
        <f t="shared" ref="AD283:AF286" si="281">ROUND((ET283),6)</f>
        <v>0</v>
      </c>
      <c r="AE283" s="2">
        <f t="shared" si="281"/>
        <v>0</v>
      </c>
      <c r="AF283" s="2">
        <f t="shared" si="281"/>
        <v>0</v>
      </c>
      <c r="AG283" s="2">
        <f t="shared" si="257"/>
        <v>0</v>
      </c>
      <c r="AH283" s="2">
        <f t="shared" ref="AH283:AI286" si="282">(EW283)</f>
        <v>0</v>
      </c>
      <c r="AI283" s="2">
        <f t="shared" si="282"/>
        <v>0</v>
      </c>
      <c r="AJ283" s="2">
        <f t="shared" si="258"/>
        <v>0</v>
      </c>
      <c r="AK283" s="2">
        <v>20.329999999999998</v>
      </c>
      <c r="AL283" s="2">
        <v>20.329999999999998</v>
      </c>
      <c r="AM283" s="2">
        <v>0</v>
      </c>
      <c r="AN283" s="2">
        <v>0</v>
      </c>
      <c r="AO283" s="2">
        <v>0</v>
      </c>
      <c r="AP283" s="2">
        <v>0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1</v>
      </c>
      <c r="AW283" s="2">
        <v>1</v>
      </c>
      <c r="AX283" s="2"/>
      <c r="AY283" s="2"/>
      <c r="AZ283" s="2">
        <v>1</v>
      </c>
      <c r="BA283" s="2">
        <v>1</v>
      </c>
      <c r="BB283" s="2">
        <v>1</v>
      </c>
      <c r="BC283" s="2">
        <v>1</v>
      </c>
      <c r="BD283" s="2" t="s">
        <v>3</v>
      </c>
      <c r="BE283" s="2" t="s">
        <v>3</v>
      </c>
      <c r="BF283" s="2" t="s">
        <v>3</v>
      </c>
      <c r="BG283" s="2" t="s">
        <v>3</v>
      </c>
      <c r="BH283" s="2">
        <v>3</v>
      </c>
      <c r="BI283" s="2">
        <v>1</v>
      </c>
      <c r="BJ283" s="2" t="s">
        <v>3</v>
      </c>
      <c r="BK283" s="2"/>
      <c r="BL283" s="2"/>
      <c r="BM283" s="2">
        <v>91</v>
      </c>
      <c r="BN283" s="2">
        <v>0</v>
      </c>
      <c r="BO283" s="2" t="s">
        <v>3</v>
      </c>
      <c r="BP283" s="2">
        <v>0</v>
      </c>
      <c r="BQ283" s="2">
        <v>30</v>
      </c>
      <c r="BR283" s="2">
        <v>0</v>
      </c>
      <c r="BS283" s="2">
        <v>1</v>
      </c>
      <c r="BT283" s="2">
        <v>1</v>
      </c>
      <c r="BU283" s="2">
        <v>1</v>
      </c>
      <c r="BV283" s="2">
        <v>1</v>
      </c>
      <c r="BW283" s="2">
        <v>1</v>
      </c>
      <c r="BX283" s="2">
        <v>1</v>
      </c>
      <c r="BY283" s="2" t="s">
        <v>3</v>
      </c>
      <c r="BZ283" s="2">
        <v>0</v>
      </c>
      <c r="CA283" s="2">
        <v>0</v>
      </c>
      <c r="CB283" s="2"/>
      <c r="CC283" s="2"/>
      <c r="CD283" s="2"/>
      <c r="CE283" s="2"/>
      <c r="CF283" s="2">
        <v>0</v>
      </c>
      <c r="CG283" s="2">
        <v>0</v>
      </c>
      <c r="CH283" s="2"/>
      <c r="CI283" s="2"/>
      <c r="CJ283" s="2"/>
      <c r="CK283" s="2"/>
      <c r="CL283" s="2"/>
      <c r="CM283" s="2">
        <v>0</v>
      </c>
      <c r="CN283" s="2" t="s">
        <v>3</v>
      </c>
      <c r="CO283" s="2">
        <v>0</v>
      </c>
      <c r="CP283" s="2">
        <f t="shared" si="259"/>
        <v>69.12</v>
      </c>
      <c r="CQ283" s="2">
        <f t="shared" si="260"/>
        <v>20.329999999999998</v>
      </c>
      <c r="CR283" s="2">
        <f t="shared" si="261"/>
        <v>0</v>
      </c>
      <c r="CS283" s="2">
        <f t="shared" si="262"/>
        <v>0</v>
      </c>
      <c r="CT283" s="2">
        <f t="shared" si="263"/>
        <v>0</v>
      </c>
      <c r="CU283" s="2">
        <f t="shared" si="264"/>
        <v>0</v>
      </c>
      <c r="CV283" s="2">
        <f t="shared" si="265"/>
        <v>0</v>
      </c>
      <c r="CW283" s="2">
        <f t="shared" si="266"/>
        <v>0</v>
      </c>
      <c r="CX283" s="2">
        <f t="shared" si="267"/>
        <v>0</v>
      </c>
      <c r="CY283" s="2">
        <f t="shared" si="268"/>
        <v>0</v>
      </c>
      <c r="CZ283" s="2">
        <f t="shared" si="269"/>
        <v>0</v>
      </c>
      <c r="DA283" s="2"/>
      <c r="DB283" s="2"/>
      <c r="DC283" s="2" t="s">
        <v>3</v>
      </c>
      <c r="DD283" s="2" t="s">
        <v>3</v>
      </c>
      <c r="DE283" s="2" t="s">
        <v>3</v>
      </c>
      <c r="DF283" s="2" t="s">
        <v>3</v>
      </c>
      <c r="DG283" s="2" t="s">
        <v>3</v>
      </c>
      <c r="DH283" s="2" t="s">
        <v>3</v>
      </c>
      <c r="DI283" s="2" t="s">
        <v>3</v>
      </c>
      <c r="DJ283" s="2" t="s">
        <v>3</v>
      </c>
      <c r="DK283" s="2" t="s">
        <v>3</v>
      </c>
      <c r="DL283" s="2" t="s">
        <v>3</v>
      </c>
      <c r="DM283" s="2" t="s">
        <v>3</v>
      </c>
      <c r="DN283" s="2">
        <v>104</v>
      </c>
      <c r="DO283" s="2">
        <v>70</v>
      </c>
      <c r="DP283" s="2">
        <v>1.0469999999999999</v>
      </c>
      <c r="DQ283" s="2">
        <v>1</v>
      </c>
      <c r="DR283" s="2"/>
      <c r="DS283" s="2"/>
      <c r="DT283" s="2"/>
      <c r="DU283" s="2">
        <v>1003</v>
      </c>
      <c r="DV283" s="2" t="s">
        <v>364</v>
      </c>
      <c r="DW283" s="2" t="s">
        <v>364</v>
      </c>
      <c r="DX283" s="2">
        <v>1</v>
      </c>
      <c r="DY283" s="2"/>
      <c r="DZ283" s="2"/>
      <c r="EA283" s="2"/>
      <c r="EB283" s="2"/>
      <c r="EC283" s="2"/>
      <c r="ED283" s="2"/>
      <c r="EE283" s="2">
        <v>44846598</v>
      </c>
      <c r="EF283" s="2">
        <v>30</v>
      </c>
      <c r="EG283" s="2" t="s">
        <v>38</v>
      </c>
      <c r="EH283" s="2">
        <v>0</v>
      </c>
      <c r="EI283" s="2" t="s">
        <v>3</v>
      </c>
      <c r="EJ283" s="2">
        <v>1</v>
      </c>
      <c r="EK283" s="2">
        <v>91</v>
      </c>
      <c r="EL283" s="2" t="s">
        <v>221</v>
      </c>
      <c r="EM283" s="2" t="s">
        <v>222</v>
      </c>
      <c r="EN283" s="2"/>
      <c r="EO283" s="2" t="s">
        <v>3</v>
      </c>
      <c r="EP283" s="2"/>
      <c r="EQ283" s="2">
        <v>0</v>
      </c>
      <c r="ER283" s="2">
        <v>0</v>
      </c>
      <c r="ES283" s="2">
        <v>20.329999999999998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>
        <v>0</v>
      </c>
      <c r="FR283" s="2">
        <f t="shared" si="270"/>
        <v>0</v>
      </c>
      <c r="FS283" s="2">
        <v>0</v>
      </c>
      <c r="FT283" s="2"/>
      <c r="FU283" s="2"/>
      <c r="FV283" s="2"/>
      <c r="FW283" s="2"/>
      <c r="FX283" s="2">
        <v>104</v>
      </c>
      <c r="FY283" s="2">
        <v>70</v>
      </c>
      <c r="FZ283" s="2"/>
      <c r="GA283" s="2" t="s">
        <v>365</v>
      </c>
      <c r="GB283" s="2"/>
      <c r="GC283" s="2"/>
      <c r="GD283" s="2">
        <v>0</v>
      </c>
      <c r="GE283" s="2"/>
      <c r="GF283" s="2">
        <v>-49586319</v>
      </c>
      <c r="GG283" s="2">
        <v>2</v>
      </c>
      <c r="GH283" s="2">
        <v>4</v>
      </c>
      <c r="GI283" s="2">
        <v>3</v>
      </c>
      <c r="GJ283" s="2">
        <v>0</v>
      </c>
      <c r="GK283" s="2">
        <f>ROUND(R283*(R12)/100,2)</f>
        <v>0</v>
      </c>
      <c r="GL283" s="2">
        <f t="shared" si="271"/>
        <v>0</v>
      </c>
      <c r="GM283" s="2">
        <f t="shared" si="272"/>
        <v>69.12</v>
      </c>
      <c r="GN283" s="2">
        <f t="shared" si="273"/>
        <v>69.12</v>
      </c>
      <c r="GO283" s="2">
        <f t="shared" si="274"/>
        <v>0</v>
      </c>
      <c r="GP283" s="2">
        <f t="shared" si="275"/>
        <v>0</v>
      </c>
      <c r="GQ283" s="2"/>
      <c r="GR283" s="2">
        <v>0</v>
      </c>
      <c r="GS283" s="2">
        <v>2</v>
      </c>
      <c r="GT283" s="2">
        <v>0</v>
      </c>
      <c r="GU283" s="2" t="s">
        <v>3</v>
      </c>
      <c r="GV283" s="2">
        <f t="shared" si="276"/>
        <v>0</v>
      </c>
      <c r="GW283" s="2">
        <v>1</v>
      </c>
      <c r="GX283" s="2">
        <f t="shared" si="277"/>
        <v>0</v>
      </c>
      <c r="GY283" s="2"/>
      <c r="GZ283" s="2"/>
      <c r="HA283" s="2">
        <v>0</v>
      </c>
      <c r="HB283" s="2">
        <v>0</v>
      </c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2"/>
      <c r="HZ283" s="2"/>
      <c r="IA283" s="2"/>
      <c r="IB283" s="2"/>
      <c r="IC283" s="2"/>
      <c r="ID283" s="2"/>
      <c r="IE283" s="2"/>
      <c r="IF283" s="2"/>
      <c r="IG283" s="2"/>
      <c r="IH283" s="2"/>
      <c r="II283" s="2"/>
      <c r="IJ283" s="2"/>
      <c r="IK283" s="2">
        <v>0</v>
      </c>
      <c r="IL283" s="2"/>
      <c r="IM283" s="2"/>
      <c r="IN283" s="2"/>
      <c r="IO283" s="2"/>
      <c r="IP283" s="2"/>
      <c r="IQ283" s="2"/>
      <c r="IR283" s="2"/>
      <c r="IS283" s="2"/>
      <c r="IT283" s="2"/>
      <c r="IU283" s="2"/>
    </row>
    <row r="284" spans="1:255" x14ac:dyDescent="0.2">
      <c r="A284">
        <v>18</v>
      </c>
      <c r="B284">
        <v>1</v>
      </c>
      <c r="C284">
        <v>264</v>
      </c>
      <c r="E284" t="s">
        <v>362</v>
      </c>
      <c r="F284" t="s">
        <v>258</v>
      </c>
      <c r="G284" t="s">
        <v>363</v>
      </c>
      <c r="H284" t="s">
        <v>364</v>
      </c>
      <c r="I284">
        <f>I282*J284</f>
        <v>3.4</v>
      </c>
      <c r="J284">
        <v>4000</v>
      </c>
      <c r="O284">
        <f t="shared" si="244"/>
        <v>361.51</v>
      </c>
      <c r="P284">
        <f t="shared" si="245"/>
        <v>361.51</v>
      </c>
      <c r="Q284">
        <f t="shared" si="246"/>
        <v>0</v>
      </c>
      <c r="R284">
        <f t="shared" si="247"/>
        <v>0</v>
      </c>
      <c r="S284">
        <f t="shared" si="248"/>
        <v>0</v>
      </c>
      <c r="T284">
        <f t="shared" si="249"/>
        <v>0</v>
      </c>
      <c r="U284">
        <f t="shared" si="250"/>
        <v>0</v>
      </c>
      <c r="V284">
        <f t="shared" si="251"/>
        <v>0</v>
      </c>
      <c r="W284">
        <f t="shared" si="252"/>
        <v>0</v>
      </c>
      <c r="X284">
        <f t="shared" si="253"/>
        <v>0</v>
      </c>
      <c r="Y284">
        <f t="shared" si="254"/>
        <v>0</v>
      </c>
      <c r="AA284">
        <v>45037307</v>
      </c>
      <c r="AB284">
        <f t="shared" si="255"/>
        <v>20.329999999999998</v>
      </c>
      <c r="AC284">
        <f t="shared" si="256"/>
        <v>20.329999999999998</v>
      </c>
      <c r="AD284">
        <f t="shared" si="281"/>
        <v>0</v>
      </c>
      <c r="AE284">
        <f t="shared" si="281"/>
        <v>0</v>
      </c>
      <c r="AF284">
        <f t="shared" si="281"/>
        <v>0</v>
      </c>
      <c r="AG284">
        <f t="shared" si="257"/>
        <v>0</v>
      </c>
      <c r="AH284">
        <f t="shared" si="282"/>
        <v>0</v>
      </c>
      <c r="AI284">
        <f t="shared" si="282"/>
        <v>0</v>
      </c>
      <c r="AJ284">
        <f t="shared" si="258"/>
        <v>0</v>
      </c>
      <c r="AK284">
        <v>20.329999999999998</v>
      </c>
      <c r="AL284">
        <v>20.329999999999998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0</v>
      </c>
      <c r="AU284">
        <v>0</v>
      </c>
      <c r="AV284">
        <v>1</v>
      </c>
      <c r="AW284">
        <v>1</v>
      </c>
      <c r="AZ284">
        <v>1</v>
      </c>
      <c r="BA284">
        <v>1</v>
      </c>
      <c r="BB284">
        <v>1</v>
      </c>
      <c r="BC284">
        <v>5.23</v>
      </c>
      <c r="BD284" t="s">
        <v>3</v>
      </c>
      <c r="BE284" t="s">
        <v>3</v>
      </c>
      <c r="BF284" t="s">
        <v>3</v>
      </c>
      <c r="BG284" t="s">
        <v>3</v>
      </c>
      <c r="BH284">
        <v>3</v>
      </c>
      <c r="BI284">
        <v>1</v>
      </c>
      <c r="BJ284" t="s">
        <v>3</v>
      </c>
      <c r="BM284">
        <v>91</v>
      </c>
      <c r="BN284">
        <v>0</v>
      </c>
      <c r="BO284" t="s">
        <v>3</v>
      </c>
      <c r="BP284">
        <v>0</v>
      </c>
      <c r="BQ284">
        <v>30</v>
      </c>
      <c r="BR284">
        <v>0</v>
      </c>
      <c r="BS284">
        <v>1</v>
      </c>
      <c r="BT284">
        <v>1</v>
      </c>
      <c r="BU284">
        <v>1</v>
      </c>
      <c r="BV284">
        <v>1</v>
      </c>
      <c r="BW284">
        <v>1</v>
      </c>
      <c r="BX284">
        <v>1</v>
      </c>
      <c r="BY284" t="s">
        <v>3</v>
      </c>
      <c r="BZ284">
        <v>0</v>
      </c>
      <c r="CA284">
        <v>0</v>
      </c>
      <c r="CF284">
        <v>0</v>
      </c>
      <c r="CG284">
        <v>0</v>
      </c>
      <c r="CM284">
        <v>0</v>
      </c>
      <c r="CN284" t="s">
        <v>3</v>
      </c>
      <c r="CO284">
        <v>0</v>
      </c>
      <c r="CP284">
        <f t="shared" si="259"/>
        <v>361.51</v>
      </c>
      <c r="CQ284">
        <f t="shared" si="260"/>
        <v>106.3259</v>
      </c>
      <c r="CR284">
        <f t="shared" si="261"/>
        <v>0</v>
      </c>
      <c r="CS284">
        <f t="shared" si="262"/>
        <v>0</v>
      </c>
      <c r="CT284">
        <f t="shared" si="263"/>
        <v>0</v>
      </c>
      <c r="CU284">
        <f t="shared" si="264"/>
        <v>0</v>
      </c>
      <c r="CV284">
        <f t="shared" si="265"/>
        <v>0</v>
      </c>
      <c r="CW284">
        <f t="shared" si="266"/>
        <v>0</v>
      </c>
      <c r="CX284">
        <f t="shared" si="267"/>
        <v>0</v>
      </c>
      <c r="CY284">
        <f t="shared" si="268"/>
        <v>0</v>
      </c>
      <c r="CZ284">
        <f t="shared" si="269"/>
        <v>0</v>
      </c>
      <c r="DC284" t="s">
        <v>3</v>
      </c>
      <c r="DD284" t="s">
        <v>3</v>
      </c>
      <c r="DE284" t="s">
        <v>3</v>
      </c>
      <c r="DF284" t="s">
        <v>3</v>
      </c>
      <c r="DG284" t="s">
        <v>3</v>
      </c>
      <c r="DH284" t="s">
        <v>3</v>
      </c>
      <c r="DI284" t="s">
        <v>3</v>
      </c>
      <c r="DJ284" t="s">
        <v>3</v>
      </c>
      <c r="DK284" t="s">
        <v>3</v>
      </c>
      <c r="DL284" t="s">
        <v>3</v>
      </c>
      <c r="DM284" t="s">
        <v>3</v>
      </c>
      <c r="DN284">
        <v>104</v>
      </c>
      <c r="DO284">
        <v>70</v>
      </c>
      <c r="DP284">
        <v>1.0469999999999999</v>
      </c>
      <c r="DQ284">
        <v>1</v>
      </c>
      <c r="DU284">
        <v>1003</v>
      </c>
      <c r="DV284" t="s">
        <v>364</v>
      </c>
      <c r="DW284" t="s">
        <v>364</v>
      </c>
      <c r="DX284">
        <v>1</v>
      </c>
      <c r="EE284">
        <v>44846598</v>
      </c>
      <c r="EF284">
        <v>30</v>
      </c>
      <c r="EG284" t="s">
        <v>38</v>
      </c>
      <c r="EH284">
        <v>0</v>
      </c>
      <c r="EI284" t="s">
        <v>3</v>
      </c>
      <c r="EJ284">
        <v>1</v>
      </c>
      <c r="EK284">
        <v>91</v>
      </c>
      <c r="EL284" t="s">
        <v>221</v>
      </c>
      <c r="EM284" t="s">
        <v>222</v>
      </c>
      <c r="EO284" t="s">
        <v>3</v>
      </c>
      <c r="EQ284">
        <v>0</v>
      </c>
      <c r="ER284">
        <v>106.32</v>
      </c>
      <c r="ES284">
        <v>20.329999999999998</v>
      </c>
      <c r="ET284">
        <v>0</v>
      </c>
      <c r="EU284">
        <v>0</v>
      </c>
      <c r="EV284">
        <v>0</v>
      </c>
      <c r="EW284">
        <v>0</v>
      </c>
      <c r="EX284">
        <v>0</v>
      </c>
      <c r="EZ284">
        <v>5</v>
      </c>
      <c r="FC284">
        <v>1</v>
      </c>
      <c r="FD284">
        <v>18</v>
      </c>
      <c r="FF284">
        <v>123</v>
      </c>
      <c r="FQ284">
        <v>0</v>
      </c>
      <c r="FR284">
        <f t="shared" si="270"/>
        <v>0</v>
      </c>
      <c r="FS284">
        <v>0</v>
      </c>
      <c r="FX284">
        <v>104</v>
      </c>
      <c r="FY284">
        <v>70</v>
      </c>
      <c r="GA284" t="s">
        <v>365</v>
      </c>
      <c r="GD284">
        <v>0</v>
      </c>
      <c r="GF284">
        <v>-49586319</v>
      </c>
      <c r="GG284">
        <v>2</v>
      </c>
      <c r="GH284">
        <v>3</v>
      </c>
      <c r="GI284">
        <v>3</v>
      </c>
      <c r="GJ284">
        <v>0</v>
      </c>
      <c r="GK284">
        <f>ROUND(R284*(S12)/100,2)</f>
        <v>0</v>
      </c>
      <c r="GL284">
        <f t="shared" si="271"/>
        <v>0</v>
      </c>
      <c r="GM284">
        <f t="shared" si="272"/>
        <v>361.51</v>
      </c>
      <c r="GN284">
        <f t="shared" si="273"/>
        <v>361.51</v>
      </c>
      <c r="GO284">
        <f t="shared" si="274"/>
        <v>0</v>
      </c>
      <c r="GP284">
        <f t="shared" si="275"/>
        <v>0</v>
      </c>
      <c r="GR284">
        <v>1</v>
      </c>
      <c r="GS284">
        <v>1</v>
      </c>
      <c r="GT284">
        <v>0</v>
      </c>
      <c r="GU284" t="s">
        <v>3</v>
      </c>
      <c r="GV284">
        <f t="shared" si="276"/>
        <v>0</v>
      </c>
      <c r="GW284">
        <v>1</v>
      </c>
      <c r="GX284">
        <f t="shared" si="277"/>
        <v>0</v>
      </c>
      <c r="HA284">
        <v>0</v>
      </c>
      <c r="HB284">
        <v>0</v>
      </c>
      <c r="IK284">
        <v>0</v>
      </c>
    </row>
    <row r="285" spans="1:255" x14ac:dyDescent="0.2">
      <c r="A285" s="2">
        <v>18</v>
      </c>
      <c r="B285" s="2">
        <v>1</v>
      </c>
      <c r="C285" s="2">
        <v>258</v>
      </c>
      <c r="D285" s="2"/>
      <c r="E285" s="2" t="s">
        <v>366</v>
      </c>
      <c r="F285" s="2" t="s">
        <v>367</v>
      </c>
      <c r="G285" s="2" t="s">
        <v>368</v>
      </c>
      <c r="H285" s="2" t="s">
        <v>29</v>
      </c>
      <c r="I285" s="2">
        <f>I281*J285</f>
        <v>5.9999999999999995E-5</v>
      </c>
      <c r="J285" s="2">
        <v>7.0588235294117646E-2</v>
      </c>
      <c r="K285" s="2"/>
      <c r="L285" s="2"/>
      <c r="M285" s="2"/>
      <c r="N285" s="2"/>
      <c r="O285" s="2">
        <f t="shared" si="244"/>
        <v>2.6</v>
      </c>
      <c r="P285" s="2">
        <f t="shared" si="245"/>
        <v>2.6</v>
      </c>
      <c r="Q285" s="2">
        <f t="shared" si="246"/>
        <v>0</v>
      </c>
      <c r="R285" s="2">
        <f t="shared" si="247"/>
        <v>0</v>
      </c>
      <c r="S285" s="2">
        <f t="shared" si="248"/>
        <v>0</v>
      </c>
      <c r="T285" s="2">
        <f t="shared" si="249"/>
        <v>0</v>
      </c>
      <c r="U285" s="2">
        <f t="shared" si="250"/>
        <v>0</v>
      </c>
      <c r="V285" s="2">
        <f t="shared" si="251"/>
        <v>0</v>
      </c>
      <c r="W285" s="2">
        <f t="shared" si="252"/>
        <v>0</v>
      </c>
      <c r="X285" s="2">
        <f t="shared" si="253"/>
        <v>0</v>
      </c>
      <c r="Y285" s="2">
        <f t="shared" si="254"/>
        <v>0</v>
      </c>
      <c r="Z285" s="2"/>
      <c r="AA285" s="2">
        <v>45037306</v>
      </c>
      <c r="AB285" s="2">
        <f t="shared" si="255"/>
        <v>43326.77</v>
      </c>
      <c r="AC285" s="2">
        <f t="shared" si="256"/>
        <v>43326.77</v>
      </c>
      <c r="AD285" s="2">
        <f t="shared" si="281"/>
        <v>0</v>
      </c>
      <c r="AE285" s="2">
        <f t="shared" si="281"/>
        <v>0</v>
      </c>
      <c r="AF285" s="2">
        <f t="shared" si="281"/>
        <v>0</v>
      </c>
      <c r="AG285" s="2">
        <f t="shared" si="257"/>
        <v>0</v>
      </c>
      <c r="AH285" s="2">
        <f t="shared" si="282"/>
        <v>0</v>
      </c>
      <c r="AI285" s="2">
        <f t="shared" si="282"/>
        <v>0</v>
      </c>
      <c r="AJ285" s="2">
        <f t="shared" si="258"/>
        <v>0</v>
      </c>
      <c r="AK285" s="2">
        <v>43326.77</v>
      </c>
      <c r="AL285" s="2">
        <v>43326.77</v>
      </c>
      <c r="AM285" s="2">
        <v>0</v>
      </c>
      <c r="AN285" s="2">
        <v>0</v>
      </c>
      <c r="AO285" s="2">
        <v>0</v>
      </c>
      <c r="AP285" s="2">
        <v>0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1</v>
      </c>
      <c r="AW285" s="2">
        <v>1</v>
      </c>
      <c r="AX285" s="2"/>
      <c r="AY285" s="2"/>
      <c r="AZ285" s="2">
        <v>1</v>
      </c>
      <c r="BA285" s="2">
        <v>1</v>
      </c>
      <c r="BB285" s="2">
        <v>1</v>
      </c>
      <c r="BC285" s="2">
        <v>1</v>
      </c>
      <c r="BD285" s="2" t="s">
        <v>3</v>
      </c>
      <c r="BE285" s="2" t="s">
        <v>3</v>
      </c>
      <c r="BF285" s="2" t="s">
        <v>3</v>
      </c>
      <c r="BG285" s="2" t="s">
        <v>3</v>
      </c>
      <c r="BH285" s="2">
        <v>3</v>
      </c>
      <c r="BI285" s="2">
        <v>1</v>
      </c>
      <c r="BJ285" s="2" t="s">
        <v>369</v>
      </c>
      <c r="BK285" s="2"/>
      <c r="BL285" s="2"/>
      <c r="BM285" s="2">
        <v>91</v>
      </c>
      <c r="BN285" s="2">
        <v>7156650</v>
      </c>
      <c r="BO285" s="2" t="s">
        <v>3</v>
      </c>
      <c r="BP285" s="2">
        <v>0</v>
      </c>
      <c r="BQ285" s="2">
        <v>30</v>
      </c>
      <c r="BR285" s="2">
        <v>0</v>
      </c>
      <c r="BS285" s="2">
        <v>1</v>
      </c>
      <c r="BT285" s="2">
        <v>1</v>
      </c>
      <c r="BU285" s="2">
        <v>1</v>
      </c>
      <c r="BV285" s="2">
        <v>1</v>
      </c>
      <c r="BW285" s="2">
        <v>1</v>
      </c>
      <c r="BX285" s="2">
        <v>1</v>
      </c>
      <c r="BY285" s="2" t="s">
        <v>3</v>
      </c>
      <c r="BZ285" s="2">
        <v>0</v>
      </c>
      <c r="CA285" s="2">
        <v>0</v>
      </c>
      <c r="CB285" s="2"/>
      <c r="CC285" s="2"/>
      <c r="CD285" s="2"/>
      <c r="CE285" s="2"/>
      <c r="CF285" s="2">
        <v>0</v>
      </c>
      <c r="CG285" s="2">
        <v>0</v>
      </c>
      <c r="CH285" s="2"/>
      <c r="CI285" s="2"/>
      <c r="CJ285" s="2"/>
      <c r="CK285" s="2"/>
      <c r="CL285" s="2"/>
      <c r="CM285" s="2">
        <v>0</v>
      </c>
      <c r="CN285" s="2" t="s">
        <v>3</v>
      </c>
      <c r="CO285" s="2">
        <v>0</v>
      </c>
      <c r="CP285" s="2">
        <f t="shared" si="259"/>
        <v>2.6</v>
      </c>
      <c r="CQ285" s="2">
        <f t="shared" si="260"/>
        <v>43326.77</v>
      </c>
      <c r="CR285" s="2">
        <f t="shared" si="261"/>
        <v>0</v>
      </c>
      <c r="CS285" s="2">
        <f t="shared" si="262"/>
        <v>0</v>
      </c>
      <c r="CT285" s="2">
        <f t="shared" si="263"/>
        <v>0</v>
      </c>
      <c r="CU285" s="2">
        <f t="shared" si="264"/>
        <v>0</v>
      </c>
      <c r="CV285" s="2">
        <f t="shared" si="265"/>
        <v>0</v>
      </c>
      <c r="CW285" s="2">
        <f t="shared" si="266"/>
        <v>0</v>
      </c>
      <c r="CX285" s="2">
        <f t="shared" si="267"/>
        <v>0</v>
      </c>
      <c r="CY285" s="2">
        <f t="shared" si="268"/>
        <v>0</v>
      </c>
      <c r="CZ285" s="2">
        <f t="shared" si="269"/>
        <v>0</v>
      </c>
      <c r="DA285" s="2"/>
      <c r="DB285" s="2"/>
      <c r="DC285" s="2" t="s">
        <v>3</v>
      </c>
      <c r="DD285" s="2" t="s">
        <v>3</v>
      </c>
      <c r="DE285" s="2" t="s">
        <v>3</v>
      </c>
      <c r="DF285" s="2" t="s">
        <v>3</v>
      </c>
      <c r="DG285" s="2" t="s">
        <v>3</v>
      </c>
      <c r="DH285" s="2" t="s">
        <v>3</v>
      </c>
      <c r="DI285" s="2" t="s">
        <v>3</v>
      </c>
      <c r="DJ285" s="2" t="s">
        <v>3</v>
      </c>
      <c r="DK285" s="2" t="s">
        <v>3</v>
      </c>
      <c r="DL285" s="2" t="s">
        <v>3</v>
      </c>
      <c r="DM285" s="2" t="s">
        <v>3</v>
      </c>
      <c r="DN285" s="2">
        <v>104</v>
      </c>
      <c r="DO285" s="2">
        <v>70</v>
      </c>
      <c r="DP285" s="2">
        <v>1.0469999999999999</v>
      </c>
      <c r="DQ285" s="2">
        <v>1</v>
      </c>
      <c r="DR285" s="2"/>
      <c r="DS285" s="2"/>
      <c r="DT285" s="2"/>
      <c r="DU285" s="2">
        <v>1009</v>
      </c>
      <c r="DV285" s="2" t="s">
        <v>29</v>
      </c>
      <c r="DW285" s="2" t="s">
        <v>29</v>
      </c>
      <c r="DX285" s="2">
        <v>1000</v>
      </c>
      <c r="DY285" s="2"/>
      <c r="DZ285" s="2"/>
      <c r="EA285" s="2"/>
      <c r="EB285" s="2"/>
      <c r="EC285" s="2"/>
      <c r="ED285" s="2"/>
      <c r="EE285" s="2">
        <v>44846598</v>
      </c>
      <c r="EF285" s="2">
        <v>30</v>
      </c>
      <c r="EG285" s="2" t="s">
        <v>38</v>
      </c>
      <c r="EH285" s="2">
        <v>0</v>
      </c>
      <c r="EI285" s="2" t="s">
        <v>3</v>
      </c>
      <c r="EJ285" s="2">
        <v>1</v>
      </c>
      <c r="EK285" s="2">
        <v>91</v>
      </c>
      <c r="EL285" s="2" t="s">
        <v>221</v>
      </c>
      <c r="EM285" s="2" t="s">
        <v>222</v>
      </c>
      <c r="EN285" s="2"/>
      <c r="EO285" s="2" t="s">
        <v>3</v>
      </c>
      <c r="EP285" s="2"/>
      <c r="EQ285" s="2">
        <v>0</v>
      </c>
      <c r="ER285" s="2">
        <v>43326.77</v>
      </c>
      <c r="ES285" s="2">
        <v>43326.77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>
        <v>0</v>
      </c>
      <c r="FR285" s="2">
        <f t="shared" si="270"/>
        <v>0</v>
      </c>
      <c r="FS285" s="2">
        <v>0</v>
      </c>
      <c r="FT285" s="2"/>
      <c r="FU285" s="2"/>
      <c r="FV285" s="2"/>
      <c r="FW285" s="2"/>
      <c r="FX285" s="2">
        <v>104</v>
      </c>
      <c r="FY285" s="2">
        <v>70</v>
      </c>
      <c r="FZ285" s="2"/>
      <c r="GA285" s="2" t="s">
        <v>3</v>
      </c>
      <c r="GB285" s="2"/>
      <c r="GC285" s="2"/>
      <c r="GD285" s="2">
        <v>0</v>
      </c>
      <c r="GE285" s="2"/>
      <c r="GF285" s="2">
        <v>2110379699</v>
      </c>
      <c r="GG285" s="2">
        <v>2</v>
      </c>
      <c r="GH285" s="2">
        <v>1</v>
      </c>
      <c r="GI285" s="2">
        <v>3</v>
      </c>
      <c r="GJ285" s="2">
        <v>0</v>
      </c>
      <c r="GK285" s="2">
        <f>ROUND(R285*(R12)/100,2)</f>
        <v>0</v>
      </c>
      <c r="GL285" s="2">
        <f t="shared" si="271"/>
        <v>0</v>
      </c>
      <c r="GM285" s="2">
        <f t="shared" si="272"/>
        <v>2.6</v>
      </c>
      <c r="GN285" s="2">
        <f t="shared" si="273"/>
        <v>2.6</v>
      </c>
      <c r="GO285" s="2">
        <f t="shared" si="274"/>
        <v>0</v>
      </c>
      <c r="GP285" s="2">
        <f t="shared" si="275"/>
        <v>0</v>
      </c>
      <c r="GQ285" s="2"/>
      <c r="GR285" s="2">
        <v>0</v>
      </c>
      <c r="GS285" s="2">
        <v>3</v>
      </c>
      <c r="GT285" s="2">
        <v>0</v>
      </c>
      <c r="GU285" s="2" t="s">
        <v>3</v>
      </c>
      <c r="GV285" s="2">
        <f t="shared" si="276"/>
        <v>0</v>
      </c>
      <c r="GW285" s="2">
        <v>1</v>
      </c>
      <c r="GX285" s="2">
        <f t="shared" si="277"/>
        <v>0</v>
      </c>
      <c r="GY285" s="2"/>
      <c r="GZ285" s="2"/>
      <c r="HA285" s="2">
        <v>0</v>
      </c>
      <c r="HB285" s="2">
        <v>0</v>
      </c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2"/>
      <c r="HZ285" s="2"/>
      <c r="IA285" s="2"/>
      <c r="IB285" s="2"/>
      <c r="IC285" s="2"/>
      <c r="ID285" s="2"/>
      <c r="IE285" s="2"/>
      <c r="IF285" s="2"/>
      <c r="IG285" s="2"/>
      <c r="IH285" s="2"/>
      <c r="II285" s="2"/>
      <c r="IJ285" s="2"/>
      <c r="IK285" s="2">
        <v>0</v>
      </c>
      <c r="IL285" s="2"/>
      <c r="IM285" s="2"/>
      <c r="IN285" s="2"/>
      <c r="IO285" s="2"/>
      <c r="IP285" s="2"/>
      <c r="IQ285" s="2"/>
      <c r="IR285" s="2"/>
      <c r="IS285" s="2"/>
      <c r="IT285" s="2"/>
      <c r="IU285" s="2"/>
    </row>
    <row r="286" spans="1:255" x14ac:dyDescent="0.2">
      <c r="A286">
        <v>18</v>
      </c>
      <c r="B286">
        <v>1</v>
      </c>
      <c r="C286">
        <v>262</v>
      </c>
      <c r="E286" t="s">
        <v>366</v>
      </c>
      <c r="F286" t="s">
        <v>367</v>
      </c>
      <c r="G286" t="s">
        <v>368</v>
      </c>
      <c r="H286" t="s">
        <v>29</v>
      </c>
      <c r="I286">
        <f>I282*J286</f>
        <v>5.9999999999999995E-5</v>
      </c>
      <c r="J286">
        <v>7.0588235294117646E-2</v>
      </c>
      <c r="O286">
        <f t="shared" si="244"/>
        <v>3.35</v>
      </c>
      <c r="P286">
        <f t="shared" si="245"/>
        <v>3.35</v>
      </c>
      <c r="Q286">
        <f t="shared" si="246"/>
        <v>0</v>
      </c>
      <c r="R286">
        <f t="shared" si="247"/>
        <v>0</v>
      </c>
      <c r="S286">
        <f t="shared" si="248"/>
        <v>0</v>
      </c>
      <c r="T286">
        <f t="shared" si="249"/>
        <v>0</v>
      </c>
      <c r="U286">
        <f t="shared" si="250"/>
        <v>0</v>
      </c>
      <c r="V286">
        <f t="shared" si="251"/>
        <v>0</v>
      </c>
      <c r="W286">
        <f t="shared" si="252"/>
        <v>0</v>
      </c>
      <c r="X286">
        <f t="shared" si="253"/>
        <v>0</v>
      </c>
      <c r="Y286">
        <f t="shared" si="254"/>
        <v>0</v>
      </c>
      <c r="AA286">
        <v>45037307</v>
      </c>
      <c r="AB286">
        <f t="shared" si="255"/>
        <v>43326.77</v>
      </c>
      <c r="AC286">
        <f t="shared" si="256"/>
        <v>43326.77</v>
      </c>
      <c r="AD286">
        <f t="shared" si="281"/>
        <v>0</v>
      </c>
      <c r="AE286">
        <f t="shared" si="281"/>
        <v>0</v>
      </c>
      <c r="AF286">
        <f t="shared" si="281"/>
        <v>0</v>
      </c>
      <c r="AG286">
        <f t="shared" si="257"/>
        <v>0</v>
      </c>
      <c r="AH286">
        <f t="shared" si="282"/>
        <v>0</v>
      </c>
      <c r="AI286">
        <f t="shared" si="282"/>
        <v>0</v>
      </c>
      <c r="AJ286">
        <f t="shared" si="258"/>
        <v>0</v>
      </c>
      <c r="AK286">
        <v>43326.77</v>
      </c>
      <c r="AL286">
        <v>43326.77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0</v>
      </c>
      <c r="AU286">
        <v>0</v>
      </c>
      <c r="AV286">
        <v>1</v>
      </c>
      <c r="AW286">
        <v>1</v>
      </c>
      <c r="AZ286">
        <v>1</v>
      </c>
      <c r="BA286">
        <v>1</v>
      </c>
      <c r="BB286">
        <v>1</v>
      </c>
      <c r="BC286">
        <v>1.29</v>
      </c>
      <c r="BD286" t="s">
        <v>3</v>
      </c>
      <c r="BE286" t="s">
        <v>3</v>
      </c>
      <c r="BF286" t="s">
        <v>3</v>
      </c>
      <c r="BG286" t="s">
        <v>3</v>
      </c>
      <c r="BH286">
        <v>3</v>
      </c>
      <c r="BI286">
        <v>1</v>
      </c>
      <c r="BJ286" t="s">
        <v>369</v>
      </c>
      <c r="BM286">
        <v>91</v>
      </c>
      <c r="BN286">
        <v>7156650</v>
      </c>
      <c r="BO286" t="s">
        <v>367</v>
      </c>
      <c r="BP286">
        <v>1</v>
      </c>
      <c r="BQ286">
        <v>30</v>
      </c>
      <c r="BR286">
        <v>0</v>
      </c>
      <c r="BS286">
        <v>1</v>
      </c>
      <c r="BT286">
        <v>1</v>
      </c>
      <c r="BU286">
        <v>1</v>
      </c>
      <c r="BV286">
        <v>1</v>
      </c>
      <c r="BW286">
        <v>1</v>
      </c>
      <c r="BX286">
        <v>1</v>
      </c>
      <c r="BY286" t="s">
        <v>3</v>
      </c>
      <c r="BZ286">
        <v>0</v>
      </c>
      <c r="CA286">
        <v>0</v>
      </c>
      <c r="CF286">
        <v>0</v>
      </c>
      <c r="CG286">
        <v>0</v>
      </c>
      <c r="CM286">
        <v>0</v>
      </c>
      <c r="CN286" t="s">
        <v>3</v>
      </c>
      <c r="CO286">
        <v>0</v>
      </c>
      <c r="CP286">
        <f t="shared" si="259"/>
        <v>3.35</v>
      </c>
      <c r="CQ286">
        <f t="shared" si="260"/>
        <v>55891.533299999996</v>
      </c>
      <c r="CR286">
        <f t="shared" si="261"/>
        <v>0</v>
      </c>
      <c r="CS286">
        <f t="shared" si="262"/>
        <v>0</v>
      </c>
      <c r="CT286">
        <f t="shared" si="263"/>
        <v>0</v>
      </c>
      <c r="CU286">
        <f t="shared" si="264"/>
        <v>0</v>
      </c>
      <c r="CV286">
        <f t="shared" si="265"/>
        <v>0</v>
      </c>
      <c r="CW286">
        <f t="shared" si="266"/>
        <v>0</v>
      </c>
      <c r="CX286">
        <f t="shared" si="267"/>
        <v>0</v>
      </c>
      <c r="CY286">
        <f t="shared" si="268"/>
        <v>0</v>
      </c>
      <c r="CZ286">
        <f t="shared" si="269"/>
        <v>0</v>
      </c>
      <c r="DC286" t="s">
        <v>3</v>
      </c>
      <c r="DD286" t="s">
        <v>3</v>
      </c>
      <c r="DE286" t="s">
        <v>3</v>
      </c>
      <c r="DF286" t="s">
        <v>3</v>
      </c>
      <c r="DG286" t="s">
        <v>3</v>
      </c>
      <c r="DH286" t="s">
        <v>3</v>
      </c>
      <c r="DI286" t="s">
        <v>3</v>
      </c>
      <c r="DJ286" t="s">
        <v>3</v>
      </c>
      <c r="DK286" t="s">
        <v>3</v>
      </c>
      <c r="DL286" t="s">
        <v>3</v>
      </c>
      <c r="DM286" t="s">
        <v>3</v>
      </c>
      <c r="DN286">
        <v>104</v>
      </c>
      <c r="DO286">
        <v>70</v>
      </c>
      <c r="DP286">
        <v>1.0469999999999999</v>
      </c>
      <c r="DQ286">
        <v>1</v>
      </c>
      <c r="DU286">
        <v>1009</v>
      </c>
      <c r="DV286" t="s">
        <v>29</v>
      </c>
      <c r="DW286" t="s">
        <v>29</v>
      </c>
      <c r="DX286">
        <v>1000</v>
      </c>
      <c r="EE286">
        <v>44846598</v>
      </c>
      <c r="EF286">
        <v>30</v>
      </c>
      <c r="EG286" t="s">
        <v>38</v>
      </c>
      <c r="EH286">
        <v>0</v>
      </c>
      <c r="EI286" t="s">
        <v>3</v>
      </c>
      <c r="EJ286">
        <v>1</v>
      </c>
      <c r="EK286">
        <v>91</v>
      </c>
      <c r="EL286" t="s">
        <v>221</v>
      </c>
      <c r="EM286" t="s">
        <v>222</v>
      </c>
      <c r="EO286" t="s">
        <v>3</v>
      </c>
      <c r="EQ286">
        <v>0</v>
      </c>
      <c r="ER286">
        <v>43326.77</v>
      </c>
      <c r="ES286">
        <v>43326.77</v>
      </c>
      <c r="ET286">
        <v>0</v>
      </c>
      <c r="EU286">
        <v>0</v>
      </c>
      <c r="EV286">
        <v>0</v>
      </c>
      <c r="EW286">
        <v>0</v>
      </c>
      <c r="EX286">
        <v>0</v>
      </c>
      <c r="FQ286">
        <v>0</v>
      </c>
      <c r="FR286">
        <f t="shared" si="270"/>
        <v>0</v>
      </c>
      <c r="FS286">
        <v>0</v>
      </c>
      <c r="FX286">
        <v>104</v>
      </c>
      <c r="FY286">
        <v>70</v>
      </c>
      <c r="GA286" t="s">
        <v>3</v>
      </c>
      <c r="GD286">
        <v>0</v>
      </c>
      <c r="GF286">
        <v>2110379699</v>
      </c>
      <c r="GG286">
        <v>2</v>
      </c>
      <c r="GH286">
        <v>1</v>
      </c>
      <c r="GI286">
        <v>3</v>
      </c>
      <c r="GJ286">
        <v>0</v>
      </c>
      <c r="GK286">
        <f>ROUND(R286*(S12)/100,2)</f>
        <v>0</v>
      </c>
      <c r="GL286">
        <f t="shared" si="271"/>
        <v>0</v>
      </c>
      <c r="GM286">
        <f t="shared" si="272"/>
        <v>3.35</v>
      </c>
      <c r="GN286">
        <f t="shared" si="273"/>
        <v>3.35</v>
      </c>
      <c r="GO286">
        <f t="shared" si="274"/>
        <v>0</v>
      </c>
      <c r="GP286">
        <f t="shared" si="275"/>
        <v>0</v>
      </c>
      <c r="GR286">
        <v>0</v>
      </c>
      <c r="GS286">
        <v>3</v>
      </c>
      <c r="GT286">
        <v>0</v>
      </c>
      <c r="GU286" t="s">
        <v>3</v>
      </c>
      <c r="GV286">
        <f t="shared" si="276"/>
        <v>0</v>
      </c>
      <c r="GW286">
        <v>1</v>
      </c>
      <c r="GX286">
        <f t="shared" si="277"/>
        <v>0</v>
      </c>
      <c r="HA286">
        <v>0</v>
      </c>
      <c r="HB286">
        <v>0</v>
      </c>
      <c r="IK286">
        <v>0</v>
      </c>
    </row>
    <row r="287" spans="1:255" x14ac:dyDescent="0.2">
      <c r="A287" s="2">
        <v>17</v>
      </c>
      <c r="B287" s="2">
        <v>1</v>
      </c>
      <c r="C287" s="2">
        <f>ROW(SmtRes!A269)</f>
        <v>269</v>
      </c>
      <c r="D287" s="2">
        <f>ROW(EtalonRes!A265)</f>
        <v>265</v>
      </c>
      <c r="E287" s="2" t="s">
        <v>370</v>
      </c>
      <c r="F287" s="2" t="s">
        <v>371</v>
      </c>
      <c r="G287" s="2" t="s">
        <v>372</v>
      </c>
      <c r="H287" s="2" t="s">
        <v>304</v>
      </c>
      <c r="I287" s="2">
        <v>10</v>
      </c>
      <c r="J287" s="2">
        <v>0</v>
      </c>
      <c r="K287" s="2"/>
      <c r="L287" s="2"/>
      <c r="M287" s="2"/>
      <c r="N287" s="2"/>
      <c r="O287" s="2">
        <f t="shared" si="244"/>
        <v>13.32</v>
      </c>
      <c r="P287" s="2">
        <f t="shared" si="245"/>
        <v>1.7</v>
      </c>
      <c r="Q287" s="2">
        <f t="shared" si="246"/>
        <v>0</v>
      </c>
      <c r="R287" s="2">
        <f t="shared" si="247"/>
        <v>0</v>
      </c>
      <c r="S287" s="2">
        <f t="shared" si="248"/>
        <v>11.62</v>
      </c>
      <c r="T287" s="2">
        <f t="shared" si="249"/>
        <v>0</v>
      </c>
      <c r="U287" s="2">
        <f t="shared" si="250"/>
        <v>1.0349999999999999</v>
      </c>
      <c r="V287" s="2">
        <f t="shared" si="251"/>
        <v>0</v>
      </c>
      <c r="W287" s="2">
        <f t="shared" si="252"/>
        <v>0</v>
      </c>
      <c r="X287" s="2">
        <f t="shared" si="253"/>
        <v>0</v>
      </c>
      <c r="Y287" s="2">
        <f t="shared" si="254"/>
        <v>0</v>
      </c>
      <c r="Z287" s="2"/>
      <c r="AA287" s="2">
        <v>45037306</v>
      </c>
      <c r="AB287" s="2">
        <f t="shared" si="255"/>
        <v>1.3314999999999999</v>
      </c>
      <c r="AC287" s="2">
        <f t="shared" si="256"/>
        <v>0.17</v>
      </c>
      <c r="AD287" s="2">
        <f>ROUND(((ET287*1.25)),6)</f>
        <v>0</v>
      </c>
      <c r="AE287" s="2">
        <f>ROUND(((EU287*1.25)),6)</f>
        <v>0</v>
      </c>
      <c r="AF287" s="2">
        <f>ROUND(((EV287*1.15)),6)</f>
        <v>1.1615</v>
      </c>
      <c r="AG287" s="2">
        <f t="shared" si="257"/>
        <v>0</v>
      </c>
      <c r="AH287" s="2">
        <f>((EW287*1.15))</f>
        <v>0.10349999999999999</v>
      </c>
      <c r="AI287" s="2">
        <f>((EX287*1.25))</f>
        <v>0</v>
      </c>
      <c r="AJ287" s="2">
        <f t="shared" si="258"/>
        <v>0</v>
      </c>
      <c r="AK287" s="2">
        <v>1.18</v>
      </c>
      <c r="AL287" s="2">
        <v>0.17</v>
      </c>
      <c r="AM287" s="2">
        <v>0</v>
      </c>
      <c r="AN287" s="2">
        <v>0</v>
      </c>
      <c r="AO287" s="2">
        <v>1.01</v>
      </c>
      <c r="AP287" s="2">
        <v>0</v>
      </c>
      <c r="AQ287" s="2">
        <v>0.09</v>
      </c>
      <c r="AR287" s="2">
        <v>0</v>
      </c>
      <c r="AS287" s="2">
        <v>0</v>
      </c>
      <c r="AT287" s="2">
        <v>0</v>
      </c>
      <c r="AU287" s="2">
        <v>0</v>
      </c>
      <c r="AV287" s="2">
        <v>1</v>
      </c>
      <c r="AW287" s="2">
        <v>1</v>
      </c>
      <c r="AX287" s="2"/>
      <c r="AY287" s="2"/>
      <c r="AZ287" s="2">
        <v>1</v>
      </c>
      <c r="BA287" s="2">
        <v>1</v>
      </c>
      <c r="BB287" s="2">
        <v>1</v>
      </c>
      <c r="BC287" s="2">
        <v>1</v>
      </c>
      <c r="BD287" s="2" t="s">
        <v>3</v>
      </c>
      <c r="BE287" s="2" t="s">
        <v>3</v>
      </c>
      <c r="BF287" s="2" t="s">
        <v>3</v>
      </c>
      <c r="BG287" s="2" t="s">
        <v>3</v>
      </c>
      <c r="BH287" s="2">
        <v>0</v>
      </c>
      <c r="BI287" s="2">
        <v>1</v>
      </c>
      <c r="BJ287" s="2" t="s">
        <v>373</v>
      </c>
      <c r="BK287" s="2"/>
      <c r="BL287" s="2"/>
      <c r="BM287" s="2">
        <v>80</v>
      </c>
      <c r="BN287" s="2">
        <v>7156650</v>
      </c>
      <c r="BO287" s="2" t="s">
        <v>3</v>
      </c>
      <c r="BP287" s="2">
        <v>0</v>
      </c>
      <c r="BQ287" s="2">
        <v>30</v>
      </c>
      <c r="BR287" s="2">
        <v>0</v>
      </c>
      <c r="BS287" s="2">
        <v>1</v>
      </c>
      <c r="BT287" s="2">
        <v>1</v>
      </c>
      <c r="BU287" s="2">
        <v>1</v>
      </c>
      <c r="BV287" s="2">
        <v>1</v>
      </c>
      <c r="BW287" s="2">
        <v>1</v>
      </c>
      <c r="BX287" s="2">
        <v>1</v>
      </c>
      <c r="BY287" s="2" t="s">
        <v>3</v>
      </c>
      <c r="BZ287" s="2">
        <v>0</v>
      </c>
      <c r="CA287" s="2">
        <v>0</v>
      </c>
      <c r="CB287" s="2"/>
      <c r="CC287" s="2"/>
      <c r="CD287" s="2"/>
      <c r="CE287" s="2"/>
      <c r="CF287" s="2">
        <v>0</v>
      </c>
      <c r="CG287" s="2">
        <v>0</v>
      </c>
      <c r="CH287" s="2"/>
      <c r="CI287" s="2"/>
      <c r="CJ287" s="2"/>
      <c r="CK287" s="2"/>
      <c r="CL287" s="2"/>
      <c r="CM287" s="2">
        <v>0</v>
      </c>
      <c r="CN287" s="2" t="s">
        <v>3</v>
      </c>
      <c r="CO287" s="2">
        <v>0</v>
      </c>
      <c r="CP287" s="2">
        <f t="shared" si="259"/>
        <v>13.319999999999999</v>
      </c>
      <c r="CQ287" s="2">
        <f t="shared" si="260"/>
        <v>0.17</v>
      </c>
      <c r="CR287" s="2">
        <f t="shared" si="261"/>
        <v>0</v>
      </c>
      <c r="CS287" s="2">
        <f t="shared" si="262"/>
        <v>0</v>
      </c>
      <c r="CT287" s="2">
        <f t="shared" si="263"/>
        <v>1.1615</v>
      </c>
      <c r="CU287" s="2">
        <f t="shared" si="264"/>
        <v>0</v>
      </c>
      <c r="CV287" s="2">
        <f t="shared" si="265"/>
        <v>0.10349999999999999</v>
      </c>
      <c r="CW287" s="2">
        <f t="shared" si="266"/>
        <v>0</v>
      </c>
      <c r="CX287" s="2">
        <f t="shared" si="267"/>
        <v>0</v>
      </c>
      <c r="CY287" s="2">
        <f t="shared" si="268"/>
        <v>0</v>
      </c>
      <c r="CZ287" s="2">
        <f t="shared" si="269"/>
        <v>0</v>
      </c>
      <c r="DA287" s="2"/>
      <c r="DB287" s="2"/>
      <c r="DC287" s="2" t="s">
        <v>3</v>
      </c>
      <c r="DD287" s="2" t="s">
        <v>3</v>
      </c>
      <c r="DE287" s="2" t="s">
        <v>36</v>
      </c>
      <c r="DF287" s="2" t="s">
        <v>36</v>
      </c>
      <c r="DG287" s="2" t="s">
        <v>37</v>
      </c>
      <c r="DH287" s="2" t="s">
        <v>3</v>
      </c>
      <c r="DI287" s="2" t="s">
        <v>37</v>
      </c>
      <c r="DJ287" s="2" t="s">
        <v>36</v>
      </c>
      <c r="DK287" s="2" t="s">
        <v>3</v>
      </c>
      <c r="DL287" s="2" t="s">
        <v>3</v>
      </c>
      <c r="DM287" s="2" t="s">
        <v>3</v>
      </c>
      <c r="DN287" s="2">
        <v>85</v>
      </c>
      <c r="DO287" s="2">
        <v>70</v>
      </c>
      <c r="DP287" s="2">
        <v>1.087</v>
      </c>
      <c r="DQ287" s="2">
        <v>1</v>
      </c>
      <c r="DR287" s="2"/>
      <c r="DS287" s="2"/>
      <c r="DT287" s="2"/>
      <c r="DU287" s="2">
        <v>1010</v>
      </c>
      <c r="DV287" s="2" t="s">
        <v>304</v>
      </c>
      <c r="DW287" s="2" t="s">
        <v>304</v>
      </c>
      <c r="DX287" s="2">
        <v>1</v>
      </c>
      <c r="DY287" s="2"/>
      <c r="DZ287" s="2"/>
      <c r="EA287" s="2"/>
      <c r="EB287" s="2"/>
      <c r="EC287" s="2"/>
      <c r="ED287" s="2"/>
      <c r="EE287" s="2">
        <v>44846587</v>
      </c>
      <c r="EF287" s="2">
        <v>30</v>
      </c>
      <c r="EG287" s="2" t="s">
        <v>38</v>
      </c>
      <c r="EH287" s="2">
        <v>0</v>
      </c>
      <c r="EI287" s="2" t="s">
        <v>3</v>
      </c>
      <c r="EJ287" s="2">
        <v>1</v>
      </c>
      <c r="EK287" s="2">
        <v>80</v>
      </c>
      <c r="EL287" s="2" t="s">
        <v>179</v>
      </c>
      <c r="EM287" s="2" t="s">
        <v>180</v>
      </c>
      <c r="EN287" s="2"/>
      <c r="EO287" s="2" t="s">
        <v>3</v>
      </c>
      <c r="EP287" s="2"/>
      <c r="EQ287" s="2">
        <v>131072</v>
      </c>
      <c r="ER287" s="2">
        <v>1.18</v>
      </c>
      <c r="ES287" s="2">
        <v>0.17</v>
      </c>
      <c r="ET287" s="2">
        <v>0</v>
      </c>
      <c r="EU287" s="2">
        <v>0</v>
      </c>
      <c r="EV287" s="2">
        <v>1.01</v>
      </c>
      <c r="EW287" s="2">
        <v>0.09</v>
      </c>
      <c r="EX287" s="2">
        <v>0</v>
      </c>
      <c r="EY287" s="2">
        <v>0</v>
      </c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>
        <v>0</v>
      </c>
      <c r="FR287" s="2">
        <f t="shared" si="270"/>
        <v>0</v>
      </c>
      <c r="FS287" s="2">
        <v>0</v>
      </c>
      <c r="FT287" s="2"/>
      <c r="FU287" s="2"/>
      <c r="FV287" s="2"/>
      <c r="FW287" s="2"/>
      <c r="FX287" s="2">
        <v>85</v>
      </c>
      <c r="FY287" s="2">
        <v>70</v>
      </c>
      <c r="FZ287" s="2"/>
      <c r="GA287" s="2" t="s">
        <v>3</v>
      </c>
      <c r="GB287" s="2"/>
      <c r="GC287" s="2"/>
      <c r="GD287" s="2">
        <v>0</v>
      </c>
      <c r="GE287" s="2"/>
      <c r="GF287" s="2">
        <v>1207502363</v>
      </c>
      <c r="GG287" s="2">
        <v>2</v>
      </c>
      <c r="GH287" s="2">
        <v>1</v>
      </c>
      <c r="GI287" s="2">
        <v>3</v>
      </c>
      <c r="GJ287" s="2">
        <v>0</v>
      </c>
      <c r="GK287" s="2">
        <f>ROUND(R287*(R12)/100,2)</f>
        <v>0</v>
      </c>
      <c r="GL287" s="2">
        <f t="shared" si="271"/>
        <v>0</v>
      </c>
      <c r="GM287" s="2">
        <f t="shared" si="272"/>
        <v>13.32</v>
      </c>
      <c r="GN287" s="2">
        <f t="shared" si="273"/>
        <v>13.32</v>
      </c>
      <c r="GO287" s="2">
        <f t="shared" si="274"/>
        <v>0</v>
      </c>
      <c r="GP287" s="2">
        <f t="shared" si="275"/>
        <v>0</v>
      </c>
      <c r="GQ287" s="2"/>
      <c r="GR287" s="2">
        <v>0</v>
      </c>
      <c r="GS287" s="2">
        <v>3</v>
      </c>
      <c r="GT287" s="2">
        <v>0</v>
      </c>
      <c r="GU287" s="2" t="s">
        <v>3</v>
      </c>
      <c r="GV287" s="2">
        <f t="shared" si="276"/>
        <v>0</v>
      </c>
      <c r="GW287" s="2">
        <v>1</v>
      </c>
      <c r="GX287" s="2">
        <f t="shared" si="277"/>
        <v>0</v>
      </c>
      <c r="GY287" s="2"/>
      <c r="GZ287" s="2"/>
      <c r="HA287" s="2">
        <v>0</v>
      </c>
      <c r="HB287" s="2">
        <v>0</v>
      </c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2"/>
      <c r="HZ287" s="2"/>
      <c r="IA287" s="2"/>
      <c r="IB287" s="2"/>
      <c r="IC287" s="2"/>
      <c r="ID287" s="2"/>
      <c r="IE287" s="2"/>
      <c r="IF287" s="2"/>
      <c r="IG287" s="2"/>
      <c r="IH287" s="2"/>
      <c r="II287" s="2"/>
      <c r="IJ287" s="2"/>
      <c r="IK287" s="2">
        <v>0</v>
      </c>
      <c r="IL287" s="2"/>
      <c r="IM287" s="2"/>
      <c r="IN287" s="2"/>
      <c r="IO287" s="2"/>
      <c r="IP287" s="2"/>
      <c r="IQ287" s="2"/>
      <c r="IR287" s="2"/>
      <c r="IS287" s="2"/>
      <c r="IT287" s="2"/>
      <c r="IU287" s="2"/>
    </row>
    <row r="288" spans="1:255" x14ac:dyDescent="0.2">
      <c r="A288">
        <v>17</v>
      </c>
      <c r="B288">
        <v>1</v>
      </c>
      <c r="C288">
        <f>ROW(SmtRes!A274)</f>
        <v>274</v>
      </c>
      <c r="D288">
        <f>ROW(EtalonRes!A268)</f>
        <v>268</v>
      </c>
      <c r="E288" t="s">
        <v>370</v>
      </c>
      <c r="F288" t="s">
        <v>371</v>
      </c>
      <c r="G288" t="s">
        <v>372</v>
      </c>
      <c r="H288" t="s">
        <v>304</v>
      </c>
      <c r="I288">
        <v>10</v>
      </c>
      <c r="J288">
        <v>0</v>
      </c>
      <c r="O288">
        <f t="shared" si="244"/>
        <v>250.45</v>
      </c>
      <c r="P288">
        <f t="shared" si="245"/>
        <v>13.5</v>
      </c>
      <c r="Q288">
        <f t="shared" si="246"/>
        <v>0</v>
      </c>
      <c r="R288">
        <f t="shared" si="247"/>
        <v>0</v>
      </c>
      <c r="S288">
        <f t="shared" si="248"/>
        <v>236.95</v>
      </c>
      <c r="T288">
        <f t="shared" si="249"/>
        <v>0</v>
      </c>
      <c r="U288">
        <f t="shared" si="250"/>
        <v>1.0349999999999999</v>
      </c>
      <c r="V288">
        <f t="shared" si="251"/>
        <v>0</v>
      </c>
      <c r="W288">
        <f t="shared" si="252"/>
        <v>0</v>
      </c>
      <c r="X288">
        <f t="shared" si="253"/>
        <v>161.13</v>
      </c>
      <c r="Y288">
        <f t="shared" si="254"/>
        <v>97.15</v>
      </c>
      <c r="AA288">
        <v>45037307</v>
      </c>
      <c r="AB288">
        <f t="shared" si="255"/>
        <v>1.3314999999999999</v>
      </c>
      <c r="AC288">
        <f t="shared" si="256"/>
        <v>0.17</v>
      </c>
      <c r="AD288">
        <f>ROUND(((ET288*1.25)),6)</f>
        <v>0</v>
      </c>
      <c r="AE288">
        <f>ROUND(((EU288*1.25)),6)</f>
        <v>0</v>
      </c>
      <c r="AF288">
        <f>ROUND(((EV288*1.15)),6)</f>
        <v>1.1615</v>
      </c>
      <c r="AG288">
        <f t="shared" si="257"/>
        <v>0</v>
      </c>
      <c r="AH288">
        <f>((EW288*1.15))</f>
        <v>0.10349999999999999</v>
      </c>
      <c r="AI288">
        <f>((EX288*1.25))</f>
        <v>0</v>
      </c>
      <c r="AJ288">
        <f t="shared" si="258"/>
        <v>0</v>
      </c>
      <c r="AK288">
        <v>1.18</v>
      </c>
      <c r="AL288">
        <v>0.17</v>
      </c>
      <c r="AM288">
        <v>0</v>
      </c>
      <c r="AN288">
        <v>0</v>
      </c>
      <c r="AO288">
        <v>1.01</v>
      </c>
      <c r="AP288">
        <v>0</v>
      </c>
      <c r="AQ288">
        <v>0.09</v>
      </c>
      <c r="AR288">
        <v>0</v>
      </c>
      <c r="AS288">
        <v>0</v>
      </c>
      <c r="AT288">
        <v>68</v>
      </c>
      <c r="AU288">
        <v>41</v>
      </c>
      <c r="AV288">
        <v>1</v>
      </c>
      <c r="AW288">
        <v>1</v>
      </c>
      <c r="AZ288">
        <v>1</v>
      </c>
      <c r="BA288">
        <v>20.399999999999999</v>
      </c>
      <c r="BB288">
        <v>1</v>
      </c>
      <c r="BC288">
        <v>7.94</v>
      </c>
      <c r="BD288" t="s">
        <v>3</v>
      </c>
      <c r="BE288" t="s">
        <v>3</v>
      </c>
      <c r="BF288" t="s">
        <v>3</v>
      </c>
      <c r="BG288" t="s">
        <v>3</v>
      </c>
      <c r="BH288">
        <v>0</v>
      </c>
      <c r="BI288">
        <v>1</v>
      </c>
      <c r="BJ288" t="s">
        <v>373</v>
      </c>
      <c r="BM288">
        <v>80</v>
      </c>
      <c r="BN288">
        <v>7156650</v>
      </c>
      <c r="BO288" t="s">
        <v>371</v>
      </c>
      <c r="BP288">
        <v>1</v>
      </c>
      <c r="BQ288">
        <v>30</v>
      </c>
      <c r="BR288">
        <v>0</v>
      </c>
      <c r="BS288">
        <v>20.399999999999999</v>
      </c>
      <c r="BT288">
        <v>1</v>
      </c>
      <c r="BU288">
        <v>1</v>
      </c>
      <c r="BV288">
        <v>1</v>
      </c>
      <c r="BW288">
        <v>1</v>
      </c>
      <c r="BX288">
        <v>1</v>
      </c>
      <c r="BY288" t="s">
        <v>3</v>
      </c>
      <c r="BZ288">
        <v>68</v>
      </c>
      <c r="CA288">
        <v>41</v>
      </c>
      <c r="CF288">
        <v>0</v>
      </c>
      <c r="CG288">
        <v>0</v>
      </c>
      <c r="CM288">
        <v>0</v>
      </c>
      <c r="CN288" t="s">
        <v>3</v>
      </c>
      <c r="CO288">
        <v>0</v>
      </c>
      <c r="CP288">
        <f t="shared" si="259"/>
        <v>250.45</v>
      </c>
      <c r="CQ288">
        <f t="shared" si="260"/>
        <v>1.3498000000000001</v>
      </c>
      <c r="CR288">
        <f t="shared" si="261"/>
        <v>0</v>
      </c>
      <c r="CS288">
        <f t="shared" si="262"/>
        <v>0</v>
      </c>
      <c r="CT288">
        <f t="shared" si="263"/>
        <v>23.694599999999998</v>
      </c>
      <c r="CU288">
        <f t="shared" si="264"/>
        <v>0</v>
      </c>
      <c r="CV288">
        <f t="shared" si="265"/>
        <v>0.10349999999999999</v>
      </c>
      <c r="CW288">
        <f t="shared" si="266"/>
        <v>0</v>
      </c>
      <c r="CX288">
        <f t="shared" si="267"/>
        <v>0</v>
      </c>
      <c r="CY288">
        <f t="shared" si="268"/>
        <v>161.126</v>
      </c>
      <c r="CZ288">
        <f t="shared" si="269"/>
        <v>97.149499999999989</v>
      </c>
      <c r="DC288" t="s">
        <v>3</v>
      </c>
      <c r="DD288" t="s">
        <v>3</v>
      </c>
      <c r="DE288" t="s">
        <v>36</v>
      </c>
      <c r="DF288" t="s">
        <v>36</v>
      </c>
      <c r="DG288" t="s">
        <v>37</v>
      </c>
      <c r="DH288" t="s">
        <v>3</v>
      </c>
      <c r="DI288" t="s">
        <v>37</v>
      </c>
      <c r="DJ288" t="s">
        <v>36</v>
      </c>
      <c r="DK288" t="s">
        <v>3</v>
      </c>
      <c r="DL288" t="s">
        <v>3</v>
      </c>
      <c r="DM288" t="s">
        <v>3</v>
      </c>
      <c r="DN288">
        <v>85</v>
      </c>
      <c r="DO288">
        <v>70</v>
      </c>
      <c r="DP288">
        <v>1.087</v>
      </c>
      <c r="DQ288">
        <v>1</v>
      </c>
      <c r="DU288">
        <v>1010</v>
      </c>
      <c r="DV288" t="s">
        <v>304</v>
      </c>
      <c r="DW288" t="s">
        <v>304</v>
      </c>
      <c r="DX288">
        <v>1</v>
      </c>
      <c r="EE288">
        <v>44846587</v>
      </c>
      <c r="EF288">
        <v>30</v>
      </c>
      <c r="EG288" t="s">
        <v>38</v>
      </c>
      <c r="EH288">
        <v>0</v>
      </c>
      <c r="EI288" t="s">
        <v>3</v>
      </c>
      <c r="EJ288">
        <v>1</v>
      </c>
      <c r="EK288">
        <v>80</v>
      </c>
      <c r="EL288" t="s">
        <v>179</v>
      </c>
      <c r="EM288" t="s">
        <v>180</v>
      </c>
      <c r="EO288" t="s">
        <v>3</v>
      </c>
      <c r="EQ288">
        <v>131072</v>
      </c>
      <c r="ER288">
        <v>1.18</v>
      </c>
      <c r="ES288">
        <v>0.17</v>
      </c>
      <c r="ET288">
        <v>0</v>
      </c>
      <c r="EU288">
        <v>0</v>
      </c>
      <c r="EV288">
        <v>1.01</v>
      </c>
      <c r="EW288">
        <v>0.09</v>
      </c>
      <c r="EX288">
        <v>0</v>
      </c>
      <c r="EY288">
        <v>0</v>
      </c>
      <c r="FQ288">
        <v>0</v>
      </c>
      <c r="FR288">
        <f t="shared" si="270"/>
        <v>0</v>
      </c>
      <c r="FS288">
        <v>0</v>
      </c>
      <c r="FX288">
        <v>85</v>
      </c>
      <c r="FY288">
        <v>70</v>
      </c>
      <c r="GA288" t="s">
        <v>3</v>
      </c>
      <c r="GD288">
        <v>0</v>
      </c>
      <c r="GF288">
        <v>1207502363</v>
      </c>
      <c r="GG288">
        <v>2</v>
      </c>
      <c r="GH288">
        <v>1</v>
      </c>
      <c r="GI288">
        <v>3</v>
      </c>
      <c r="GJ288">
        <v>0</v>
      </c>
      <c r="GK288">
        <f>ROUND(R288*(S12)/100,2)</f>
        <v>0</v>
      </c>
      <c r="GL288">
        <f t="shared" si="271"/>
        <v>0</v>
      </c>
      <c r="GM288">
        <f t="shared" si="272"/>
        <v>508.73</v>
      </c>
      <c r="GN288">
        <f t="shared" si="273"/>
        <v>508.73</v>
      </c>
      <c r="GO288">
        <f t="shared" si="274"/>
        <v>0</v>
      </c>
      <c r="GP288">
        <f t="shared" si="275"/>
        <v>0</v>
      </c>
      <c r="GR288">
        <v>0</v>
      </c>
      <c r="GS288">
        <v>3</v>
      </c>
      <c r="GT288">
        <v>0</v>
      </c>
      <c r="GU288" t="s">
        <v>3</v>
      </c>
      <c r="GV288">
        <f t="shared" si="276"/>
        <v>0</v>
      </c>
      <c r="GW288">
        <v>1</v>
      </c>
      <c r="GX288">
        <f t="shared" si="277"/>
        <v>0</v>
      </c>
      <c r="HA288">
        <v>0</v>
      </c>
      <c r="HB288">
        <v>0</v>
      </c>
      <c r="IK288">
        <v>0</v>
      </c>
    </row>
    <row r="289" spans="1:255" x14ac:dyDescent="0.2">
      <c r="A289" s="2">
        <v>18</v>
      </c>
      <c r="B289" s="2">
        <v>1</v>
      </c>
      <c r="C289" s="2">
        <v>267</v>
      </c>
      <c r="D289" s="2"/>
      <c r="E289" s="2" t="s">
        <v>374</v>
      </c>
      <c r="F289" s="2" t="s">
        <v>375</v>
      </c>
      <c r="G289" s="2" t="s">
        <v>376</v>
      </c>
      <c r="H289" s="2" t="s">
        <v>304</v>
      </c>
      <c r="I289" s="2">
        <f>I287*J289</f>
        <v>2</v>
      </c>
      <c r="J289" s="2">
        <v>0.2</v>
      </c>
      <c r="K289" s="2"/>
      <c r="L289" s="2"/>
      <c r="M289" s="2"/>
      <c r="N289" s="2"/>
      <c r="O289" s="2">
        <f t="shared" si="244"/>
        <v>140.5</v>
      </c>
      <c r="P289" s="2">
        <f t="shared" si="245"/>
        <v>140.5</v>
      </c>
      <c r="Q289" s="2">
        <f t="shared" si="246"/>
        <v>0</v>
      </c>
      <c r="R289" s="2">
        <f t="shared" si="247"/>
        <v>0</v>
      </c>
      <c r="S289" s="2">
        <f t="shared" si="248"/>
        <v>0</v>
      </c>
      <c r="T289" s="2">
        <f t="shared" si="249"/>
        <v>0</v>
      </c>
      <c r="U289" s="2">
        <f t="shared" si="250"/>
        <v>0</v>
      </c>
      <c r="V289" s="2">
        <f t="shared" si="251"/>
        <v>0</v>
      </c>
      <c r="W289" s="2">
        <f t="shared" si="252"/>
        <v>0</v>
      </c>
      <c r="X289" s="2">
        <f t="shared" si="253"/>
        <v>0</v>
      </c>
      <c r="Y289" s="2">
        <f t="shared" si="254"/>
        <v>0</v>
      </c>
      <c r="Z289" s="2"/>
      <c r="AA289" s="2">
        <v>45037306</v>
      </c>
      <c r="AB289" s="2">
        <f t="shared" si="255"/>
        <v>70.25</v>
      </c>
      <c r="AC289" s="2">
        <f t="shared" si="256"/>
        <v>70.25</v>
      </c>
      <c r="AD289" s="2">
        <f t="shared" ref="AD289:AF294" si="283">ROUND((ET289),6)</f>
        <v>0</v>
      </c>
      <c r="AE289" s="2">
        <f t="shared" si="283"/>
        <v>0</v>
      </c>
      <c r="AF289" s="2">
        <f t="shared" si="283"/>
        <v>0</v>
      </c>
      <c r="AG289" s="2">
        <f t="shared" si="257"/>
        <v>0</v>
      </c>
      <c r="AH289" s="2">
        <f t="shared" ref="AH289:AI294" si="284">(EW289)</f>
        <v>0</v>
      </c>
      <c r="AI289" s="2">
        <f t="shared" si="284"/>
        <v>0</v>
      </c>
      <c r="AJ289" s="2">
        <f t="shared" si="258"/>
        <v>0</v>
      </c>
      <c r="AK289" s="2">
        <v>70.25</v>
      </c>
      <c r="AL289" s="2">
        <v>70.25</v>
      </c>
      <c r="AM289" s="2">
        <v>0</v>
      </c>
      <c r="AN289" s="2">
        <v>0</v>
      </c>
      <c r="AO289" s="2">
        <v>0</v>
      </c>
      <c r="AP289" s="2">
        <v>0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1</v>
      </c>
      <c r="AW289" s="2">
        <v>1</v>
      </c>
      <c r="AX289" s="2"/>
      <c r="AY289" s="2"/>
      <c r="AZ289" s="2">
        <v>1</v>
      </c>
      <c r="BA289" s="2">
        <v>1</v>
      </c>
      <c r="BB289" s="2">
        <v>1</v>
      </c>
      <c r="BC289" s="2">
        <v>1</v>
      </c>
      <c r="BD289" s="2" t="s">
        <v>3</v>
      </c>
      <c r="BE289" s="2" t="s">
        <v>3</v>
      </c>
      <c r="BF289" s="2" t="s">
        <v>3</v>
      </c>
      <c r="BG289" s="2" t="s">
        <v>3</v>
      </c>
      <c r="BH289" s="2">
        <v>3</v>
      </c>
      <c r="BI289" s="2">
        <v>1</v>
      </c>
      <c r="BJ289" s="2" t="s">
        <v>3</v>
      </c>
      <c r="BK289" s="2"/>
      <c r="BL289" s="2"/>
      <c r="BM289" s="2">
        <v>80</v>
      </c>
      <c r="BN289" s="2">
        <v>0</v>
      </c>
      <c r="BO289" s="2" t="s">
        <v>3</v>
      </c>
      <c r="BP289" s="2">
        <v>0</v>
      </c>
      <c r="BQ289" s="2">
        <v>30</v>
      </c>
      <c r="BR289" s="2">
        <v>0</v>
      </c>
      <c r="BS289" s="2">
        <v>1</v>
      </c>
      <c r="BT289" s="2">
        <v>1</v>
      </c>
      <c r="BU289" s="2">
        <v>1</v>
      </c>
      <c r="BV289" s="2">
        <v>1</v>
      </c>
      <c r="BW289" s="2">
        <v>1</v>
      </c>
      <c r="BX289" s="2">
        <v>1</v>
      </c>
      <c r="BY289" s="2" t="s">
        <v>3</v>
      </c>
      <c r="BZ289" s="2">
        <v>0</v>
      </c>
      <c r="CA289" s="2">
        <v>0</v>
      </c>
      <c r="CB289" s="2"/>
      <c r="CC289" s="2"/>
      <c r="CD289" s="2"/>
      <c r="CE289" s="2"/>
      <c r="CF289" s="2">
        <v>0</v>
      </c>
      <c r="CG289" s="2">
        <v>0</v>
      </c>
      <c r="CH289" s="2"/>
      <c r="CI289" s="2"/>
      <c r="CJ289" s="2"/>
      <c r="CK289" s="2"/>
      <c r="CL289" s="2"/>
      <c r="CM289" s="2">
        <v>0</v>
      </c>
      <c r="CN289" s="2" t="s">
        <v>3</v>
      </c>
      <c r="CO289" s="2">
        <v>0</v>
      </c>
      <c r="CP289" s="2">
        <f t="shared" si="259"/>
        <v>140.5</v>
      </c>
      <c r="CQ289" s="2">
        <f t="shared" si="260"/>
        <v>70.25</v>
      </c>
      <c r="CR289" s="2">
        <f t="shared" si="261"/>
        <v>0</v>
      </c>
      <c r="CS289" s="2">
        <f t="shared" si="262"/>
        <v>0</v>
      </c>
      <c r="CT289" s="2">
        <f t="shared" si="263"/>
        <v>0</v>
      </c>
      <c r="CU289" s="2">
        <f t="shared" si="264"/>
        <v>0</v>
      </c>
      <c r="CV289" s="2">
        <f t="shared" si="265"/>
        <v>0</v>
      </c>
      <c r="CW289" s="2">
        <f t="shared" si="266"/>
        <v>0</v>
      </c>
      <c r="CX289" s="2">
        <f t="shared" si="267"/>
        <v>0</v>
      </c>
      <c r="CY289" s="2">
        <f t="shared" si="268"/>
        <v>0</v>
      </c>
      <c r="CZ289" s="2">
        <f t="shared" si="269"/>
        <v>0</v>
      </c>
      <c r="DA289" s="2"/>
      <c r="DB289" s="2"/>
      <c r="DC289" s="2" t="s">
        <v>3</v>
      </c>
      <c r="DD289" s="2" t="s">
        <v>3</v>
      </c>
      <c r="DE289" s="2" t="s">
        <v>3</v>
      </c>
      <c r="DF289" s="2" t="s">
        <v>3</v>
      </c>
      <c r="DG289" s="2" t="s">
        <v>3</v>
      </c>
      <c r="DH289" s="2" t="s">
        <v>3</v>
      </c>
      <c r="DI289" s="2" t="s">
        <v>3</v>
      </c>
      <c r="DJ289" s="2" t="s">
        <v>3</v>
      </c>
      <c r="DK289" s="2" t="s">
        <v>3</v>
      </c>
      <c r="DL289" s="2" t="s">
        <v>3</v>
      </c>
      <c r="DM289" s="2" t="s">
        <v>3</v>
      </c>
      <c r="DN289" s="2">
        <v>85</v>
      </c>
      <c r="DO289" s="2">
        <v>70</v>
      </c>
      <c r="DP289" s="2">
        <v>1.087</v>
      </c>
      <c r="DQ289" s="2">
        <v>1</v>
      </c>
      <c r="DR289" s="2"/>
      <c r="DS289" s="2"/>
      <c r="DT289" s="2"/>
      <c r="DU289" s="2">
        <v>1010</v>
      </c>
      <c r="DV289" s="2" t="s">
        <v>304</v>
      </c>
      <c r="DW289" s="2" t="s">
        <v>304</v>
      </c>
      <c r="DX289" s="2">
        <v>1</v>
      </c>
      <c r="DY289" s="2"/>
      <c r="DZ289" s="2"/>
      <c r="EA289" s="2"/>
      <c r="EB289" s="2"/>
      <c r="EC289" s="2"/>
      <c r="ED289" s="2"/>
      <c r="EE289" s="2">
        <v>44846587</v>
      </c>
      <c r="EF289" s="2">
        <v>30</v>
      </c>
      <c r="EG289" s="2" t="s">
        <v>38</v>
      </c>
      <c r="EH289" s="2">
        <v>0</v>
      </c>
      <c r="EI289" s="2" t="s">
        <v>3</v>
      </c>
      <c r="EJ289" s="2">
        <v>1</v>
      </c>
      <c r="EK289" s="2">
        <v>80</v>
      </c>
      <c r="EL289" s="2" t="s">
        <v>179</v>
      </c>
      <c r="EM289" s="2" t="s">
        <v>180</v>
      </c>
      <c r="EN289" s="2"/>
      <c r="EO289" s="2" t="s">
        <v>3</v>
      </c>
      <c r="EP289" s="2"/>
      <c r="EQ289" s="2">
        <v>0</v>
      </c>
      <c r="ER289" s="2">
        <v>0</v>
      </c>
      <c r="ES289" s="2">
        <v>70.25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>
        <v>0</v>
      </c>
      <c r="FR289" s="2">
        <f t="shared" si="270"/>
        <v>0</v>
      </c>
      <c r="FS289" s="2">
        <v>0</v>
      </c>
      <c r="FT289" s="2"/>
      <c r="FU289" s="2"/>
      <c r="FV289" s="2"/>
      <c r="FW289" s="2"/>
      <c r="FX289" s="2">
        <v>85</v>
      </c>
      <c r="FY289" s="2">
        <v>70</v>
      </c>
      <c r="FZ289" s="2"/>
      <c r="GA289" s="2" t="s">
        <v>377</v>
      </c>
      <c r="GB289" s="2"/>
      <c r="GC289" s="2"/>
      <c r="GD289" s="2">
        <v>0</v>
      </c>
      <c r="GE289" s="2"/>
      <c r="GF289" s="2">
        <v>1952853913</v>
      </c>
      <c r="GG289" s="2">
        <v>2</v>
      </c>
      <c r="GH289" s="2">
        <v>4</v>
      </c>
      <c r="GI289" s="2">
        <v>3</v>
      </c>
      <c r="GJ289" s="2">
        <v>0</v>
      </c>
      <c r="GK289" s="2">
        <f>ROUND(R289*(R12)/100,2)</f>
        <v>0</v>
      </c>
      <c r="GL289" s="2">
        <f t="shared" si="271"/>
        <v>0</v>
      </c>
      <c r="GM289" s="2">
        <f t="shared" si="272"/>
        <v>140.5</v>
      </c>
      <c r="GN289" s="2">
        <f t="shared" si="273"/>
        <v>140.5</v>
      </c>
      <c r="GO289" s="2">
        <f t="shared" si="274"/>
        <v>0</v>
      </c>
      <c r="GP289" s="2">
        <f t="shared" si="275"/>
        <v>0</v>
      </c>
      <c r="GQ289" s="2"/>
      <c r="GR289" s="2">
        <v>0</v>
      </c>
      <c r="GS289" s="2">
        <v>2</v>
      </c>
      <c r="GT289" s="2">
        <v>0</v>
      </c>
      <c r="GU289" s="2" t="s">
        <v>3</v>
      </c>
      <c r="GV289" s="2">
        <f t="shared" si="276"/>
        <v>0</v>
      </c>
      <c r="GW289" s="2">
        <v>1</v>
      </c>
      <c r="GX289" s="2">
        <f t="shared" si="277"/>
        <v>0</v>
      </c>
      <c r="GY289" s="2"/>
      <c r="GZ289" s="2"/>
      <c r="HA289" s="2">
        <v>0</v>
      </c>
      <c r="HB289" s="2">
        <v>0</v>
      </c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2"/>
      <c r="HZ289" s="2"/>
      <c r="IA289" s="2"/>
      <c r="IB289" s="2"/>
      <c r="IC289" s="2"/>
      <c r="ID289" s="2"/>
      <c r="IE289" s="2"/>
      <c r="IF289" s="2"/>
      <c r="IG289" s="2"/>
      <c r="IH289" s="2"/>
      <c r="II289" s="2"/>
      <c r="IJ289" s="2"/>
      <c r="IK289" s="2">
        <v>0</v>
      </c>
      <c r="IL289" s="2"/>
      <c r="IM289" s="2"/>
      <c r="IN289" s="2"/>
      <c r="IO289" s="2"/>
      <c r="IP289" s="2"/>
      <c r="IQ289" s="2"/>
      <c r="IR289" s="2"/>
      <c r="IS289" s="2"/>
      <c r="IT289" s="2"/>
      <c r="IU289" s="2"/>
    </row>
    <row r="290" spans="1:255" x14ac:dyDescent="0.2">
      <c r="A290">
        <v>18</v>
      </c>
      <c r="B290">
        <v>1</v>
      </c>
      <c r="C290">
        <v>272</v>
      </c>
      <c r="E290" t="s">
        <v>374</v>
      </c>
      <c r="F290" t="s">
        <v>375</v>
      </c>
      <c r="G290" t="s">
        <v>376</v>
      </c>
      <c r="H290" t="s">
        <v>304</v>
      </c>
      <c r="I290">
        <f>I288*J290</f>
        <v>2</v>
      </c>
      <c r="J290">
        <v>0.2</v>
      </c>
      <c r="O290">
        <f t="shared" si="244"/>
        <v>734.82</v>
      </c>
      <c r="P290">
        <f t="shared" si="245"/>
        <v>734.82</v>
      </c>
      <c r="Q290">
        <f t="shared" si="246"/>
        <v>0</v>
      </c>
      <c r="R290">
        <f t="shared" si="247"/>
        <v>0</v>
      </c>
      <c r="S290">
        <f t="shared" si="248"/>
        <v>0</v>
      </c>
      <c r="T290">
        <f t="shared" si="249"/>
        <v>0</v>
      </c>
      <c r="U290">
        <f t="shared" si="250"/>
        <v>0</v>
      </c>
      <c r="V290">
        <f t="shared" si="251"/>
        <v>0</v>
      </c>
      <c r="W290">
        <f t="shared" si="252"/>
        <v>0</v>
      </c>
      <c r="X290">
        <f t="shared" si="253"/>
        <v>0</v>
      </c>
      <c r="Y290">
        <f t="shared" si="254"/>
        <v>0</v>
      </c>
      <c r="AA290">
        <v>45037307</v>
      </c>
      <c r="AB290">
        <f t="shared" si="255"/>
        <v>70.25</v>
      </c>
      <c r="AC290">
        <f t="shared" si="256"/>
        <v>70.25</v>
      </c>
      <c r="AD290">
        <f t="shared" si="283"/>
        <v>0</v>
      </c>
      <c r="AE290">
        <f t="shared" si="283"/>
        <v>0</v>
      </c>
      <c r="AF290">
        <f t="shared" si="283"/>
        <v>0</v>
      </c>
      <c r="AG290">
        <f t="shared" si="257"/>
        <v>0</v>
      </c>
      <c r="AH290">
        <f t="shared" si="284"/>
        <v>0</v>
      </c>
      <c r="AI290">
        <f t="shared" si="284"/>
        <v>0</v>
      </c>
      <c r="AJ290">
        <f t="shared" si="258"/>
        <v>0</v>
      </c>
      <c r="AK290">
        <v>70.25</v>
      </c>
      <c r="AL290">
        <v>70.25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0</v>
      </c>
      <c r="AU290">
        <v>0</v>
      </c>
      <c r="AV290">
        <v>1</v>
      </c>
      <c r="AW290">
        <v>1</v>
      </c>
      <c r="AZ290">
        <v>1</v>
      </c>
      <c r="BA290">
        <v>1</v>
      </c>
      <c r="BB290">
        <v>1</v>
      </c>
      <c r="BC290">
        <v>5.23</v>
      </c>
      <c r="BD290" t="s">
        <v>3</v>
      </c>
      <c r="BE290" t="s">
        <v>3</v>
      </c>
      <c r="BF290" t="s">
        <v>3</v>
      </c>
      <c r="BG290" t="s">
        <v>3</v>
      </c>
      <c r="BH290">
        <v>3</v>
      </c>
      <c r="BI290">
        <v>1</v>
      </c>
      <c r="BJ290" t="s">
        <v>3</v>
      </c>
      <c r="BM290">
        <v>80</v>
      </c>
      <c r="BN290">
        <v>0</v>
      </c>
      <c r="BO290" t="s">
        <v>3</v>
      </c>
      <c r="BP290">
        <v>0</v>
      </c>
      <c r="BQ290">
        <v>30</v>
      </c>
      <c r="BR290">
        <v>0</v>
      </c>
      <c r="BS290">
        <v>1</v>
      </c>
      <c r="BT290">
        <v>1</v>
      </c>
      <c r="BU290">
        <v>1</v>
      </c>
      <c r="BV290">
        <v>1</v>
      </c>
      <c r="BW290">
        <v>1</v>
      </c>
      <c r="BX290">
        <v>1</v>
      </c>
      <c r="BY290" t="s">
        <v>3</v>
      </c>
      <c r="BZ290">
        <v>0</v>
      </c>
      <c r="CA290">
        <v>0</v>
      </c>
      <c r="CF290">
        <v>0</v>
      </c>
      <c r="CG290">
        <v>0</v>
      </c>
      <c r="CM290">
        <v>0</v>
      </c>
      <c r="CN290" t="s">
        <v>3</v>
      </c>
      <c r="CO290">
        <v>0</v>
      </c>
      <c r="CP290">
        <f t="shared" si="259"/>
        <v>734.82</v>
      </c>
      <c r="CQ290">
        <f t="shared" si="260"/>
        <v>367.40750000000003</v>
      </c>
      <c r="CR290">
        <f t="shared" si="261"/>
        <v>0</v>
      </c>
      <c r="CS290">
        <f t="shared" si="262"/>
        <v>0</v>
      </c>
      <c r="CT290">
        <f t="shared" si="263"/>
        <v>0</v>
      </c>
      <c r="CU290">
        <f t="shared" si="264"/>
        <v>0</v>
      </c>
      <c r="CV290">
        <f t="shared" si="265"/>
        <v>0</v>
      </c>
      <c r="CW290">
        <f t="shared" si="266"/>
        <v>0</v>
      </c>
      <c r="CX290">
        <f t="shared" si="267"/>
        <v>0</v>
      </c>
      <c r="CY290">
        <f t="shared" si="268"/>
        <v>0</v>
      </c>
      <c r="CZ290">
        <f t="shared" si="269"/>
        <v>0</v>
      </c>
      <c r="DC290" t="s">
        <v>3</v>
      </c>
      <c r="DD290" t="s">
        <v>3</v>
      </c>
      <c r="DE290" t="s">
        <v>3</v>
      </c>
      <c r="DF290" t="s">
        <v>3</v>
      </c>
      <c r="DG290" t="s">
        <v>3</v>
      </c>
      <c r="DH290" t="s">
        <v>3</v>
      </c>
      <c r="DI290" t="s">
        <v>3</v>
      </c>
      <c r="DJ290" t="s">
        <v>3</v>
      </c>
      <c r="DK290" t="s">
        <v>3</v>
      </c>
      <c r="DL290" t="s">
        <v>3</v>
      </c>
      <c r="DM290" t="s">
        <v>3</v>
      </c>
      <c r="DN290">
        <v>85</v>
      </c>
      <c r="DO290">
        <v>70</v>
      </c>
      <c r="DP290">
        <v>1.087</v>
      </c>
      <c r="DQ290">
        <v>1</v>
      </c>
      <c r="DU290">
        <v>1010</v>
      </c>
      <c r="DV290" t="s">
        <v>304</v>
      </c>
      <c r="DW290" t="s">
        <v>304</v>
      </c>
      <c r="DX290">
        <v>1</v>
      </c>
      <c r="EE290">
        <v>44846587</v>
      </c>
      <c r="EF290">
        <v>30</v>
      </c>
      <c r="EG290" t="s">
        <v>38</v>
      </c>
      <c r="EH290">
        <v>0</v>
      </c>
      <c r="EI290" t="s">
        <v>3</v>
      </c>
      <c r="EJ290">
        <v>1</v>
      </c>
      <c r="EK290">
        <v>80</v>
      </c>
      <c r="EL290" t="s">
        <v>179</v>
      </c>
      <c r="EM290" t="s">
        <v>180</v>
      </c>
      <c r="EO290" t="s">
        <v>3</v>
      </c>
      <c r="EQ290">
        <v>0</v>
      </c>
      <c r="ER290">
        <v>367.37</v>
      </c>
      <c r="ES290">
        <v>70.25</v>
      </c>
      <c r="ET290">
        <v>0</v>
      </c>
      <c r="EU290">
        <v>0</v>
      </c>
      <c r="EV290">
        <v>0</v>
      </c>
      <c r="EW290">
        <v>0</v>
      </c>
      <c r="EX290">
        <v>0</v>
      </c>
      <c r="EZ290">
        <v>5</v>
      </c>
      <c r="FC290">
        <v>1</v>
      </c>
      <c r="FD290">
        <v>18</v>
      </c>
      <c r="FF290">
        <v>425</v>
      </c>
      <c r="FQ290">
        <v>0</v>
      </c>
      <c r="FR290">
        <f t="shared" si="270"/>
        <v>0</v>
      </c>
      <c r="FS290">
        <v>0</v>
      </c>
      <c r="FX290">
        <v>85</v>
      </c>
      <c r="FY290">
        <v>70</v>
      </c>
      <c r="GA290" t="s">
        <v>377</v>
      </c>
      <c r="GD290">
        <v>0</v>
      </c>
      <c r="GF290">
        <v>1952853913</v>
      </c>
      <c r="GG290">
        <v>2</v>
      </c>
      <c r="GH290">
        <v>3</v>
      </c>
      <c r="GI290">
        <v>3</v>
      </c>
      <c r="GJ290">
        <v>0</v>
      </c>
      <c r="GK290">
        <f>ROUND(R290*(S12)/100,2)</f>
        <v>0</v>
      </c>
      <c r="GL290">
        <f t="shared" si="271"/>
        <v>0</v>
      </c>
      <c r="GM290">
        <f t="shared" si="272"/>
        <v>734.82</v>
      </c>
      <c r="GN290">
        <f t="shared" si="273"/>
        <v>734.82</v>
      </c>
      <c r="GO290">
        <f t="shared" si="274"/>
        <v>0</v>
      </c>
      <c r="GP290">
        <f t="shared" si="275"/>
        <v>0</v>
      </c>
      <c r="GR290">
        <v>1</v>
      </c>
      <c r="GS290">
        <v>1</v>
      </c>
      <c r="GT290">
        <v>0</v>
      </c>
      <c r="GU290" t="s">
        <v>3</v>
      </c>
      <c r="GV290">
        <f t="shared" si="276"/>
        <v>0</v>
      </c>
      <c r="GW290">
        <v>1</v>
      </c>
      <c r="GX290">
        <f t="shared" si="277"/>
        <v>0</v>
      </c>
      <c r="HA290">
        <v>0</v>
      </c>
      <c r="HB290">
        <v>0</v>
      </c>
      <c r="IK290">
        <v>0</v>
      </c>
    </row>
    <row r="291" spans="1:255" x14ac:dyDescent="0.2">
      <c r="A291" s="2">
        <v>18</v>
      </c>
      <c r="B291" s="2">
        <v>1</v>
      </c>
      <c r="C291" s="2">
        <v>268</v>
      </c>
      <c r="D291" s="2"/>
      <c r="E291" s="2" t="s">
        <v>378</v>
      </c>
      <c r="F291" s="2" t="s">
        <v>375</v>
      </c>
      <c r="G291" s="2" t="s">
        <v>379</v>
      </c>
      <c r="H291" s="2" t="s">
        <v>304</v>
      </c>
      <c r="I291" s="2">
        <f>I287*J291</f>
        <v>7</v>
      </c>
      <c r="J291" s="2">
        <v>0.7</v>
      </c>
      <c r="K291" s="2"/>
      <c r="L291" s="2"/>
      <c r="M291" s="2"/>
      <c r="N291" s="2"/>
      <c r="O291" s="2">
        <f t="shared" si="244"/>
        <v>1101.45</v>
      </c>
      <c r="P291" s="2">
        <f t="shared" si="245"/>
        <v>1101.45</v>
      </c>
      <c r="Q291" s="2">
        <f t="shared" si="246"/>
        <v>0</v>
      </c>
      <c r="R291" s="2">
        <f t="shared" si="247"/>
        <v>0</v>
      </c>
      <c r="S291" s="2">
        <f t="shared" si="248"/>
        <v>0</v>
      </c>
      <c r="T291" s="2">
        <f t="shared" si="249"/>
        <v>0</v>
      </c>
      <c r="U291" s="2">
        <f t="shared" si="250"/>
        <v>0</v>
      </c>
      <c r="V291" s="2">
        <f t="shared" si="251"/>
        <v>0</v>
      </c>
      <c r="W291" s="2">
        <f t="shared" si="252"/>
        <v>0</v>
      </c>
      <c r="X291" s="2">
        <f t="shared" si="253"/>
        <v>0</v>
      </c>
      <c r="Y291" s="2">
        <f t="shared" si="254"/>
        <v>0</v>
      </c>
      <c r="Z291" s="2"/>
      <c r="AA291" s="2">
        <v>45037306</v>
      </c>
      <c r="AB291" s="2">
        <f t="shared" si="255"/>
        <v>157.35</v>
      </c>
      <c r="AC291" s="2">
        <f t="shared" si="256"/>
        <v>157.35</v>
      </c>
      <c r="AD291" s="2">
        <f t="shared" si="283"/>
        <v>0</v>
      </c>
      <c r="AE291" s="2">
        <f t="shared" si="283"/>
        <v>0</v>
      </c>
      <c r="AF291" s="2">
        <f t="shared" si="283"/>
        <v>0</v>
      </c>
      <c r="AG291" s="2">
        <f t="shared" si="257"/>
        <v>0</v>
      </c>
      <c r="AH291" s="2">
        <f t="shared" si="284"/>
        <v>0</v>
      </c>
      <c r="AI291" s="2">
        <f t="shared" si="284"/>
        <v>0</v>
      </c>
      <c r="AJ291" s="2">
        <f t="shared" si="258"/>
        <v>0</v>
      </c>
      <c r="AK291" s="2">
        <v>157.35</v>
      </c>
      <c r="AL291" s="2">
        <v>157.35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0</v>
      </c>
      <c r="AS291" s="2">
        <v>0</v>
      </c>
      <c r="AT291" s="2">
        <v>0</v>
      </c>
      <c r="AU291" s="2">
        <v>0</v>
      </c>
      <c r="AV291" s="2">
        <v>1</v>
      </c>
      <c r="AW291" s="2">
        <v>1</v>
      </c>
      <c r="AX291" s="2"/>
      <c r="AY291" s="2"/>
      <c r="AZ291" s="2">
        <v>1</v>
      </c>
      <c r="BA291" s="2">
        <v>1</v>
      </c>
      <c r="BB291" s="2">
        <v>1</v>
      </c>
      <c r="BC291" s="2">
        <v>1</v>
      </c>
      <c r="BD291" s="2" t="s">
        <v>3</v>
      </c>
      <c r="BE291" s="2" t="s">
        <v>3</v>
      </c>
      <c r="BF291" s="2" t="s">
        <v>3</v>
      </c>
      <c r="BG291" s="2" t="s">
        <v>3</v>
      </c>
      <c r="BH291" s="2">
        <v>3</v>
      </c>
      <c r="BI291" s="2">
        <v>1</v>
      </c>
      <c r="BJ291" s="2" t="s">
        <v>3</v>
      </c>
      <c r="BK291" s="2"/>
      <c r="BL291" s="2"/>
      <c r="BM291" s="2">
        <v>80</v>
      </c>
      <c r="BN291" s="2">
        <v>0</v>
      </c>
      <c r="BO291" s="2" t="s">
        <v>3</v>
      </c>
      <c r="BP291" s="2">
        <v>0</v>
      </c>
      <c r="BQ291" s="2">
        <v>30</v>
      </c>
      <c r="BR291" s="2">
        <v>0</v>
      </c>
      <c r="BS291" s="2">
        <v>1</v>
      </c>
      <c r="BT291" s="2">
        <v>1</v>
      </c>
      <c r="BU291" s="2">
        <v>1</v>
      </c>
      <c r="BV291" s="2">
        <v>1</v>
      </c>
      <c r="BW291" s="2">
        <v>1</v>
      </c>
      <c r="BX291" s="2">
        <v>1</v>
      </c>
      <c r="BY291" s="2" t="s">
        <v>3</v>
      </c>
      <c r="BZ291" s="2">
        <v>0</v>
      </c>
      <c r="CA291" s="2">
        <v>0</v>
      </c>
      <c r="CB291" s="2"/>
      <c r="CC291" s="2"/>
      <c r="CD291" s="2"/>
      <c r="CE291" s="2"/>
      <c r="CF291" s="2">
        <v>0</v>
      </c>
      <c r="CG291" s="2">
        <v>0</v>
      </c>
      <c r="CH291" s="2"/>
      <c r="CI291" s="2"/>
      <c r="CJ291" s="2"/>
      <c r="CK291" s="2"/>
      <c r="CL291" s="2"/>
      <c r="CM291" s="2">
        <v>0</v>
      </c>
      <c r="CN291" s="2" t="s">
        <v>3</v>
      </c>
      <c r="CO291" s="2">
        <v>0</v>
      </c>
      <c r="CP291" s="2">
        <f t="shared" si="259"/>
        <v>1101.45</v>
      </c>
      <c r="CQ291" s="2">
        <f t="shared" si="260"/>
        <v>157.35</v>
      </c>
      <c r="CR291" s="2">
        <f t="shared" si="261"/>
        <v>0</v>
      </c>
      <c r="CS291" s="2">
        <f t="shared" si="262"/>
        <v>0</v>
      </c>
      <c r="CT291" s="2">
        <f t="shared" si="263"/>
        <v>0</v>
      </c>
      <c r="CU291" s="2">
        <f t="shared" si="264"/>
        <v>0</v>
      </c>
      <c r="CV291" s="2">
        <f t="shared" si="265"/>
        <v>0</v>
      </c>
      <c r="CW291" s="2">
        <f t="shared" si="266"/>
        <v>0</v>
      </c>
      <c r="CX291" s="2">
        <f t="shared" si="267"/>
        <v>0</v>
      </c>
      <c r="CY291" s="2">
        <f t="shared" si="268"/>
        <v>0</v>
      </c>
      <c r="CZ291" s="2">
        <f t="shared" si="269"/>
        <v>0</v>
      </c>
      <c r="DA291" s="2"/>
      <c r="DB291" s="2"/>
      <c r="DC291" s="2" t="s">
        <v>3</v>
      </c>
      <c r="DD291" s="2" t="s">
        <v>3</v>
      </c>
      <c r="DE291" s="2" t="s">
        <v>3</v>
      </c>
      <c r="DF291" s="2" t="s">
        <v>3</v>
      </c>
      <c r="DG291" s="2" t="s">
        <v>3</v>
      </c>
      <c r="DH291" s="2" t="s">
        <v>3</v>
      </c>
      <c r="DI291" s="2" t="s">
        <v>3</v>
      </c>
      <c r="DJ291" s="2" t="s">
        <v>3</v>
      </c>
      <c r="DK291" s="2" t="s">
        <v>3</v>
      </c>
      <c r="DL291" s="2" t="s">
        <v>3</v>
      </c>
      <c r="DM291" s="2" t="s">
        <v>3</v>
      </c>
      <c r="DN291" s="2">
        <v>85</v>
      </c>
      <c r="DO291" s="2">
        <v>70</v>
      </c>
      <c r="DP291" s="2">
        <v>1.087</v>
      </c>
      <c r="DQ291" s="2">
        <v>1</v>
      </c>
      <c r="DR291" s="2"/>
      <c r="DS291" s="2"/>
      <c r="DT291" s="2"/>
      <c r="DU291" s="2">
        <v>1010</v>
      </c>
      <c r="DV291" s="2" t="s">
        <v>304</v>
      </c>
      <c r="DW291" s="2" t="s">
        <v>304</v>
      </c>
      <c r="DX291" s="2">
        <v>1</v>
      </c>
      <c r="DY291" s="2"/>
      <c r="DZ291" s="2"/>
      <c r="EA291" s="2"/>
      <c r="EB291" s="2"/>
      <c r="EC291" s="2"/>
      <c r="ED291" s="2"/>
      <c r="EE291" s="2">
        <v>44846587</v>
      </c>
      <c r="EF291" s="2">
        <v>30</v>
      </c>
      <c r="EG291" s="2" t="s">
        <v>38</v>
      </c>
      <c r="EH291" s="2">
        <v>0</v>
      </c>
      <c r="EI291" s="2" t="s">
        <v>3</v>
      </c>
      <c r="EJ291" s="2">
        <v>1</v>
      </c>
      <c r="EK291" s="2">
        <v>80</v>
      </c>
      <c r="EL291" s="2" t="s">
        <v>179</v>
      </c>
      <c r="EM291" s="2" t="s">
        <v>180</v>
      </c>
      <c r="EN291" s="2"/>
      <c r="EO291" s="2" t="s">
        <v>3</v>
      </c>
      <c r="EP291" s="2"/>
      <c r="EQ291" s="2">
        <v>0</v>
      </c>
      <c r="ER291" s="2">
        <v>0</v>
      </c>
      <c r="ES291" s="2">
        <v>157.35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>
        <v>0</v>
      </c>
      <c r="FR291" s="2">
        <f t="shared" si="270"/>
        <v>0</v>
      </c>
      <c r="FS291" s="2">
        <v>0</v>
      </c>
      <c r="FT291" s="2"/>
      <c r="FU291" s="2"/>
      <c r="FV291" s="2"/>
      <c r="FW291" s="2"/>
      <c r="FX291" s="2">
        <v>85</v>
      </c>
      <c r="FY291" s="2">
        <v>70</v>
      </c>
      <c r="FZ291" s="2"/>
      <c r="GA291" s="2" t="s">
        <v>380</v>
      </c>
      <c r="GB291" s="2"/>
      <c r="GC291" s="2"/>
      <c r="GD291" s="2">
        <v>0</v>
      </c>
      <c r="GE291" s="2"/>
      <c r="GF291" s="2">
        <v>-302561926</v>
      </c>
      <c r="GG291" s="2">
        <v>2</v>
      </c>
      <c r="GH291" s="2">
        <v>4</v>
      </c>
      <c r="GI291" s="2">
        <v>3</v>
      </c>
      <c r="GJ291" s="2">
        <v>0</v>
      </c>
      <c r="GK291" s="2">
        <f>ROUND(R291*(R12)/100,2)</f>
        <v>0</v>
      </c>
      <c r="GL291" s="2">
        <f t="shared" si="271"/>
        <v>0</v>
      </c>
      <c r="GM291" s="2">
        <f t="shared" si="272"/>
        <v>1101.45</v>
      </c>
      <c r="GN291" s="2">
        <f t="shared" si="273"/>
        <v>1101.45</v>
      </c>
      <c r="GO291" s="2">
        <f t="shared" si="274"/>
        <v>0</v>
      </c>
      <c r="GP291" s="2">
        <f t="shared" si="275"/>
        <v>0</v>
      </c>
      <c r="GQ291" s="2"/>
      <c r="GR291" s="2">
        <v>0</v>
      </c>
      <c r="GS291" s="2">
        <v>2</v>
      </c>
      <c r="GT291" s="2">
        <v>0</v>
      </c>
      <c r="GU291" s="2" t="s">
        <v>3</v>
      </c>
      <c r="GV291" s="2">
        <f t="shared" si="276"/>
        <v>0</v>
      </c>
      <c r="GW291" s="2">
        <v>1</v>
      </c>
      <c r="GX291" s="2">
        <f t="shared" si="277"/>
        <v>0</v>
      </c>
      <c r="GY291" s="2"/>
      <c r="GZ291" s="2"/>
      <c r="HA291" s="2">
        <v>0</v>
      </c>
      <c r="HB291" s="2">
        <v>0</v>
      </c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2"/>
      <c r="HZ291" s="2"/>
      <c r="IA291" s="2"/>
      <c r="IB291" s="2"/>
      <c r="IC291" s="2"/>
      <c r="ID291" s="2"/>
      <c r="IE291" s="2"/>
      <c r="IF291" s="2"/>
      <c r="IG291" s="2"/>
      <c r="IH291" s="2"/>
      <c r="II291" s="2"/>
      <c r="IJ291" s="2"/>
      <c r="IK291" s="2">
        <v>0</v>
      </c>
      <c r="IL291" s="2"/>
      <c r="IM291" s="2"/>
      <c r="IN291" s="2"/>
      <c r="IO291" s="2"/>
      <c r="IP291" s="2"/>
      <c r="IQ291" s="2"/>
      <c r="IR291" s="2"/>
      <c r="IS291" s="2"/>
      <c r="IT291" s="2"/>
      <c r="IU291" s="2"/>
    </row>
    <row r="292" spans="1:255" x14ac:dyDescent="0.2">
      <c r="A292">
        <v>18</v>
      </c>
      <c r="B292">
        <v>1</v>
      </c>
      <c r="C292">
        <v>273</v>
      </c>
      <c r="E292" t="s">
        <v>378</v>
      </c>
      <c r="F292" t="s">
        <v>375</v>
      </c>
      <c r="G292" t="s">
        <v>379</v>
      </c>
      <c r="H292" t="s">
        <v>304</v>
      </c>
      <c r="I292">
        <f>I288*J292</f>
        <v>7</v>
      </c>
      <c r="J292">
        <v>0.7</v>
      </c>
      <c r="O292">
        <f t="shared" si="244"/>
        <v>5760.58</v>
      </c>
      <c r="P292">
        <f t="shared" si="245"/>
        <v>5760.58</v>
      </c>
      <c r="Q292">
        <f t="shared" si="246"/>
        <v>0</v>
      </c>
      <c r="R292">
        <f t="shared" si="247"/>
        <v>0</v>
      </c>
      <c r="S292">
        <f t="shared" si="248"/>
        <v>0</v>
      </c>
      <c r="T292">
        <f t="shared" si="249"/>
        <v>0</v>
      </c>
      <c r="U292">
        <f t="shared" si="250"/>
        <v>0</v>
      </c>
      <c r="V292">
        <f t="shared" si="251"/>
        <v>0</v>
      </c>
      <c r="W292">
        <f t="shared" si="252"/>
        <v>0</v>
      </c>
      <c r="X292">
        <f t="shared" si="253"/>
        <v>0</v>
      </c>
      <c r="Y292">
        <f t="shared" si="254"/>
        <v>0</v>
      </c>
      <c r="AA292">
        <v>45037307</v>
      </c>
      <c r="AB292">
        <f t="shared" si="255"/>
        <v>157.35</v>
      </c>
      <c r="AC292">
        <f t="shared" si="256"/>
        <v>157.35</v>
      </c>
      <c r="AD292">
        <f t="shared" si="283"/>
        <v>0</v>
      </c>
      <c r="AE292">
        <f t="shared" si="283"/>
        <v>0</v>
      </c>
      <c r="AF292">
        <f t="shared" si="283"/>
        <v>0</v>
      </c>
      <c r="AG292">
        <f t="shared" si="257"/>
        <v>0</v>
      </c>
      <c r="AH292">
        <f t="shared" si="284"/>
        <v>0</v>
      </c>
      <c r="AI292">
        <f t="shared" si="284"/>
        <v>0</v>
      </c>
      <c r="AJ292">
        <f t="shared" si="258"/>
        <v>0</v>
      </c>
      <c r="AK292">
        <v>157.35</v>
      </c>
      <c r="AL292">
        <v>157.35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0</v>
      </c>
      <c r="AU292">
        <v>0</v>
      </c>
      <c r="AV292">
        <v>1</v>
      </c>
      <c r="AW292">
        <v>1</v>
      </c>
      <c r="AZ292">
        <v>1</v>
      </c>
      <c r="BA292">
        <v>1</v>
      </c>
      <c r="BB292">
        <v>1</v>
      </c>
      <c r="BC292">
        <v>5.23</v>
      </c>
      <c r="BD292" t="s">
        <v>3</v>
      </c>
      <c r="BE292" t="s">
        <v>3</v>
      </c>
      <c r="BF292" t="s">
        <v>3</v>
      </c>
      <c r="BG292" t="s">
        <v>3</v>
      </c>
      <c r="BH292">
        <v>3</v>
      </c>
      <c r="BI292">
        <v>1</v>
      </c>
      <c r="BJ292" t="s">
        <v>3</v>
      </c>
      <c r="BM292">
        <v>80</v>
      </c>
      <c r="BN292">
        <v>0</v>
      </c>
      <c r="BO292" t="s">
        <v>3</v>
      </c>
      <c r="BP292">
        <v>0</v>
      </c>
      <c r="BQ292">
        <v>30</v>
      </c>
      <c r="BR292">
        <v>0</v>
      </c>
      <c r="BS292">
        <v>1</v>
      </c>
      <c r="BT292">
        <v>1</v>
      </c>
      <c r="BU292">
        <v>1</v>
      </c>
      <c r="BV292">
        <v>1</v>
      </c>
      <c r="BW292">
        <v>1</v>
      </c>
      <c r="BX292">
        <v>1</v>
      </c>
      <c r="BY292" t="s">
        <v>3</v>
      </c>
      <c r="BZ292">
        <v>0</v>
      </c>
      <c r="CA292">
        <v>0</v>
      </c>
      <c r="CF292">
        <v>0</v>
      </c>
      <c r="CG292">
        <v>0</v>
      </c>
      <c r="CM292">
        <v>0</v>
      </c>
      <c r="CN292" t="s">
        <v>3</v>
      </c>
      <c r="CO292">
        <v>0</v>
      </c>
      <c r="CP292">
        <f t="shared" si="259"/>
        <v>5760.58</v>
      </c>
      <c r="CQ292">
        <f t="shared" si="260"/>
        <v>822.94050000000004</v>
      </c>
      <c r="CR292">
        <f t="shared" si="261"/>
        <v>0</v>
      </c>
      <c r="CS292">
        <f t="shared" si="262"/>
        <v>0</v>
      </c>
      <c r="CT292">
        <f t="shared" si="263"/>
        <v>0</v>
      </c>
      <c r="CU292">
        <f t="shared" si="264"/>
        <v>0</v>
      </c>
      <c r="CV292">
        <f t="shared" si="265"/>
        <v>0</v>
      </c>
      <c r="CW292">
        <f t="shared" si="266"/>
        <v>0</v>
      </c>
      <c r="CX292">
        <f t="shared" si="267"/>
        <v>0</v>
      </c>
      <c r="CY292">
        <f t="shared" si="268"/>
        <v>0</v>
      </c>
      <c r="CZ292">
        <f t="shared" si="269"/>
        <v>0</v>
      </c>
      <c r="DC292" t="s">
        <v>3</v>
      </c>
      <c r="DD292" t="s">
        <v>3</v>
      </c>
      <c r="DE292" t="s">
        <v>3</v>
      </c>
      <c r="DF292" t="s">
        <v>3</v>
      </c>
      <c r="DG292" t="s">
        <v>3</v>
      </c>
      <c r="DH292" t="s">
        <v>3</v>
      </c>
      <c r="DI292" t="s">
        <v>3</v>
      </c>
      <c r="DJ292" t="s">
        <v>3</v>
      </c>
      <c r="DK292" t="s">
        <v>3</v>
      </c>
      <c r="DL292" t="s">
        <v>3</v>
      </c>
      <c r="DM292" t="s">
        <v>3</v>
      </c>
      <c r="DN292">
        <v>85</v>
      </c>
      <c r="DO292">
        <v>70</v>
      </c>
      <c r="DP292">
        <v>1.087</v>
      </c>
      <c r="DQ292">
        <v>1</v>
      </c>
      <c r="DU292">
        <v>1010</v>
      </c>
      <c r="DV292" t="s">
        <v>304</v>
      </c>
      <c r="DW292" t="s">
        <v>304</v>
      </c>
      <c r="DX292">
        <v>1</v>
      </c>
      <c r="EE292">
        <v>44846587</v>
      </c>
      <c r="EF292">
        <v>30</v>
      </c>
      <c r="EG292" t="s">
        <v>38</v>
      </c>
      <c r="EH292">
        <v>0</v>
      </c>
      <c r="EI292" t="s">
        <v>3</v>
      </c>
      <c r="EJ292">
        <v>1</v>
      </c>
      <c r="EK292">
        <v>80</v>
      </c>
      <c r="EL292" t="s">
        <v>179</v>
      </c>
      <c r="EM292" t="s">
        <v>180</v>
      </c>
      <c r="EO292" t="s">
        <v>3</v>
      </c>
      <c r="EQ292">
        <v>0</v>
      </c>
      <c r="ER292">
        <v>822.92</v>
      </c>
      <c r="ES292">
        <v>157.35</v>
      </c>
      <c r="ET292">
        <v>0</v>
      </c>
      <c r="EU292">
        <v>0</v>
      </c>
      <c r="EV292">
        <v>0</v>
      </c>
      <c r="EW292">
        <v>0</v>
      </c>
      <c r="EX292">
        <v>0</v>
      </c>
      <c r="EZ292">
        <v>5</v>
      </c>
      <c r="FC292">
        <v>1</v>
      </c>
      <c r="FD292">
        <v>18</v>
      </c>
      <c r="FF292">
        <v>952</v>
      </c>
      <c r="FQ292">
        <v>0</v>
      </c>
      <c r="FR292">
        <f t="shared" si="270"/>
        <v>0</v>
      </c>
      <c r="FS292">
        <v>0</v>
      </c>
      <c r="FX292">
        <v>85</v>
      </c>
      <c r="FY292">
        <v>70</v>
      </c>
      <c r="GA292" t="s">
        <v>380</v>
      </c>
      <c r="GD292">
        <v>0</v>
      </c>
      <c r="GF292">
        <v>-302561926</v>
      </c>
      <c r="GG292">
        <v>2</v>
      </c>
      <c r="GH292">
        <v>3</v>
      </c>
      <c r="GI292">
        <v>3</v>
      </c>
      <c r="GJ292">
        <v>0</v>
      </c>
      <c r="GK292">
        <f>ROUND(R292*(S12)/100,2)</f>
        <v>0</v>
      </c>
      <c r="GL292">
        <f t="shared" si="271"/>
        <v>0</v>
      </c>
      <c r="GM292">
        <f t="shared" si="272"/>
        <v>5760.58</v>
      </c>
      <c r="GN292">
        <f t="shared" si="273"/>
        <v>5760.58</v>
      </c>
      <c r="GO292">
        <f t="shared" si="274"/>
        <v>0</v>
      </c>
      <c r="GP292">
        <f t="shared" si="275"/>
        <v>0</v>
      </c>
      <c r="GR292">
        <v>1</v>
      </c>
      <c r="GS292">
        <v>1</v>
      </c>
      <c r="GT292">
        <v>0</v>
      </c>
      <c r="GU292" t="s">
        <v>3</v>
      </c>
      <c r="GV292">
        <f t="shared" si="276"/>
        <v>0</v>
      </c>
      <c r="GW292">
        <v>1</v>
      </c>
      <c r="GX292">
        <f t="shared" si="277"/>
        <v>0</v>
      </c>
      <c r="HA292">
        <v>0</v>
      </c>
      <c r="HB292">
        <v>0</v>
      </c>
      <c r="IK292">
        <v>0</v>
      </c>
    </row>
    <row r="293" spans="1:255" x14ac:dyDescent="0.2">
      <c r="A293" s="2">
        <v>18</v>
      </c>
      <c r="B293" s="2">
        <v>1</v>
      </c>
      <c r="C293" s="2">
        <v>269</v>
      </c>
      <c r="D293" s="2"/>
      <c r="E293" s="2" t="s">
        <v>381</v>
      </c>
      <c r="F293" s="2" t="s">
        <v>375</v>
      </c>
      <c r="G293" s="2" t="s">
        <v>382</v>
      </c>
      <c r="H293" s="2" t="s">
        <v>383</v>
      </c>
      <c r="I293" s="2">
        <f>I287*J293</f>
        <v>1</v>
      </c>
      <c r="J293" s="2">
        <v>0.1</v>
      </c>
      <c r="K293" s="2"/>
      <c r="L293" s="2"/>
      <c r="M293" s="2"/>
      <c r="N293" s="2"/>
      <c r="O293" s="2">
        <f t="shared" si="244"/>
        <v>234.69</v>
      </c>
      <c r="P293" s="2">
        <f t="shared" si="245"/>
        <v>234.69</v>
      </c>
      <c r="Q293" s="2">
        <f t="shared" si="246"/>
        <v>0</v>
      </c>
      <c r="R293" s="2">
        <f t="shared" si="247"/>
        <v>0</v>
      </c>
      <c r="S293" s="2">
        <f t="shared" si="248"/>
        <v>0</v>
      </c>
      <c r="T293" s="2">
        <f t="shared" si="249"/>
        <v>0</v>
      </c>
      <c r="U293" s="2">
        <f t="shared" si="250"/>
        <v>0</v>
      </c>
      <c r="V293" s="2">
        <f t="shared" si="251"/>
        <v>0</v>
      </c>
      <c r="W293" s="2">
        <f t="shared" si="252"/>
        <v>0</v>
      </c>
      <c r="X293" s="2">
        <f t="shared" si="253"/>
        <v>0</v>
      </c>
      <c r="Y293" s="2">
        <f t="shared" si="254"/>
        <v>0</v>
      </c>
      <c r="Z293" s="2"/>
      <c r="AA293" s="2">
        <v>45037306</v>
      </c>
      <c r="AB293" s="2">
        <f t="shared" si="255"/>
        <v>234.69</v>
      </c>
      <c r="AC293" s="2">
        <f t="shared" si="256"/>
        <v>234.69</v>
      </c>
      <c r="AD293" s="2">
        <f t="shared" si="283"/>
        <v>0</v>
      </c>
      <c r="AE293" s="2">
        <f t="shared" si="283"/>
        <v>0</v>
      </c>
      <c r="AF293" s="2">
        <f t="shared" si="283"/>
        <v>0</v>
      </c>
      <c r="AG293" s="2">
        <f t="shared" si="257"/>
        <v>0</v>
      </c>
      <c r="AH293" s="2">
        <f t="shared" si="284"/>
        <v>0</v>
      </c>
      <c r="AI293" s="2">
        <f t="shared" si="284"/>
        <v>0</v>
      </c>
      <c r="AJ293" s="2">
        <f t="shared" si="258"/>
        <v>0</v>
      </c>
      <c r="AK293" s="2">
        <v>234.69</v>
      </c>
      <c r="AL293" s="2">
        <v>234.69</v>
      </c>
      <c r="AM293" s="2">
        <v>0</v>
      </c>
      <c r="AN293" s="2">
        <v>0</v>
      </c>
      <c r="AO293" s="2">
        <v>0</v>
      </c>
      <c r="AP293" s="2">
        <v>0</v>
      </c>
      <c r="AQ293" s="2">
        <v>0</v>
      </c>
      <c r="AR293" s="2">
        <v>0</v>
      </c>
      <c r="AS293" s="2">
        <v>0</v>
      </c>
      <c r="AT293" s="2">
        <v>0</v>
      </c>
      <c r="AU293" s="2">
        <v>0</v>
      </c>
      <c r="AV293" s="2">
        <v>1</v>
      </c>
      <c r="AW293" s="2">
        <v>1</v>
      </c>
      <c r="AX293" s="2"/>
      <c r="AY293" s="2"/>
      <c r="AZ293" s="2">
        <v>1</v>
      </c>
      <c r="BA293" s="2">
        <v>1</v>
      </c>
      <c r="BB293" s="2">
        <v>1</v>
      </c>
      <c r="BC293" s="2">
        <v>1</v>
      </c>
      <c r="BD293" s="2" t="s">
        <v>3</v>
      </c>
      <c r="BE293" s="2" t="s">
        <v>3</v>
      </c>
      <c r="BF293" s="2" t="s">
        <v>3</v>
      </c>
      <c r="BG293" s="2" t="s">
        <v>3</v>
      </c>
      <c r="BH293" s="2">
        <v>3</v>
      </c>
      <c r="BI293" s="2">
        <v>1</v>
      </c>
      <c r="BJ293" s="2" t="s">
        <v>3</v>
      </c>
      <c r="BK293" s="2"/>
      <c r="BL293" s="2"/>
      <c r="BM293" s="2">
        <v>80</v>
      </c>
      <c r="BN293" s="2">
        <v>0</v>
      </c>
      <c r="BO293" s="2" t="s">
        <v>3</v>
      </c>
      <c r="BP293" s="2">
        <v>0</v>
      </c>
      <c r="BQ293" s="2">
        <v>30</v>
      </c>
      <c r="BR293" s="2">
        <v>0</v>
      </c>
      <c r="BS293" s="2">
        <v>1</v>
      </c>
      <c r="BT293" s="2">
        <v>1</v>
      </c>
      <c r="BU293" s="2">
        <v>1</v>
      </c>
      <c r="BV293" s="2">
        <v>1</v>
      </c>
      <c r="BW293" s="2">
        <v>1</v>
      </c>
      <c r="BX293" s="2">
        <v>1</v>
      </c>
      <c r="BY293" s="2" t="s">
        <v>3</v>
      </c>
      <c r="BZ293" s="2">
        <v>0</v>
      </c>
      <c r="CA293" s="2">
        <v>0</v>
      </c>
      <c r="CB293" s="2"/>
      <c r="CC293" s="2"/>
      <c r="CD293" s="2"/>
      <c r="CE293" s="2"/>
      <c r="CF293" s="2">
        <v>0</v>
      </c>
      <c r="CG293" s="2">
        <v>0</v>
      </c>
      <c r="CH293" s="2"/>
      <c r="CI293" s="2"/>
      <c r="CJ293" s="2"/>
      <c r="CK293" s="2"/>
      <c r="CL293" s="2"/>
      <c r="CM293" s="2">
        <v>0</v>
      </c>
      <c r="CN293" s="2" t="s">
        <v>3</v>
      </c>
      <c r="CO293" s="2">
        <v>0</v>
      </c>
      <c r="CP293" s="2">
        <f t="shared" si="259"/>
        <v>234.69</v>
      </c>
      <c r="CQ293" s="2">
        <f t="shared" si="260"/>
        <v>234.69</v>
      </c>
      <c r="CR293" s="2">
        <f t="shared" si="261"/>
        <v>0</v>
      </c>
      <c r="CS293" s="2">
        <f t="shared" si="262"/>
        <v>0</v>
      </c>
      <c r="CT293" s="2">
        <f t="shared" si="263"/>
        <v>0</v>
      </c>
      <c r="CU293" s="2">
        <f t="shared" si="264"/>
        <v>0</v>
      </c>
      <c r="CV293" s="2">
        <f t="shared" si="265"/>
        <v>0</v>
      </c>
      <c r="CW293" s="2">
        <f t="shared" si="266"/>
        <v>0</v>
      </c>
      <c r="CX293" s="2">
        <f t="shared" si="267"/>
        <v>0</v>
      </c>
      <c r="CY293" s="2">
        <f t="shared" si="268"/>
        <v>0</v>
      </c>
      <c r="CZ293" s="2">
        <f t="shared" si="269"/>
        <v>0</v>
      </c>
      <c r="DA293" s="2"/>
      <c r="DB293" s="2"/>
      <c r="DC293" s="2" t="s">
        <v>3</v>
      </c>
      <c r="DD293" s="2" t="s">
        <v>3</v>
      </c>
      <c r="DE293" s="2" t="s">
        <v>3</v>
      </c>
      <c r="DF293" s="2" t="s">
        <v>3</v>
      </c>
      <c r="DG293" s="2" t="s">
        <v>3</v>
      </c>
      <c r="DH293" s="2" t="s">
        <v>3</v>
      </c>
      <c r="DI293" s="2" t="s">
        <v>3</v>
      </c>
      <c r="DJ293" s="2" t="s">
        <v>3</v>
      </c>
      <c r="DK293" s="2" t="s">
        <v>3</v>
      </c>
      <c r="DL293" s="2" t="s">
        <v>3</v>
      </c>
      <c r="DM293" s="2" t="s">
        <v>3</v>
      </c>
      <c r="DN293" s="2">
        <v>85</v>
      </c>
      <c r="DO293" s="2">
        <v>70</v>
      </c>
      <c r="DP293" s="2">
        <v>1.087</v>
      </c>
      <c r="DQ293" s="2">
        <v>1</v>
      </c>
      <c r="DR293" s="2"/>
      <c r="DS293" s="2"/>
      <c r="DT293" s="2"/>
      <c r="DU293" s="2">
        <v>1013</v>
      </c>
      <c r="DV293" s="2" t="s">
        <v>383</v>
      </c>
      <c r="DW293" s="2" t="s">
        <v>383</v>
      </c>
      <c r="DX293" s="2">
        <v>1</v>
      </c>
      <c r="DY293" s="2"/>
      <c r="DZ293" s="2"/>
      <c r="EA293" s="2"/>
      <c r="EB293" s="2"/>
      <c r="EC293" s="2"/>
      <c r="ED293" s="2"/>
      <c r="EE293" s="2">
        <v>44846587</v>
      </c>
      <c r="EF293" s="2">
        <v>30</v>
      </c>
      <c r="EG293" s="2" t="s">
        <v>38</v>
      </c>
      <c r="EH293" s="2">
        <v>0</v>
      </c>
      <c r="EI293" s="2" t="s">
        <v>3</v>
      </c>
      <c r="EJ293" s="2">
        <v>1</v>
      </c>
      <c r="EK293" s="2">
        <v>80</v>
      </c>
      <c r="EL293" s="2" t="s">
        <v>179</v>
      </c>
      <c r="EM293" s="2" t="s">
        <v>180</v>
      </c>
      <c r="EN293" s="2"/>
      <c r="EO293" s="2" t="s">
        <v>3</v>
      </c>
      <c r="EP293" s="2"/>
      <c r="EQ293" s="2">
        <v>0</v>
      </c>
      <c r="ER293" s="2">
        <v>0</v>
      </c>
      <c r="ES293" s="2">
        <v>234.69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>
        <v>0</v>
      </c>
      <c r="FR293" s="2">
        <f t="shared" si="270"/>
        <v>0</v>
      </c>
      <c r="FS293" s="2">
        <v>0</v>
      </c>
      <c r="FT293" s="2"/>
      <c r="FU293" s="2"/>
      <c r="FV293" s="2"/>
      <c r="FW293" s="2"/>
      <c r="FX293" s="2">
        <v>85</v>
      </c>
      <c r="FY293" s="2">
        <v>70</v>
      </c>
      <c r="FZ293" s="2"/>
      <c r="GA293" s="2" t="s">
        <v>384</v>
      </c>
      <c r="GB293" s="2"/>
      <c r="GC293" s="2"/>
      <c r="GD293" s="2">
        <v>0</v>
      </c>
      <c r="GE293" s="2"/>
      <c r="GF293" s="2">
        <v>217689376</v>
      </c>
      <c r="GG293" s="2">
        <v>2</v>
      </c>
      <c r="GH293" s="2">
        <v>4</v>
      </c>
      <c r="GI293" s="2">
        <v>3</v>
      </c>
      <c r="GJ293" s="2">
        <v>0</v>
      </c>
      <c r="GK293" s="2">
        <f>ROUND(R293*(R12)/100,2)</f>
        <v>0</v>
      </c>
      <c r="GL293" s="2">
        <f t="shared" si="271"/>
        <v>0</v>
      </c>
      <c r="GM293" s="2">
        <f t="shared" si="272"/>
        <v>234.69</v>
      </c>
      <c r="GN293" s="2">
        <f t="shared" si="273"/>
        <v>234.69</v>
      </c>
      <c r="GO293" s="2">
        <f t="shared" si="274"/>
        <v>0</v>
      </c>
      <c r="GP293" s="2">
        <f t="shared" si="275"/>
        <v>0</v>
      </c>
      <c r="GQ293" s="2"/>
      <c r="GR293" s="2">
        <v>0</v>
      </c>
      <c r="GS293" s="2">
        <v>2</v>
      </c>
      <c r="GT293" s="2">
        <v>0</v>
      </c>
      <c r="GU293" s="2" t="s">
        <v>3</v>
      </c>
      <c r="GV293" s="2">
        <f t="shared" si="276"/>
        <v>0</v>
      </c>
      <c r="GW293" s="2">
        <v>1</v>
      </c>
      <c r="GX293" s="2">
        <f t="shared" si="277"/>
        <v>0</v>
      </c>
      <c r="GY293" s="2"/>
      <c r="GZ293" s="2"/>
      <c r="HA293" s="2">
        <v>0</v>
      </c>
      <c r="HB293" s="2">
        <v>0</v>
      </c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2"/>
      <c r="HZ293" s="2"/>
      <c r="IA293" s="2"/>
      <c r="IB293" s="2"/>
      <c r="IC293" s="2"/>
      <c r="ID293" s="2"/>
      <c r="IE293" s="2"/>
      <c r="IF293" s="2"/>
      <c r="IG293" s="2"/>
      <c r="IH293" s="2"/>
      <c r="II293" s="2"/>
      <c r="IJ293" s="2"/>
      <c r="IK293" s="2">
        <v>0</v>
      </c>
      <c r="IL293" s="2"/>
      <c r="IM293" s="2"/>
      <c r="IN293" s="2"/>
      <c r="IO293" s="2"/>
      <c r="IP293" s="2"/>
      <c r="IQ293" s="2"/>
      <c r="IR293" s="2"/>
      <c r="IS293" s="2"/>
      <c r="IT293" s="2"/>
      <c r="IU293" s="2"/>
    </row>
    <row r="294" spans="1:255" x14ac:dyDescent="0.2">
      <c r="A294">
        <v>18</v>
      </c>
      <c r="B294">
        <v>1</v>
      </c>
      <c r="C294">
        <v>274</v>
      </c>
      <c r="E294" t="s">
        <v>381</v>
      </c>
      <c r="F294" t="s">
        <v>375</v>
      </c>
      <c r="G294" t="s">
        <v>382</v>
      </c>
      <c r="H294" t="s">
        <v>383</v>
      </c>
      <c r="I294">
        <f>I288*J294</f>
        <v>1</v>
      </c>
      <c r="J294">
        <v>0.1</v>
      </c>
      <c r="O294">
        <f t="shared" si="244"/>
        <v>1227.43</v>
      </c>
      <c r="P294">
        <f t="shared" si="245"/>
        <v>1227.43</v>
      </c>
      <c r="Q294">
        <f t="shared" si="246"/>
        <v>0</v>
      </c>
      <c r="R294">
        <f t="shared" si="247"/>
        <v>0</v>
      </c>
      <c r="S294">
        <f t="shared" si="248"/>
        <v>0</v>
      </c>
      <c r="T294">
        <f t="shared" si="249"/>
        <v>0</v>
      </c>
      <c r="U294">
        <f t="shared" si="250"/>
        <v>0</v>
      </c>
      <c r="V294">
        <f t="shared" si="251"/>
        <v>0</v>
      </c>
      <c r="W294">
        <f t="shared" si="252"/>
        <v>0</v>
      </c>
      <c r="X294">
        <f t="shared" si="253"/>
        <v>0</v>
      </c>
      <c r="Y294">
        <f t="shared" si="254"/>
        <v>0</v>
      </c>
      <c r="AA294">
        <v>45037307</v>
      </c>
      <c r="AB294">
        <f t="shared" si="255"/>
        <v>234.69</v>
      </c>
      <c r="AC294">
        <f t="shared" si="256"/>
        <v>234.69</v>
      </c>
      <c r="AD294">
        <f t="shared" si="283"/>
        <v>0</v>
      </c>
      <c r="AE294">
        <f t="shared" si="283"/>
        <v>0</v>
      </c>
      <c r="AF294">
        <f t="shared" si="283"/>
        <v>0</v>
      </c>
      <c r="AG294">
        <f t="shared" si="257"/>
        <v>0</v>
      </c>
      <c r="AH294">
        <f t="shared" si="284"/>
        <v>0</v>
      </c>
      <c r="AI294">
        <f t="shared" si="284"/>
        <v>0</v>
      </c>
      <c r="AJ294">
        <f t="shared" si="258"/>
        <v>0</v>
      </c>
      <c r="AK294">
        <v>234.69</v>
      </c>
      <c r="AL294">
        <v>234.69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0</v>
      </c>
      <c r="AU294">
        <v>0</v>
      </c>
      <c r="AV294">
        <v>1</v>
      </c>
      <c r="AW294">
        <v>1</v>
      </c>
      <c r="AZ294">
        <v>1</v>
      </c>
      <c r="BA294">
        <v>1</v>
      </c>
      <c r="BB294">
        <v>1</v>
      </c>
      <c r="BC294">
        <v>5.23</v>
      </c>
      <c r="BD294" t="s">
        <v>3</v>
      </c>
      <c r="BE294" t="s">
        <v>3</v>
      </c>
      <c r="BF294" t="s">
        <v>3</v>
      </c>
      <c r="BG294" t="s">
        <v>3</v>
      </c>
      <c r="BH294">
        <v>3</v>
      </c>
      <c r="BI294">
        <v>1</v>
      </c>
      <c r="BJ294" t="s">
        <v>3</v>
      </c>
      <c r="BM294">
        <v>80</v>
      </c>
      <c r="BN294">
        <v>0</v>
      </c>
      <c r="BO294" t="s">
        <v>3</v>
      </c>
      <c r="BP294">
        <v>0</v>
      </c>
      <c r="BQ294">
        <v>30</v>
      </c>
      <c r="BR294">
        <v>0</v>
      </c>
      <c r="BS294">
        <v>1</v>
      </c>
      <c r="BT294">
        <v>1</v>
      </c>
      <c r="BU294">
        <v>1</v>
      </c>
      <c r="BV294">
        <v>1</v>
      </c>
      <c r="BW294">
        <v>1</v>
      </c>
      <c r="BX294">
        <v>1</v>
      </c>
      <c r="BY294" t="s">
        <v>3</v>
      </c>
      <c r="BZ294">
        <v>0</v>
      </c>
      <c r="CA294">
        <v>0</v>
      </c>
      <c r="CF294">
        <v>0</v>
      </c>
      <c r="CG294">
        <v>0</v>
      </c>
      <c r="CM294">
        <v>0</v>
      </c>
      <c r="CN294" t="s">
        <v>3</v>
      </c>
      <c r="CO294">
        <v>0</v>
      </c>
      <c r="CP294">
        <f t="shared" si="259"/>
        <v>1227.43</v>
      </c>
      <c r="CQ294">
        <f t="shared" si="260"/>
        <v>1227.4287000000002</v>
      </c>
      <c r="CR294">
        <f t="shared" si="261"/>
        <v>0</v>
      </c>
      <c r="CS294">
        <f t="shared" si="262"/>
        <v>0</v>
      </c>
      <c r="CT294">
        <f t="shared" si="263"/>
        <v>0</v>
      </c>
      <c r="CU294">
        <f t="shared" si="264"/>
        <v>0</v>
      </c>
      <c r="CV294">
        <f t="shared" si="265"/>
        <v>0</v>
      </c>
      <c r="CW294">
        <f t="shared" si="266"/>
        <v>0</v>
      </c>
      <c r="CX294">
        <f t="shared" si="267"/>
        <v>0</v>
      </c>
      <c r="CY294">
        <f t="shared" si="268"/>
        <v>0</v>
      </c>
      <c r="CZ294">
        <f t="shared" si="269"/>
        <v>0</v>
      </c>
      <c r="DC294" t="s">
        <v>3</v>
      </c>
      <c r="DD294" t="s">
        <v>3</v>
      </c>
      <c r="DE294" t="s">
        <v>3</v>
      </c>
      <c r="DF294" t="s">
        <v>3</v>
      </c>
      <c r="DG294" t="s">
        <v>3</v>
      </c>
      <c r="DH294" t="s">
        <v>3</v>
      </c>
      <c r="DI294" t="s">
        <v>3</v>
      </c>
      <c r="DJ294" t="s">
        <v>3</v>
      </c>
      <c r="DK294" t="s">
        <v>3</v>
      </c>
      <c r="DL294" t="s">
        <v>3</v>
      </c>
      <c r="DM294" t="s">
        <v>3</v>
      </c>
      <c r="DN294">
        <v>85</v>
      </c>
      <c r="DO294">
        <v>70</v>
      </c>
      <c r="DP294">
        <v>1.087</v>
      </c>
      <c r="DQ294">
        <v>1</v>
      </c>
      <c r="DU294">
        <v>1013</v>
      </c>
      <c r="DV294" t="s">
        <v>383</v>
      </c>
      <c r="DW294" t="s">
        <v>383</v>
      </c>
      <c r="DX294">
        <v>1</v>
      </c>
      <c r="EE294">
        <v>44846587</v>
      </c>
      <c r="EF294">
        <v>30</v>
      </c>
      <c r="EG294" t="s">
        <v>38</v>
      </c>
      <c r="EH294">
        <v>0</v>
      </c>
      <c r="EI294" t="s">
        <v>3</v>
      </c>
      <c r="EJ294">
        <v>1</v>
      </c>
      <c r="EK294">
        <v>80</v>
      </c>
      <c r="EL294" t="s">
        <v>179</v>
      </c>
      <c r="EM294" t="s">
        <v>180</v>
      </c>
      <c r="EO294" t="s">
        <v>3</v>
      </c>
      <c r="EQ294">
        <v>0</v>
      </c>
      <c r="ER294">
        <v>237.42</v>
      </c>
      <c r="ES294">
        <v>234.69</v>
      </c>
      <c r="ET294">
        <v>0</v>
      </c>
      <c r="EU294">
        <v>0</v>
      </c>
      <c r="EV294">
        <v>0</v>
      </c>
      <c r="EW294">
        <v>0</v>
      </c>
      <c r="EX294">
        <v>0</v>
      </c>
      <c r="EZ294">
        <v>5</v>
      </c>
      <c r="FC294">
        <v>1</v>
      </c>
      <c r="FD294">
        <v>18</v>
      </c>
      <c r="FF294">
        <v>1420</v>
      </c>
      <c r="FQ294">
        <v>0</v>
      </c>
      <c r="FR294">
        <f t="shared" si="270"/>
        <v>0</v>
      </c>
      <c r="FS294">
        <v>0</v>
      </c>
      <c r="FX294">
        <v>85</v>
      </c>
      <c r="FY294">
        <v>70</v>
      </c>
      <c r="GA294" t="s">
        <v>384</v>
      </c>
      <c r="GD294">
        <v>0</v>
      </c>
      <c r="GF294">
        <v>217689376</v>
      </c>
      <c r="GG294">
        <v>2</v>
      </c>
      <c r="GH294">
        <v>3</v>
      </c>
      <c r="GI294">
        <v>3</v>
      </c>
      <c r="GJ294">
        <v>0</v>
      </c>
      <c r="GK294">
        <f>ROUND(R294*(S12)/100,2)</f>
        <v>0</v>
      </c>
      <c r="GL294">
        <f t="shared" si="271"/>
        <v>0</v>
      </c>
      <c r="GM294">
        <f t="shared" si="272"/>
        <v>1227.43</v>
      </c>
      <c r="GN294">
        <f t="shared" si="273"/>
        <v>1227.43</v>
      </c>
      <c r="GO294">
        <f t="shared" si="274"/>
        <v>0</v>
      </c>
      <c r="GP294">
        <f t="shared" si="275"/>
        <v>0</v>
      </c>
      <c r="GR294">
        <v>1</v>
      </c>
      <c r="GS294">
        <v>1</v>
      </c>
      <c r="GT294">
        <v>0</v>
      </c>
      <c r="GU294" t="s">
        <v>3</v>
      </c>
      <c r="GV294">
        <f t="shared" si="276"/>
        <v>0</v>
      </c>
      <c r="GW294">
        <v>1</v>
      </c>
      <c r="GX294">
        <f t="shared" si="277"/>
        <v>0</v>
      </c>
      <c r="HA294">
        <v>0</v>
      </c>
      <c r="HB294">
        <v>0</v>
      </c>
      <c r="IK294">
        <v>0</v>
      </c>
    </row>
    <row r="296" spans="1:255" x14ac:dyDescent="0.2">
      <c r="A296" s="3">
        <v>51</v>
      </c>
      <c r="B296" s="3">
        <f>B267</f>
        <v>1</v>
      </c>
      <c r="C296" s="3">
        <f>A267</f>
        <v>5</v>
      </c>
      <c r="D296" s="3">
        <f>ROW(A267)</f>
        <v>267</v>
      </c>
      <c r="E296" s="3"/>
      <c r="F296" s="3" t="str">
        <f>IF(F267&lt;&gt;"",F267,"")</f>
        <v>Новый подраздел</v>
      </c>
      <c r="G296" s="3" t="str">
        <f>IF(G267&lt;&gt;"",G267,"")</f>
        <v>Обеспечение доступа МГН</v>
      </c>
      <c r="H296" s="3">
        <v>0</v>
      </c>
      <c r="I296" s="3"/>
      <c r="J296" s="3"/>
      <c r="K296" s="3"/>
      <c r="L296" s="3"/>
      <c r="M296" s="3"/>
      <c r="N296" s="3"/>
      <c r="O296" s="3">
        <f t="shared" ref="O296:T296" si="285">ROUND(AB296,2)</f>
        <v>2946.43</v>
      </c>
      <c r="P296" s="3">
        <f t="shared" si="285"/>
        <v>2864.98</v>
      </c>
      <c r="Q296" s="3">
        <f t="shared" si="285"/>
        <v>10.119999999999999</v>
      </c>
      <c r="R296" s="3">
        <f t="shared" si="285"/>
        <v>2.41</v>
      </c>
      <c r="S296" s="3">
        <f t="shared" si="285"/>
        <v>71.33</v>
      </c>
      <c r="T296" s="3">
        <f t="shared" si="285"/>
        <v>0</v>
      </c>
      <c r="U296" s="3">
        <f>AH296</f>
        <v>6.2957324999999997</v>
      </c>
      <c r="V296" s="3">
        <f>AI296</f>
        <v>0</v>
      </c>
      <c r="W296" s="3">
        <f>ROUND(AJ296,2)</f>
        <v>0</v>
      </c>
      <c r="X296" s="3">
        <f>ROUND(AK296,2)</f>
        <v>0</v>
      </c>
      <c r="Y296" s="3">
        <f>ROUND(AL296,2)</f>
        <v>0</v>
      </c>
      <c r="Z296" s="3"/>
      <c r="AA296" s="3"/>
      <c r="AB296" s="3">
        <f>ROUND(SUMIF(AA271:AA294,"=45037306",O271:O294),2)</f>
        <v>2946.43</v>
      </c>
      <c r="AC296" s="3">
        <f>ROUND(SUMIF(AA271:AA294,"=45037306",P271:P294),2)</f>
        <v>2864.98</v>
      </c>
      <c r="AD296" s="3">
        <f>ROUND(SUMIF(AA271:AA294,"=45037306",Q271:Q294),2)</f>
        <v>10.119999999999999</v>
      </c>
      <c r="AE296" s="3">
        <f>ROUND(SUMIF(AA271:AA294,"=45037306",R271:R294),2)</f>
        <v>2.41</v>
      </c>
      <c r="AF296" s="3">
        <f>ROUND(SUMIF(AA271:AA294,"=45037306",S271:S294),2)</f>
        <v>71.33</v>
      </c>
      <c r="AG296" s="3">
        <f>ROUND(SUMIF(AA271:AA294,"=45037306",T271:T294),2)</f>
        <v>0</v>
      </c>
      <c r="AH296" s="3">
        <f>SUMIF(AA271:AA294,"=45037306",U271:U294)</f>
        <v>6.2957324999999997</v>
      </c>
      <c r="AI296" s="3">
        <f>SUMIF(AA271:AA294,"=45037306",V271:V294)</f>
        <v>0</v>
      </c>
      <c r="AJ296" s="3">
        <f>ROUND(SUMIF(AA271:AA294,"=45037306",W271:W294),2)</f>
        <v>0</v>
      </c>
      <c r="AK296" s="3">
        <f>ROUND(SUMIF(AA271:AA294,"=45037306",X271:X294),2)</f>
        <v>0</v>
      </c>
      <c r="AL296" s="3">
        <f>ROUND(SUMIF(AA271:AA294,"=45037306",Y271:Y294),2)</f>
        <v>0</v>
      </c>
      <c r="AM296" s="3"/>
      <c r="AN296" s="3"/>
      <c r="AO296" s="3">
        <f t="shared" ref="AO296:BC296" si="286">ROUND(BX296,2)</f>
        <v>0</v>
      </c>
      <c r="AP296" s="3">
        <f t="shared" si="286"/>
        <v>0</v>
      </c>
      <c r="AQ296" s="3">
        <f t="shared" si="286"/>
        <v>0</v>
      </c>
      <c r="AR296" s="3">
        <f t="shared" si="286"/>
        <v>2950.76</v>
      </c>
      <c r="AS296" s="3">
        <f t="shared" si="286"/>
        <v>2950.76</v>
      </c>
      <c r="AT296" s="3">
        <f t="shared" si="286"/>
        <v>0</v>
      </c>
      <c r="AU296" s="3">
        <f t="shared" si="286"/>
        <v>0</v>
      </c>
      <c r="AV296" s="3">
        <f t="shared" si="286"/>
        <v>2864.98</v>
      </c>
      <c r="AW296" s="3">
        <f t="shared" si="286"/>
        <v>2864.98</v>
      </c>
      <c r="AX296" s="3">
        <f t="shared" si="286"/>
        <v>0</v>
      </c>
      <c r="AY296" s="3">
        <f t="shared" si="286"/>
        <v>2864.98</v>
      </c>
      <c r="AZ296" s="3">
        <f t="shared" si="286"/>
        <v>0</v>
      </c>
      <c r="BA296" s="3">
        <f t="shared" si="286"/>
        <v>0</v>
      </c>
      <c r="BB296" s="3">
        <f t="shared" si="286"/>
        <v>0</v>
      </c>
      <c r="BC296" s="3">
        <f t="shared" si="286"/>
        <v>0</v>
      </c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>
        <f>ROUND(SUMIF(AA271:AA294,"=45037306",FQ271:FQ294),2)</f>
        <v>0</v>
      </c>
      <c r="BY296" s="3">
        <f>ROUND(SUMIF(AA271:AA294,"=45037306",FR271:FR294),2)</f>
        <v>0</v>
      </c>
      <c r="BZ296" s="3">
        <f>ROUND(SUMIF(AA271:AA294,"=45037306",GL271:GL294),2)</f>
        <v>0</v>
      </c>
      <c r="CA296" s="3">
        <f>ROUND(SUMIF(AA271:AA294,"=45037306",GM271:GM294),2)</f>
        <v>2950.76</v>
      </c>
      <c r="CB296" s="3">
        <f>ROUND(SUMIF(AA271:AA294,"=45037306",GN271:GN294),2)</f>
        <v>2950.76</v>
      </c>
      <c r="CC296" s="3">
        <f>ROUND(SUMIF(AA271:AA294,"=45037306",GO271:GO294),2)</f>
        <v>0</v>
      </c>
      <c r="CD296" s="3">
        <f>ROUND(SUMIF(AA271:AA294,"=45037306",GP271:GP294),2)</f>
        <v>0</v>
      </c>
      <c r="CE296" s="3">
        <f>AC296-BX296</f>
        <v>2864.98</v>
      </c>
      <c r="CF296" s="3">
        <f>AC296-BY296</f>
        <v>2864.98</v>
      </c>
      <c r="CG296" s="3">
        <f>BX296-BZ296</f>
        <v>0</v>
      </c>
      <c r="CH296" s="3">
        <f>AC296-BX296-BY296+BZ296</f>
        <v>2864.98</v>
      </c>
      <c r="CI296" s="3">
        <f>BY296-BZ296</f>
        <v>0</v>
      </c>
      <c r="CJ296" s="3">
        <f>ROUND(SUMIF(AA271:AA294,"=45037306",GX271:GX294),2)</f>
        <v>0</v>
      </c>
      <c r="CK296" s="3">
        <f>ROUND(SUMIF(AA271:AA294,"=45037306",GY271:GY294),2)</f>
        <v>0</v>
      </c>
      <c r="CL296" s="3">
        <f>ROUND(SUMIF(AA271:AA294,"=45037306",GZ271:GZ294),2)</f>
        <v>0</v>
      </c>
      <c r="CM296" s="3"/>
      <c r="CN296" s="3"/>
      <c r="CO296" s="3"/>
      <c r="CP296" s="3"/>
      <c r="CQ296" s="3"/>
      <c r="CR296" s="3"/>
      <c r="CS296" s="3"/>
      <c r="CT296" s="3"/>
      <c r="CU296" s="3"/>
      <c r="CV296" s="3"/>
      <c r="CW296" s="3"/>
      <c r="CX296" s="3"/>
      <c r="CY296" s="3"/>
      <c r="CZ296" s="3"/>
      <c r="DA296" s="3"/>
      <c r="DB296" s="3"/>
      <c r="DC296" s="3"/>
      <c r="DD296" s="3"/>
      <c r="DE296" s="3"/>
      <c r="DF296" s="3"/>
      <c r="DG296" s="4">
        <f t="shared" ref="DG296:DL296" si="287">ROUND(DT296,2)</f>
        <v>17476.16</v>
      </c>
      <c r="DH296" s="4">
        <f t="shared" si="287"/>
        <v>15937.17</v>
      </c>
      <c r="DI296" s="4">
        <f t="shared" si="287"/>
        <v>83.99</v>
      </c>
      <c r="DJ296" s="4">
        <f t="shared" si="287"/>
        <v>49.19</v>
      </c>
      <c r="DK296" s="4">
        <f t="shared" si="287"/>
        <v>1455</v>
      </c>
      <c r="DL296" s="4">
        <f t="shared" si="287"/>
        <v>0</v>
      </c>
      <c r="DM296" s="4">
        <f>DZ296</f>
        <v>6.2957324999999997</v>
      </c>
      <c r="DN296" s="4">
        <f>EA296</f>
        <v>0</v>
      </c>
      <c r="DO296" s="4">
        <f>ROUND(EB296,2)</f>
        <v>0</v>
      </c>
      <c r="DP296" s="4">
        <f>ROUND(EC296,2)</f>
        <v>1237.0899999999999</v>
      </c>
      <c r="DQ296" s="4">
        <f>ROUND(ED296,2)</f>
        <v>596.54</v>
      </c>
      <c r="DR296" s="4"/>
      <c r="DS296" s="4"/>
      <c r="DT296" s="4">
        <f>ROUND(SUMIF(AA271:AA294,"=45037307",O271:O294),2)</f>
        <v>17476.16</v>
      </c>
      <c r="DU296" s="4">
        <f>ROUND(SUMIF(AA271:AA294,"=45037307",P271:P294),2)</f>
        <v>15937.17</v>
      </c>
      <c r="DV296" s="4">
        <f>ROUND(SUMIF(AA271:AA294,"=45037307",Q271:Q294),2)</f>
        <v>83.99</v>
      </c>
      <c r="DW296" s="4">
        <f>ROUND(SUMIF(AA271:AA294,"=45037307",R271:R294),2)</f>
        <v>49.19</v>
      </c>
      <c r="DX296" s="4">
        <f>ROUND(SUMIF(AA271:AA294,"=45037307",S271:S294),2)</f>
        <v>1455</v>
      </c>
      <c r="DY296" s="4">
        <f>ROUND(SUMIF(AA271:AA294,"=45037307",T271:T294),2)</f>
        <v>0</v>
      </c>
      <c r="DZ296" s="4">
        <f>SUMIF(AA271:AA294,"=45037307",U271:U294)</f>
        <v>6.2957324999999997</v>
      </c>
      <c r="EA296" s="4">
        <f>SUMIF(AA271:AA294,"=45037307",V271:V294)</f>
        <v>0</v>
      </c>
      <c r="EB296" s="4">
        <f>ROUND(SUMIF(AA271:AA294,"=45037307",W271:W294),2)</f>
        <v>0</v>
      </c>
      <c r="EC296" s="4">
        <f>ROUND(SUMIF(AA271:AA294,"=45037307",X271:X294),2)</f>
        <v>1237.0899999999999</v>
      </c>
      <c r="ED296" s="4">
        <f>ROUND(SUMIF(AA271:AA294,"=45037307",Y271:Y294),2)</f>
        <v>596.54</v>
      </c>
      <c r="EE296" s="4"/>
      <c r="EF296" s="4"/>
      <c r="EG296" s="4">
        <f t="shared" ref="EG296:EU296" si="288">ROUND(FP296,2)</f>
        <v>0</v>
      </c>
      <c r="EH296" s="4">
        <f t="shared" si="288"/>
        <v>0</v>
      </c>
      <c r="EI296" s="4">
        <f t="shared" si="288"/>
        <v>0</v>
      </c>
      <c r="EJ296" s="4">
        <f t="shared" si="288"/>
        <v>19392.43</v>
      </c>
      <c r="EK296" s="4">
        <f t="shared" si="288"/>
        <v>19392.43</v>
      </c>
      <c r="EL296" s="4">
        <f t="shared" si="288"/>
        <v>0</v>
      </c>
      <c r="EM296" s="4">
        <f t="shared" si="288"/>
        <v>0</v>
      </c>
      <c r="EN296" s="4">
        <f t="shared" si="288"/>
        <v>15937.17</v>
      </c>
      <c r="EO296" s="4">
        <f t="shared" si="288"/>
        <v>15937.17</v>
      </c>
      <c r="EP296" s="4">
        <f t="shared" si="288"/>
        <v>0</v>
      </c>
      <c r="EQ296" s="4">
        <f t="shared" si="288"/>
        <v>15937.17</v>
      </c>
      <c r="ER296" s="4">
        <f t="shared" si="288"/>
        <v>0</v>
      </c>
      <c r="ES296" s="4">
        <f t="shared" si="288"/>
        <v>0</v>
      </c>
      <c r="ET296" s="4">
        <f t="shared" si="288"/>
        <v>0</v>
      </c>
      <c r="EU296" s="4">
        <f t="shared" si="288"/>
        <v>0</v>
      </c>
      <c r="EV296" s="4"/>
      <c r="EW296" s="4"/>
      <c r="EX296" s="4"/>
      <c r="EY296" s="4"/>
      <c r="EZ296" s="4"/>
      <c r="FA296" s="4"/>
      <c r="FB296" s="4"/>
      <c r="FC296" s="4"/>
      <c r="FD296" s="4"/>
      <c r="FE296" s="4"/>
      <c r="FF296" s="4"/>
      <c r="FG296" s="4"/>
      <c r="FH296" s="4"/>
      <c r="FI296" s="4"/>
      <c r="FJ296" s="4"/>
      <c r="FK296" s="4"/>
      <c r="FL296" s="4"/>
      <c r="FM296" s="4"/>
      <c r="FN296" s="4"/>
      <c r="FO296" s="4"/>
      <c r="FP296" s="4">
        <f>ROUND(SUMIF(AA271:AA294,"=45037307",FQ271:FQ294),2)</f>
        <v>0</v>
      </c>
      <c r="FQ296" s="4">
        <f>ROUND(SUMIF(AA271:AA294,"=45037307",FR271:FR294),2)</f>
        <v>0</v>
      </c>
      <c r="FR296" s="4">
        <f>ROUND(SUMIF(AA271:AA294,"=45037307",GL271:GL294),2)</f>
        <v>0</v>
      </c>
      <c r="FS296" s="4">
        <f>ROUND(SUMIF(AA271:AA294,"=45037307",GM271:GM294),2)</f>
        <v>19392.43</v>
      </c>
      <c r="FT296" s="4">
        <f>ROUND(SUMIF(AA271:AA294,"=45037307",GN271:GN294),2)</f>
        <v>19392.43</v>
      </c>
      <c r="FU296" s="4">
        <f>ROUND(SUMIF(AA271:AA294,"=45037307",GO271:GO294),2)</f>
        <v>0</v>
      </c>
      <c r="FV296" s="4">
        <f>ROUND(SUMIF(AA271:AA294,"=45037307",GP271:GP294),2)</f>
        <v>0</v>
      </c>
      <c r="FW296" s="4">
        <f>DU296-FP296</f>
        <v>15937.17</v>
      </c>
      <c r="FX296" s="4">
        <f>DU296-FQ296</f>
        <v>15937.17</v>
      </c>
      <c r="FY296" s="4">
        <f>FP296-FR296</f>
        <v>0</v>
      </c>
      <c r="FZ296" s="4">
        <f>DU296-FP296-FQ296+FR296</f>
        <v>15937.17</v>
      </c>
      <c r="GA296" s="4">
        <f>FQ296-FR296</f>
        <v>0</v>
      </c>
      <c r="GB296" s="4">
        <f>ROUND(SUMIF(AA271:AA294,"=45037307",GX271:GX294),2)</f>
        <v>0</v>
      </c>
      <c r="GC296" s="4">
        <f>ROUND(SUMIF(AA271:AA294,"=45037307",GY271:GY294),2)</f>
        <v>0</v>
      </c>
      <c r="GD296" s="4">
        <f>ROUND(SUMIF(AA271:AA294,"=45037307",GZ271:GZ294),2)</f>
        <v>0</v>
      </c>
      <c r="GE296" s="4"/>
      <c r="GF296" s="4"/>
      <c r="GG296" s="4"/>
      <c r="GH296" s="4"/>
      <c r="GI296" s="4"/>
      <c r="GJ296" s="4"/>
      <c r="GK296" s="4"/>
      <c r="GL296" s="4"/>
      <c r="GM296" s="4"/>
      <c r="GN296" s="4"/>
      <c r="GO296" s="4"/>
      <c r="GP296" s="4"/>
      <c r="GQ296" s="4"/>
      <c r="GR296" s="4"/>
      <c r="GS296" s="4"/>
      <c r="GT296" s="4"/>
      <c r="GU296" s="4"/>
      <c r="GV296" s="4"/>
      <c r="GW296" s="4"/>
      <c r="GX296" s="4">
        <v>0</v>
      </c>
    </row>
    <row r="298" spans="1:255" x14ac:dyDescent="0.2">
      <c r="A298" s="5">
        <v>50</v>
      </c>
      <c r="B298" s="5">
        <v>0</v>
      </c>
      <c r="C298" s="5">
        <v>0</v>
      </c>
      <c r="D298" s="5">
        <v>1</v>
      </c>
      <c r="E298" s="5">
        <v>201</v>
      </c>
      <c r="F298" s="5">
        <f>ROUND(Source!O296,O298)</f>
        <v>2946.43</v>
      </c>
      <c r="G298" s="5" t="s">
        <v>117</v>
      </c>
      <c r="H298" s="5" t="s">
        <v>118</v>
      </c>
      <c r="I298" s="5"/>
      <c r="J298" s="5"/>
      <c r="K298" s="5">
        <v>201</v>
      </c>
      <c r="L298" s="5">
        <v>1</v>
      </c>
      <c r="M298" s="5">
        <v>3</v>
      </c>
      <c r="N298" s="5" t="s">
        <v>3</v>
      </c>
      <c r="O298" s="5">
        <v>2</v>
      </c>
      <c r="P298" s="5">
        <f>ROUND(Source!DG296,O298)</f>
        <v>17476.16</v>
      </c>
      <c r="Q298" s="5"/>
      <c r="R298" s="5"/>
      <c r="S298" s="5"/>
      <c r="T298" s="5"/>
      <c r="U298" s="5"/>
      <c r="V298" s="5"/>
      <c r="W298" s="5"/>
    </row>
    <row r="299" spans="1:255" x14ac:dyDescent="0.2">
      <c r="A299" s="5">
        <v>50</v>
      </c>
      <c r="B299" s="5">
        <v>0</v>
      </c>
      <c r="C299" s="5">
        <v>0</v>
      </c>
      <c r="D299" s="5">
        <v>1</v>
      </c>
      <c r="E299" s="5">
        <v>202</v>
      </c>
      <c r="F299" s="5">
        <f>ROUND(Source!P296,O299)</f>
        <v>2864.98</v>
      </c>
      <c r="G299" s="5" t="s">
        <v>119</v>
      </c>
      <c r="H299" s="5" t="s">
        <v>120</v>
      </c>
      <c r="I299" s="5"/>
      <c r="J299" s="5"/>
      <c r="K299" s="5">
        <v>202</v>
      </c>
      <c r="L299" s="5">
        <v>2</v>
      </c>
      <c r="M299" s="5">
        <v>3</v>
      </c>
      <c r="N299" s="5" t="s">
        <v>3</v>
      </c>
      <c r="O299" s="5">
        <v>2</v>
      </c>
      <c r="P299" s="5">
        <f>ROUND(Source!DH296,O299)</f>
        <v>15937.17</v>
      </c>
      <c r="Q299" s="5"/>
      <c r="R299" s="5"/>
      <c r="S299" s="5"/>
      <c r="T299" s="5"/>
      <c r="U299" s="5"/>
      <c r="V299" s="5"/>
      <c r="W299" s="5"/>
    </row>
    <row r="300" spans="1:255" x14ac:dyDescent="0.2">
      <c r="A300" s="5">
        <v>50</v>
      </c>
      <c r="B300" s="5">
        <v>0</v>
      </c>
      <c r="C300" s="5">
        <v>0</v>
      </c>
      <c r="D300" s="5">
        <v>1</v>
      </c>
      <c r="E300" s="5">
        <v>227</v>
      </c>
      <c r="F300" s="5">
        <f>ROUND(Source!AO296,O300)</f>
        <v>0</v>
      </c>
      <c r="G300" s="5" t="s">
        <v>121</v>
      </c>
      <c r="H300" s="5" t="s">
        <v>122</v>
      </c>
      <c r="I300" s="5"/>
      <c r="J300" s="5"/>
      <c r="K300" s="5">
        <v>222</v>
      </c>
      <c r="L300" s="5">
        <v>3</v>
      </c>
      <c r="M300" s="5">
        <v>3</v>
      </c>
      <c r="N300" s="5" t="s">
        <v>3</v>
      </c>
      <c r="O300" s="5">
        <v>2</v>
      </c>
      <c r="P300" s="5">
        <f>ROUND(Source!EG296,O300)</f>
        <v>0</v>
      </c>
      <c r="Q300" s="5"/>
      <c r="R300" s="5"/>
      <c r="S300" s="5"/>
      <c r="T300" s="5"/>
      <c r="U300" s="5"/>
      <c r="V300" s="5"/>
      <c r="W300" s="5"/>
    </row>
    <row r="301" spans="1:255" x14ac:dyDescent="0.2">
      <c r="A301" s="5">
        <v>50</v>
      </c>
      <c r="B301" s="5">
        <v>0</v>
      </c>
      <c r="C301" s="5">
        <v>0</v>
      </c>
      <c r="D301" s="5">
        <v>1</v>
      </c>
      <c r="E301" s="5">
        <v>225</v>
      </c>
      <c r="F301" s="5">
        <f>ROUND(Source!AV296,O301)</f>
        <v>2864.98</v>
      </c>
      <c r="G301" s="5" t="s">
        <v>123</v>
      </c>
      <c r="H301" s="5" t="s">
        <v>124</v>
      </c>
      <c r="I301" s="5"/>
      <c r="J301" s="5"/>
      <c r="K301" s="5">
        <v>225</v>
      </c>
      <c r="L301" s="5">
        <v>4</v>
      </c>
      <c r="M301" s="5">
        <v>3</v>
      </c>
      <c r="N301" s="5" t="s">
        <v>3</v>
      </c>
      <c r="O301" s="5">
        <v>2</v>
      </c>
      <c r="P301" s="5">
        <f>ROUND(Source!EN296,O301)</f>
        <v>15937.17</v>
      </c>
      <c r="Q301" s="5"/>
      <c r="R301" s="5"/>
      <c r="S301" s="5"/>
      <c r="T301" s="5"/>
      <c r="U301" s="5"/>
      <c r="V301" s="5"/>
      <c r="W301" s="5"/>
    </row>
    <row r="302" spans="1:255" x14ac:dyDescent="0.2">
      <c r="A302" s="5">
        <v>50</v>
      </c>
      <c r="B302" s="5">
        <v>0</v>
      </c>
      <c r="C302" s="5">
        <v>0</v>
      </c>
      <c r="D302" s="5">
        <v>1</v>
      </c>
      <c r="E302" s="5">
        <v>226</v>
      </c>
      <c r="F302" s="5">
        <f>ROUND(Source!AW296,O302)</f>
        <v>2864.98</v>
      </c>
      <c r="G302" s="5" t="s">
        <v>125</v>
      </c>
      <c r="H302" s="5" t="s">
        <v>126</v>
      </c>
      <c r="I302" s="5"/>
      <c r="J302" s="5"/>
      <c r="K302" s="5">
        <v>226</v>
      </c>
      <c r="L302" s="5">
        <v>5</v>
      </c>
      <c r="M302" s="5">
        <v>3</v>
      </c>
      <c r="N302" s="5" t="s">
        <v>3</v>
      </c>
      <c r="O302" s="5">
        <v>2</v>
      </c>
      <c r="P302" s="5">
        <f>ROUND(Source!EO296,O302)</f>
        <v>15937.17</v>
      </c>
      <c r="Q302" s="5"/>
      <c r="R302" s="5"/>
      <c r="S302" s="5"/>
      <c r="T302" s="5"/>
      <c r="U302" s="5"/>
      <c r="V302" s="5"/>
      <c r="W302" s="5"/>
    </row>
    <row r="303" spans="1:255" x14ac:dyDescent="0.2">
      <c r="A303" s="5">
        <v>50</v>
      </c>
      <c r="B303" s="5">
        <v>0</v>
      </c>
      <c r="C303" s="5">
        <v>0</v>
      </c>
      <c r="D303" s="5">
        <v>1</v>
      </c>
      <c r="E303" s="5">
        <v>0</v>
      </c>
      <c r="F303" s="5">
        <f>ROUND(Source!AX296,O303)</f>
        <v>0</v>
      </c>
      <c r="G303" s="5" t="s">
        <v>127</v>
      </c>
      <c r="H303" s="5" t="s">
        <v>128</v>
      </c>
      <c r="I303" s="5"/>
      <c r="J303" s="5"/>
      <c r="K303" s="5">
        <v>227</v>
      </c>
      <c r="L303" s="5">
        <v>6</v>
      </c>
      <c r="M303" s="5">
        <v>3</v>
      </c>
      <c r="N303" s="5" t="s">
        <v>3</v>
      </c>
      <c r="O303" s="5">
        <v>2</v>
      </c>
      <c r="P303" s="5">
        <f>ROUND(Source!EP296,O303)</f>
        <v>0</v>
      </c>
      <c r="Q303" s="5"/>
      <c r="R303" s="5"/>
      <c r="S303" s="5"/>
      <c r="T303" s="5"/>
      <c r="U303" s="5"/>
      <c r="V303" s="5"/>
      <c r="W303" s="5"/>
    </row>
    <row r="304" spans="1:255" x14ac:dyDescent="0.2">
      <c r="A304" s="5">
        <v>50</v>
      </c>
      <c r="B304" s="5">
        <v>0</v>
      </c>
      <c r="C304" s="5">
        <v>0</v>
      </c>
      <c r="D304" s="5">
        <v>1</v>
      </c>
      <c r="E304" s="5">
        <v>228</v>
      </c>
      <c r="F304" s="5">
        <f>ROUND(Source!AY296,O304)</f>
        <v>2864.98</v>
      </c>
      <c r="G304" s="5" t="s">
        <v>129</v>
      </c>
      <c r="H304" s="5" t="s">
        <v>130</v>
      </c>
      <c r="I304" s="5"/>
      <c r="J304" s="5"/>
      <c r="K304" s="5">
        <v>228</v>
      </c>
      <c r="L304" s="5">
        <v>7</v>
      </c>
      <c r="M304" s="5">
        <v>3</v>
      </c>
      <c r="N304" s="5" t="s">
        <v>3</v>
      </c>
      <c r="O304" s="5">
        <v>2</v>
      </c>
      <c r="P304" s="5">
        <f>ROUND(Source!EQ296,O304)</f>
        <v>15937.17</v>
      </c>
      <c r="Q304" s="5"/>
      <c r="R304" s="5"/>
      <c r="S304" s="5"/>
      <c r="T304" s="5"/>
      <c r="U304" s="5"/>
      <c r="V304" s="5"/>
      <c r="W304" s="5"/>
    </row>
    <row r="305" spans="1:23" x14ac:dyDescent="0.2">
      <c r="A305" s="5">
        <v>50</v>
      </c>
      <c r="B305" s="5">
        <v>0</v>
      </c>
      <c r="C305" s="5">
        <v>0</v>
      </c>
      <c r="D305" s="5">
        <v>1</v>
      </c>
      <c r="E305" s="5">
        <v>216</v>
      </c>
      <c r="F305" s="5">
        <f>ROUND(Source!AP296,O305)</f>
        <v>0</v>
      </c>
      <c r="G305" s="5" t="s">
        <v>131</v>
      </c>
      <c r="H305" s="5" t="s">
        <v>132</v>
      </c>
      <c r="I305" s="5"/>
      <c r="J305" s="5"/>
      <c r="K305" s="5">
        <v>216</v>
      </c>
      <c r="L305" s="5">
        <v>8</v>
      </c>
      <c r="M305" s="5">
        <v>3</v>
      </c>
      <c r="N305" s="5" t="s">
        <v>3</v>
      </c>
      <c r="O305" s="5">
        <v>2</v>
      </c>
      <c r="P305" s="5">
        <f>ROUND(Source!EH296,O305)</f>
        <v>0</v>
      </c>
      <c r="Q305" s="5"/>
      <c r="R305" s="5"/>
      <c r="S305" s="5"/>
      <c r="T305" s="5"/>
      <c r="U305" s="5"/>
      <c r="V305" s="5"/>
      <c r="W305" s="5"/>
    </row>
    <row r="306" spans="1:23" x14ac:dyDescent="0.2">
      <c r="A306" s="5">
        <v>50</v>
      </c>
      <c r="B306" s="5">
        <v>0</v>
      </c>
      <c r="C306" s="5">
        <v>0</v>
      </c>
      <c r="D306" s="5">
        <v>1</v>
      </c>
      <c r="E306" s="5">
        <v>223</v>
      </c>
      <c r="F306" s="5">
        <f>ROUND(Source!AQ296,O306)</f>
        <v>0</v>
      </c>
      <c r="G306" s="5" t="s">
        <v>133</v>
      </c>
      <c r="H306" s="5" t="s">
        <v>134</v>
      </c>
      <c r="I306" s="5"/>
      <c r="J306" s="5"/>
      <c r="K306" s="5">
        <v>223</v>
      </c>
      <c r="L306" s="5">
        <v>9</v>
      </c>
      <c r="M306" s="5">
        <v>3</v>
      </c>
      <c r="N306" s="5" t="s">
        <v>3</v>
      </c>
      <c r="O306" s="5">
        <v>2</v>
      </c>
      <c r="P306" s="5">
        <f>ROUND(Source!EI296,O306)</f>
        <v>0</v>
      </c>
      <c r="Q306" s="5"/>
      <c r="R306" s="5"/>
      <c r="S306" s="5"/>
      <c r="T306" s="5"/>
      <c r="U306" s="5"/>
      <c r="V306" s="5"/>
      <c r="W306" s="5"/>
    </row>
    <row r="307" spans="1:23" x14ac:dyDescent="0.2">
      <c r="A307" s="5">
        <v>50</v>
      </c>
      <c r="B307" s="5">
        <v>0</v>
      </c>
      <c r="C307" s="5">
        <v>0</v>
      </c>
      <c r="D307" s="5">
        <v>1</v>
      </c>
      <c r="E307" s="5">
        <v>229</v>
      </c>
      <c r="F307" s="5">
        <f>ROUND(Source!AZ296,O307)</f>
        <v>0</v>
      </c>
      <c r="G307" s="5" t="s">
        <v>135</v>
      </c>
      <c r="H307" s="5" t="s">
        <v>136</v>
      </c>
      <c r="I307" s="5"/>
      <c r="J307" s="5"/>
      <c r="K307" s="5">
        <v>229</v>
      </c>
      <c r="L307" s="5">
        <v>10</v>
      </c>
      <c r="M307" s="5">
        <v>3</v>
      </c>
      <c r="N307" s="5" t="s">
        <v>3</v>
      </c>
      <c r="O307" s="5">
        <v>2</v>
      </c>
      <c r="P307" s="5">
        <f>ROUND(Source!ER296,O307)</f>
        <v>0</v>
      </c>
      <c r="Q307" s="5"/>
      <c r="R307" s="5"/>
      <c r="S307" s="5"/>
      <c r="T307" s="5"/>
      <c r="U307" s="5"/>
      <c r="V307" s="5"/>
      <c r="W307" s="5"/>
    </row>
    <row r="308" spans="1:23" x14ac:dyDescent="0.2">
      <c r="A308" s="5">
        <v>50</v>
      </c>
      <c r="B308" s="5">
        <v>0</v>
      </c>
      <c r="C308" s="5">
        <v>0</v>
      </c>
      <c r="D308" s="5">
        <v>1</v>
      </c>
      <c r="E308" s="5">
        <v>203</v>
      </c>
      <c r="F308" s="5">
        <f>ROUND(Source!Q296,O308)</f>
        <v>10.119999999999999</v>
      </c>
      <c r="G308" s="5" t="s">
        <v>137</v>
      </c>
      <c r="H308" s="5" t="s">
        <v>138</v>
      </c>
      <c r="I308" s="5"/>
      <c r="J308" s="5"/>
      <c r="K308" s="5">
        <v>203</v>
      </c>
      <c r="L308" s="5">
        <v>11</v>
      </c>
      <c r="M308" s="5">
        <v>3</v>
      </c>
      <c r="N308" s="5" t="s">
        <v>3</v>
      </c>
      <c r="O308" s="5">
        <v>2</v>
      </c>
      <c r="P308" s="5">
        <f>ROUND(Source!DI296,O308)</f>
        <v>83.99</v>
      </c>
      <c r="Q308" s="5"/>
      <c r="R308" s="5"/>
      <c r="S308" s="5"/>
      <c r="T308" s="5"/>
      <c r="U308" s="5"/>
      <c r="V308" s="5"/>
      <c r="W308" s="5"/>
    </row>
    <row r="309" spans="1:23" x14ac:dyDescent="0.2">
      <c r="A309" s="5">
        <v>50</v>
      </c>
      <c r="B309" s="5">
        <v>0</v>
      </c>
      <c r="C309" s="5">
        <v>0</v>
      </c>
      <c r="D309" s="5">
        <v>1</v>
      </c>
      <c r="E309" s="5">
        <v>231</v>
      </c>
      <c r="F309" s="5">
        <f>ROUND(Source!BB296,O309)</f>
        <v>0</v>
      </c>
      <c r="G309" s="5" t="s">
        <v>139</v>
      </c>
      <c r="H309" s="5" t="s">
        <v>140</v>
      </c>
      <c r="I309" s="5"/>
      <c r="J309" s="5"/>
      <c r="K309" s="5">
        <v>231</v>
      </c>
      <c r="L309" s="5">
        <v>12</v>
      </c>
      <c r="M309" s="5">
        <v>3</v>
      </c>
      <c r="N309" s="5" t="s">
        <v>3</v>
      </c>
      <c r="O309" s="5">
        <v>2</v>
      </c>
      <c r="P309" s="5">
        <f>ROUND(Source!ET296,O309)</f>
        <v>0</v>
      </c>
      <c r="Q309" s="5"/>
      <c r="R309" s="5"/>
      <c r="S309" s="5"/>
      <c r="T309" s="5"/>
      <c r="U309" s="5"/>
      <c r="V309" s="5"/>
      <c r="W309" s="5"/>
    </row>
    <row r="310" spans="1:23" x14ac:dyDescent="0.2">
      <c r="A310" s="5">
        <v>50</v>
      </c>
      <c r="B310" s="5">
        <v>0</v>
      </c>
      <c r="C310" s="5">
        <v>0</v>
      </c>
      <c r="D310" s="5">
        <v>1</v>
      </c>
      <c r="E310" s="5">
        <v>204</v>
      </c>
      <c r="F310" s="5">
        <f>ROUND(Source!R296,O310)</f>
        <v>2.41</v>
      </c>
      <c r="G310" s="5" t="s">
        <v>141</v>
      </c>
      <c r="H310" s="5" t="s">
        <v>142</v>
      </c>
      <c r="I310" s="5"/>
      <c r="J310" s="5"/>
      <c r="K310" s="5">
        <v>204</v>
      </c>
      <c r="L310" s="5">
        <v>13</v>
      </c>
      <c r="M310" s="5">
        <v>3</v>
      </c>
      <c r="N310" s="5" t="s">
        <v>3</v>
      </c>
      <c r="O310" s="5">
        <v>2</v>
      </c>
      <c r="P310" s="5">
        <f>ROUND(Source!DJ296,O310)</f>
        <v>49.19</v>
      </c>
      <c r="Q310" s="5"/>
      <c r="R310" s="5"/>
      <c r="S310" s="5"/>
      <c r="T310" s="5"/>
      <c r="U310" s="5"/>
      <c r="V310" s="5"/>
      <c r="W310" s="5"/>
    </row>
    <row r="311" spans="1:23" x14ac:dyDescent="0.2">
      <c r="A311" s="5">
        <v>50</v>
      </c>
      <c r="B311" s="5">
        <v>0</v>
      </c>
      <c r="C311" s="5">
        <v>0</v>
      </c>
      <c r="D311" s="5">
        <v>1</v>
      </c>
      <c r="E311" s="5">
        <v>205</v>
      </c>
      <c r="F311" s="5">
        <f>ROUND(Source!S296,O311)</f>
        <v>71.33</v>
      </c>
      <c r="G311" s="5" t="s">
        <v>143</v>
      </c>
      <c r="H311" s="5" t="s">
        <v>144</v>
      </c>
      <c r="I311" s="5"/>
      <c r="J311" s="5"/>
      <c r="K311" s="5">
        <v>205</v>
      </c>
      <c r="L311" s="5">
        <v>14</v>
      </c>
      <c r="M311" s="5">
        <v>3</v>
      </c>
      <c r="N311" s="5" t="s">
        <v>3</v>
      </c>
      <c r="O311" s="5">
        <v>2</v>
      </c>
      <c r="P311" s="5">
        <f>ROUND(Source!DK296,O311)</f>
        <v>1455</v>
      </c>
      <c r="Q311" s="5"/>
      <c r="R311" s="5"/>
      <c r="S311" s="5"/>
      <c r="T311" s="5"/>
      <c r="U311" s="5"/>
      <c r="V311" s="5"/>
      <c r="W311" s="5"/>
    </row>
    <row r="312" spans="1:23" x14ac:dyDescent="0.2">
      <c r="A312" s="5">
        <v>50</v>
      </c>
      <c r="B312" s="5">
        <v>0</v>
      </c>
      <c r="C312" s="5">
        <v>0</v>
      </c>
      <c r="D312" s="5">
        <v>1</v>
      </c>
      <c r="E312" s="5">
        <v>232</v>
      </c>
      <c r="F312" s="5">
        <f>ROUND(Source!BC296,O312)</f>
        <v>0</v>
      </c>
      <c r="G312" s="5" t="s">
        <v>145</v>
      </c>
      <c r="H312" s="5" t="s">
        <v>146</v>
      </c>
      <c r="I312" s="5"/>
      <c r="J312" s="5"/>
      <c r="K312" s="5">
        <v>232</v>
      </c>
      <c r="L312" s="5">
        <v>15</v>
      </c>
      <c r="M312" s="5">
        <v>3</v>
      </c>
      <c r="N312" s="5" t="s">
        <v>3</v>
      </c>
      <c r="O312" s="5">
        <v>2</v>
      </c>
      <c r="P312" s="5">
        <f>ROUND(Source!EU296,O312)</f>
        <v>0</v>
      </c>
      <c r="Q312" s="5"/>
      <c r="R312" s="5"/>
      <c r="S312" s="5"/>
      <c r="T312" s="5"/>
      <c r="U312" s="5"/>
      <c r="V312" s="5"/>
      <c r="W312" s="5"/>
    </row>
    <row r="313" spans="1:23" x14ac:dyDescent="0.2">
      <c r="A313" s="5">
        <v>50</v>
      </c>
      <c r="B313" s="5">
        <v>0</v>
      </c>
      <c r="C313" s="5">
        <v>0</v>
      </c>
      <c r="D313" s="5">
        <v>1</v>
      </c>
      <c r="E313" s="5">
        <v>214</v>
      </c>
      <c r="F313" s="5">
        <f>ROUND(Source!AS296,O313)</f>
        <v>2950.76</v>
      </c>
      <c r="G313" s="5" t="s">
        <v>147</v>
      </c>
      <c r="H313" s="5" t="s">
        <v>148</v>
      </c>
      <c r="I313" s="5"/>
      <c r="J313" s="5"/>
      <c r="K313" s="5">
        <v>214</v>
      </c>
      <c r="L313" s="5">
        <v>16</v>
      </c>
      <c r="M313" s="5">
        <v>3</v>
      </c>
      <c r="N313" s="5" t="s">
        <v>3</v>
      </c>
      <c r="O313" s="5">
        <v>2</v>
      </c>
      <c r="P313" s="5">
        <f>ROUND(Source!EK296,O313)</f>
        <v>19392.43</v>
      </c>
      <c r="Q313" s="5"/>
      <c r="R313" s="5"/>
      <c r="S313" s="5"/>
      <c r="T313" s="5"/>
      <c r="U313" s="5"/>
      <c r="V313" s="5"/>
      <c r="W313" s="5"/>
    </row>
    <row r="314" spans="1:23" x14ac:dyDescent="0.2">
      <c r="A314" s="5">
        <v>50</v>
      </c>
      <c r="B314" s="5">
        <v>0</v>
      </c>
      <c r="C314" s="5">
        <v>0</v>
      </c>
      <c r="D314" s="5">
        <v>1</v>
      </c>
      <c r="E314" s="5">
        <v>215</v>
      </c>
      <c r="F314" s="5">
        <f>ROUND(Source!AT296,O314)</f>
        <v>0</v>
      </c>
      <c r="G314" s="5" t="s">
        <v>149</v>
      </c>
      <c r="H314" s="5" t="s">
        <v>150</v>
      </c>
      <c r="I314" s="5"/>
      <c r="J314" s="5"/>
      <c r="K314" s="5">
        <v>215</v>
      </c>
      <c r="L314" s="5">
        <v>17</v>
      </c>
      <c r="M314" s="5">
        <v>3</v>
      </c>
      <c r="N314" s="5" t="s">
        <v>3</v>
      </c>
      <c r="O314" s="5">
        <v>2</v>
      </c>
      <c r="P314" s="5">
        <f>ROUND(Source!EL296,O314)</f>
        <v>0</v>
      </c>
      <c r="Q314" s="5"/>
      <c r="R314" s="5"/>
      <c r="S314" s="5"/>
      <c r="T314" s="5"/>
      <c r="U314" s="5"/>
      <c r="V314" s="5"/>
      <c r="W314" s="5"/>
    </row>
    <row r="315" spans="1:23" x14ac:dyDescent="0.2">
      <c r="A315" s="5">
        <v>50</v>
      </c>
      <c r="B315" s="5">
        <v>0</v>
      </c>
      <c r="C315" s="5">
        <v>0</v>
      </c>
      <c r="D315" s="5">
        <v>1</v>
      </c>
      <c r="E315" s="5">
        <v>217</v>
      </c>
      <c r="F315" s="5">
        <f>ROUND(Source!AU296,O315)</f>
        <v>0</v>
      </c>
      <c r="G315" s="5" t="s">
        <v>151</v>
      </c>
      <c r="H315" s="5" t="s">
        <v>152</v>
      </c>
      <c r="I315" s="5"/>
      <c r="J315" s="5"/>
      <c r="K315" s="5">
        <v>217</v>
      </c>
      <c r="L315" s="5">
        <v>18</v>
      </c>
      <c r="M315" s="5">
        <v>3</v>
      </c>
      <c r="N315" s="5" t="s">
        <v>3</v>
      </c>
      <c r="O315" s="5">
        <v>2</v>
      </c>
      <c r="P315" s="5">
        <f>ROUND(Source!EM296,O315)</f>
        <v>0</v>
      </c>
      <c r="Q315" s="5"/>
      <c r="R315" s="5"/>
      <c r="S315" s="5"/>
      <c r="T315" s="5"/>
      <c r="U315" s="5"/>
      <c r="V315" s="5"/>
      <c r="W315" s="5"/>
    </row>
    <row r="316" spans="1:23" x14ac:dyDescent="0.2">
      <c r="A316" s="5">
        <v>50</v>
      </c>
      <c r="B316" s="5">
        <v>0</v>
      </c>
      <c r="C316" s="5">
        <v>0</v>
      </c>
      <c r="D316" s="5">
        <v>1</v>
      </c>
      <c r="E316" s="5">
        <v>230</v>
      </c>
      <c r="F316" s="5">
        <f>ROUND(Source!BA296,O316)</f>
        <v>0</v>
      </c>
      <c r="G316" s="5" t="s">
        <v>153</v>
      </c>
      <c r="H316" s="5" t="s">
        <v>154</v>
      </c>
      <c r="I316" s="5"/>
      <c r="J316" s="5"/>
      <c r="K316" s="5">
        <v>230</v>
      </c>
      <c r="L316" s="5">
        <v>19</v>
      </c>
      <c r="M316" s="5">
        <v>3</v>
      </c>
      <c r="N316" s="5" t="s">
        <v>3</v>
      </c>
      <c r="O316" s="5">
        <v>2</v>
      </c>
      <c r="P316" s="5">
        <f>ROUND(Source!ES296,O316)</f>
        <v>0</v>
      </c>
      <c r="Q316" s="5"/>
      <c r="R316" s="5"/>
      <c r="S316" s="5"/>
      <c r="T316" s="5"/>
      <c r="U316" s="5"/>
      <c r="V316" s="5"/>
      <c r="W316" s="5"/>
    </row>
    <row r="317" spans="1:23" x14ac:dyDescent="0.2">
      <c r="A317" s="5">
        <v>50</v>
      </c>
      <c r="B317" s="5">
        <v>0</v>
      </c>
      <c r="C317" s="5">
        <v>0</v>
      </c>
      <c r="D317" s="5">
        <v>1</v>
      </c>
      <c r="E317" s="5">
        <v>206</v>
      </c>
      <c r="F317" s="5">
        <f>ROUND(Source!T296,O317)</f>
        <v>0</v>
      </c>
      <c r="G317" s="5" t="s">
        <v>155</v>
      </c>
      <c r="H317" s="5" t="s">
        <v>156</v>
      </c>
      <c r="I317" s="5"/>
      <c r="J317" s="5"/>
      <c r="K317" s="5">
        <v>206</v>
      </c>
      <c r="L317" s="5">
        <v>20</v>
      </c>
      <c r="M317" s="5">
        <v>3</v>
      </c>
      <c r="N317" s="5" t="s">
        <v>3</v>
      </c>
      <c r="O317" s="5">
        <v>2</v>
      </c>
      <c r="P317" s="5">
        <f>ROUND(Source!DL296,O317)</f>
        <v>0</v>
      </c>
      <c r="Q317" s="5"/>
      <c r="R317" s="5"/>
      <c r="S317" s="5"/>
      <c r="T317" s="5"/>
      <c r="U317" s="5"/>
      <c r="V317" s="5"/>
      <c r="W317" s="5"/>
    </row>
    <row r="318" spans="1:23" x14ac:dyDescent="0.2">
      <c r="A318" s="5">
        <v>50</v>
      </c>
      <c r="B318" s="5">
        <v>0</v>
      </c>
      <c r="C318" s="5">
        <v>0</v>
      </c>
      <c r="D318" s="5">
        <v>1</v>
      </c>
      <c r="E318" s="5">
        <v>207</v>
      </c>
      <c r="F318" s="5">
        <f>Source!U296</f>
        <v>6.2957324999999997</v>
      </c>
      <c r="G318" s="5" t="s">
        <v>157</v>
      </c>
      <c r="H318" s="5" t="s">
        <v>158</v>
      </c>
      <c r="I318" s="5"/>
      <c r="J318" s="5"/>
      <c r="K318" s="5">
        <v>207</v>
      </c>
      <c r="L318" s="5">
        <v>21</v>
      </c>
      <c r="M318" s="5">
        <v>3</v>
      </c>
      <c r="N318" s="5" t="s">
        <v>3</v>
      </c>
      <c r="O318" s="5">
        <v>-1</v>
      </c>
      <c r="P318" s="5">
        <f>Source!DM296</f>
        <v>6.2957324999999997</v>
      </c>
      <c r="Q318" s="5"/>
      <c r="R318" s="5"/>
      <c r="S318" s="5"/>
      <c r="T318" s="5"/>
      <c r="U318" s="5"/>
      <c r="V318" s="5"/>
      <c r="W318" s="5"/>
    </row>
    <row r="319" spans="1:23" x14ac:dyDescent="0.2">
      <c r="A319" s="5">
        <v>50</v>
      </c>
      <c r="B319" s="5">
        <v>0</v>
      </c>
      <c r="C319" s="5">
        <v>0</v>
      </c>
      <c r="D319" s="5">
        <v>1</v>
      </c>
      <c r="E319" s="5">
        <v>208</v>
      </c>
      <c r="F319" s="5">
        <f>Source!V296</f>
        <v>0</v>
      </c>
      <c r="G319" s="5" t="s">
        <v>159</v>
      </c>
      <c r="H319" s="5" t="s">
        <v>160</v>
      </c>
      <c r="I319" s="5"/>
      <c r="J319" s="5"/>
      <c r="K319" s="5">
        <v>208</v>
      </c>
      <c r="L319" s="5">
        <v>22</v>
      </c>
      <c r="M319" s="5">
        <v>3</v>
      </c>
      <c r="N319" s="5" t="s">
        <v>3</v>
      </c>
      <c r="O319" s="5">
        <v>-1</v>
      </c>
      <c r="P319" s="5">
        <f>Source!DN296</f>
        <v>0</v>
      </c>
      <c r="Q319" s="5"/>
      <c r="R319" s="5"/>
      <c r="S319" s="5"/>
      <c r="T319" s="5"/>
      <c r="U319" s="5"/>
      <c r="V319" s="5"/>
      <c r="W319" s="5"/>
    </row>
    <row r="320" spans="1:23" x14ac:dyDescent="0.2">
      <c r="A320" s="5">
        <v>50</v>
      </c>
      <c r="B320" s="5">
        <v>0</v>
      </c>
      <c r="C320" s="5">
        <v>0</v>
      </c>
      <c r="D320" s="5">
        <v>1</v>
      </c>
      <c r="E320" s="5">
        <v>209</v>
      </c>
      <c r="F320" s="5">
        <f>ROUND(Source!W296,O320)</f>
        <v>0</v>
      </c>
      <c r="G320" s="5" t="s">
        <v>161</v>
      </c>
      <c r="H320" s="5" t="s">
        <v>162</v>
      </c>
      <c r="I320" s="5"/>
      <c r="J320" s="5"/>
      <c r="K320" s="5">
        <v>209</v>
      </c>
      <c r="L320" s="5">
        <v>23</v>
      </c>
      <c r="M320" s="5">
        <v>3</v>
      </c>
      <c r="N320" s="5" t="s">
        <v>3</v>
      </c>
      <c r="O320" s="5">
        <v>2</v>
      </c>
      <c r="P320" s="5">
        <f>ROUND(Source!DO296,O320)</f>
        <v>0</v>
      </c>
      <c r="Q320" s="5"/>
      <c r="R320" s="5"/>
      <c r="S320" s="5"/>
      <c r="T320" s="5"/>
      <c r="U320" s="5"/>
      <c r="V320" s="5"/>
      <c r="W320" s="5"/>
    </row>
    <row r="321" spans="1:255" x14ac:dyDescent="0.2">
      <c r="A321" s="5">
        <v>50</v>
      </c>
      <c r="B321" s="5">
        <v>0</v>
      </c>
      <c r="C321" s="5">
        <v>0</v>
      </c>
      <c r="D321" s="5">
        <v>1</v>
      </c>
      <c r="E321" s="5">
        <v>210</v>
      </c>
      <c r="F321" s="5">
        <f>ROUND(Source!X296,O321)</f>
        <v>0</v>
      </c>
      <c r="G321" s="5" t="s">
        <v>163</v>
      </c>
      <c r="H321" s="5" t="s">
        <v>164</v>
      </c>
      <c r="I321" s="5"/>
      <c r="J321" s="5"/>
      <c r="K321" s="5">
        <v>210</v>
      </c>
      <c r="L321" s="5">
        <v>24</v>
      </c>
      <c r="M321" s="5">
        <v>3</v>
      </c>
      <c r="N321" s="5" t="s">
        <v>3</v>
      </c>
      <c r="O321" s="5">
        <v>2</v>
      </c>
      <c r="P321" s="5">
        <f>ROUND(Source!DP296,O321)</f>
        <v>1237.0899999999999</v>
      </c>
      <c r="Q321" s="5"/>
      <c r="R321" s="5"/>
      <c r="S321" s="5"/>
      <c r="T321" s="5"/>
      <c r="U321" s="5"/>
      <c r="V321" s="5"/>
      <c r="W321" s="5"/>
    </row>
    <row r="322" spans="1:255" x14ac:dyDescent="0.2">
      <c r="A322" s="5">
        <v>50</v>
      </c>
      <c r="B322" s="5">
        <v>0</v>
      </c>
      <c r="C322" s="5">
        <v>0</v>
      </c>
      <c r="D322" s="5">
        <v>1</v>
      </c>
      <c r="E322" s="5">
        <v>211</v>
      </c>
      <c r="F322" s="5">
        <f>ROUND(Source!Y296,O322)</f>
        <v>0</v>
      </c>
      <c r="G322" s="5" t="s">
        <v>165</v>
      </c>
      <c r="H322" s="5" t="s">
        <v>166</v>
      </c>
      <c r="I322" s="5"/>
      <c r="J322" s="5"/>
      <c r="K322" s="5">
        <v>211</v>
      </c>
      <c r="L322" s="5">
        <v>25</v>
      </c>
      <c r="M322" s="5">
        <v>3</v>
      </c>
      <c r="N322" s="5" t="s">
        <v>3</v>
      </c>
      <c r="O322" s="5">
        <v>2</v>
      </c>
      <c r="P322" s="5">
        <f>ROUND(Source!DQ296,O322)</f>
        <v>596.54</v>
      </c>
      <c r="Q322" s="5"/>
      <c r="R322" s="5"/>
      <c r="S322" s="5"/>
      <c r="T322" s="5"/>
      <c r="U322" s="5"/>
      <c r="V322" s="5"/>
      <c r="W322" s="5"/>
    </row>
    <row r="323" spans="1:255" x14ac:dyDescent="0.2">
      <c r="A323" s="5">
        <v>50</v>
      </c>
      <c r="B323" s="5">
        <v>0</v>
      </c>
      <c r="C323" s="5">
        <v>0</v>
      </c>
      <c r="D323" s="5">
        <v>1</v>
      </c>
      <c r="E323" s="5">
        <v>224</v>
      </c>
      <c r="F323" s="5">
        <f>ROUND(Source!AR296,O323)</f>
        <v>2950.76</v>
      </c>
      <c r="G323" s="5" t="s">
        <v>167</v>
      </c>
      <c r="H323" s="5" t="s">
        <v>168</v>
      </c>
      <c r="I323" s="5"/>
      <c r="J323" s="5"/>
      <c r="K323" s="5">
        <v>224</v>
      </c>
      <c r="L323" s="5">
        <v>26</v>
      </c>
      <c r="M323" s="5">
        <v>3</v>
      </c>
      <c r="N323" s="5" t="s">
        <v>3</v>
      </c>
      <c r="O323" s="5">
        <v>2</v>
      </c>
      <c r="P323" s="5">
        <f>ROUND(Source!EJ296,O323)</f>
        <v>19392.43</v>
      </c>
      <c r="Q323" s="5"/>
      <c r="R323" s="5"/>
      <c r="S323" s="5"/>
      <c r="T323" s="5"/>
      <c r="U323" s="5"/>
      <c r="V323" s="5"/>
      <c r="W323" s="5"/>
    </row>
    <row r="325" spans="1:255" x14ac:dyDescent="0.2">
      <c r="A325" s="1">
        <v>5</v>
      </c>
      <c r="B325" s="1">
        <v>1</v>
      </c>
      <c r="C325" s="1"/>
      <c r="D325" s="1">
        <f>ROW(A358)</f>
        <v>358</v>
      </c>
      <c r="E325" s="1"/>
      <c r="F325" s="1" t="s">
        <v>170</v>
      </c>
      <c r="G325" s="1" t="s">
        <v>385</v>
      </c>
      <c r="H325" s="1" t="s">
        <v>3</v>
      </c>
      <c r="I325" s="1">
        <v>0</v>
      </c>
      <c r="J325" s="1"/>
      <c r="K325" s="1">
        <v>-1</v>
      </c>
      <c r="L325" s="1"/>
      <c r="M325" s="1"/>
      <c r="N325" s="1"/>
      <c r="O325" s="1"/>
      <c r="P325" s="1"/>
      <c r="Q325" s="1"/>
      <c r="R325" s="1"/>
      <c r="S325" s="1"/>
      <c r="T325" s="1"/>
      <c r="U325" s="1" t="s">
        <v>3</v>
      </c>
      <c r="V325" s="1">
        <v>0</v>
      </c>
      <c r="W325" s="1"/>
      <c r="X325" s="1"/>
      <c r="Y325" s="1"/>
      <c r="Z325" s="1"/>
      <c r="AA325" s="1"/>
      <c r="AB325" s="1" t="s">
        <v>3</v>
      </c>
      <c r="AC325" s="1" t="s">
        <v>3</v>
      </c>
      <c r="AD325" s="1" t="s">
        <v>3</v>
      </c>
      <c r="AE325" s="1" t="s">
        <v>3</v>
      </c>
      <c r="AF325" s="1" t="s">
        <v>3</v>
      </c>
      <c r="AG325" s="1" t="s">
        <v>3</v>
      </c>
      <c r="AH325" s="1"/>
      <c r="AI325" s="1"/>
      <c r="AJ325" s="1"/>
      <c r="AK325" s="1"/>
      <c r="AL325" s="1"/>
      <c r="AM325" s="1"/>
      <c r="AN325" s="1"/>
      <c r="AO325" s="1"/>
      <c r="AP325" s="1" t="s">
        <v>3</v>
      </c>
      <c r="AQ325" s="1" t="s">
        <v>3</v>
      </c>
      <c r="AR325" s="1" t="s">
        <v>3</v>
      </c>
      <c r="AS325" s="1"/>
      <c r="AT325" s="1"/>
      <c r="AU325" s="1"/>
      <c r="AV325" s="1"/>
      <c r="AW325" s="1"/>
      <c r="AX325" s="1"/>
      <c r="AY325" s="1"/>
      <c r="AZ325" s="1" t="s">
        <v>3</v>
      </c>
      <c r="BA325" s="1"/>
      <c r="BB325" s="1" t="s">
        <v>3</v>
      </c>
      <c r="BC325" s="1" t="s">
        <v>3</v>
      </c>
      <c r="BD325" s="1" t="s">
        <v>3</v>
      </c>
      <c r="BE325" s="1" t="s">
        <v>3</v>
      </c>
      <c r="BF325" s="1" t="s">
        <v>3</v>
      </c>
      <c r="BG325" s="1" t="s">
        <v>3</v>
      </c>
      <c r="BH325" s="1" t="s">
        <v>3</v>
      </c>
      <c r="BI325" s="1" t="s">
        <v>3</v>
      </c>
      <c r="BJ325" s="1" t="s">
        <v>3</v>
      </c>
      <c r="BK325" s="1" t="s">
        <v>3</v>
      </c>
      <c r="BL325" s="1" t="s">
        <v>3</v>
      </c>
      <c r="BM325" s="1" t="s">
        <v>3</v>
      </c>
      <c r="BN325" s="1" t="s">
        <v>3</v>
      </c>
      <c r="BO325" s="1" t="s">
        <v>3</v>
      </c>
      <c r="BP325" s="1" t="s">
        <v>3</v>
      </c>
      <c r="BQ325" s="1"/>
      <c r="BR325" s="1"/>
      <c r="BS325" s="1"/>
      <c r="BT325" s="1"/>
      <c r="BU325" s="1"/>
      <c r="BV325" s="1"/>
      <c r="BW325" s="1"/>
      <c r="BX325" s="1">
        <v>0</v>
      </c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>
        <v>0</v>
      </c>
    </row>
    <row r="327" spans="1:255" x14ac:dyDescent="0.2">
      <c r="A327" s="3">
        <v>52</v>
      </c>
      <c r="B327" s="3">
        <f t="shared" ref="B327:G327" si="289">B358</f>
        <v>1</v>
      </c>
      <c r="C327" s="3">
        <f t="shared" si="289"/>
        <v>5</v>
      </c>
      <c r="D327" s="3">
        <f t="shared" si="289"/>
        <v>325</v>
      </c>
      <c r="E327" s="3">
        <f t="shared" si="289"/>
        <v>0</v>
      </c>
      <c r="F327" s="3" t="str">
        <f t="shared" si="289"/>
        <v>Новый подраздел</v>
      </c>
      <c r="G327" s="3" t="str">
        <f t="shared" si="289"/>
        <v>Конструктивные решения</v>
      </c>
      <c r="H327" s="3"/>
      <c r="I327" s="3"/>
      <c r="J327" s="3"/>
      <c r="K327" s="3"/>
      <c r="L327" s="3"/>
      <c r="M327" s="3"/>
      <c r="N327" s="3"/>
      <c r="O327" s="3">
        <f t="shared" ref="O327:AT327" si="290">O358</f>
        <v>4289.95</v>
      </c>
      <c r="P327" s="3">
        <f t="shared" si="290"/>
        <v>3972.31</v>
      </c>
      <c r="Q327" s="3">
        <f t="shared" si="290"/>
        <v>165.95</v>
      </c>
      <c r="R327" s="3">
        <f t="shared" si="290"/>
        <v>45.64</v>
      </c>
      <c r="S327" s="3">
        <f t="shared" si="290"/>
        <v>151.69</v>
      </c>
      <c r="T327" s="3">
        <f t="shared" si="290"/>
        <v>0</v>
      </c>
      <c r="U327" s="3">
        <f t="shared" si="290"/>
        <v>11.56785</v>
      </c>
      <c r="V327" s="3">
        <f t="shared" si="290"/>
        <v>0</v>
      </c>
      <c r="W327" s="3">
        <f t="shared" si="290"/>
        <v>0</v>
      </c>
      <c r="X327" s="3">
        <f t="shared" si="290"/>
        <v>0</v>
      </c>
      <c r="Y327" s="3">
        <f t="shared" si="290"/>
        <v>0</v>
      </c>
      <c r="Z327" s="3">
        <f t="shared" si="290"/>
        <v>0</v>
      </c>
      <c r="AA327" s="3">
        <f t="shared" si="290"/>
        <v>0</v>
      </c>
      <c r="AB327" s="3">
        <f t="shared" si="290"/>
        <v>4289.95</v>
      </c>
      <c r="AC327" s="3">
        <f t="shared" si="290"/>
        <v>3972.31</v>
      </c>
      <c r="AD327" s="3">
        <f t="shared" si="290"/>
        <v>165.95</v>
      </c>
      <c r="AE327" s="3">
        <f t="shared" si="290"/>
        <v>45.64</v>
      </c>
      <c r="AF327" s="3">
        <f t="shared" si="290"/>
        <v>151.69</v>
      </c>
      <c r="AG327" s="3">
        <f t="shared" si="290"/>
        <v>0</v>
      </c>
      <c r="AH327" s="3">
        <f t="shared" si="290"/>
        <v>11.56785</v>
      </c>
      <c r="AI327" s="3">
        <f t="shared" si="290"/>
        <v>0</v>
      </c>
      <c r="AJ327" s="3">
        <f t="shared" si="290"/>
        <v>0</v>
      </c>
      <c r="AK327" s="3">
        <f t="shared" si="290"/>
        <v>0</v>
      </c>
      <c r="AL327" s="3">
        <f t="shared" si="290"/>
        <v>0</v>
      </c>
      <c r="AM327" s="3">
        <f t="shared" si="290"/>
        <v>0</v>
      </c>
      <c r="AN327" s="3">
        <f t="shared" si="290"/>
        <v>0</v>
      </c>
      <c r="AO327" s="3">
        <f t="shared" si="290"/>
        <v>0</v>
      </c>
      <c r="AP327" s="3">
        <f t="shared" si="290"/>
        <v>0</v>
      </c>
      <c r="AQ327" s="3">
        <f t="shared" si="290"/>
        <v>0</v>
      </c>
      <c r="AR327" s="3">
        <f t="shared" si="290"/>
        <v>4372.1000000000004</v>
      </c>
      <c r="AS327" s="3">
        <f t="shared" si="290"/>
        <v>4372.1000000000004</v>
      </c>
      <c r="AT327" s="3">
        <f t="shared" si="290"/>
        <v>0</v>
      </c>
      <c r="AU327" s="3">
        <f t="shared" ref="AU327:BZ327" si="291">AU358</f>
        <v>0</v>
      </c>
      <c r="AV327" s="3">
        <f t="shared" si="291"/>
        <v>3972.31</v>
      </c>
      <c r="AW327" s="3">
        <f t="shared" si="291"/>
        <v>3972.31</v>
      </c>
      <c r="AX327" s="3">
        <f t="shared" si="291"/>
        <v>0</v>
      </c>
      <c r="AY327" s="3">
        <f t="shared" si="291"/>
        <v>3972.31</v>
      </c>
      <c r="AZ327" s="3">
        <f t="shared" si="291"/>
        <v>0</v>
      </c>
      <c r="BA327" s="3">
        <f t="shared" si="291"/>
        <v>0</v>
      </c>
      <c r="BB327" s="3">
        <f t="shared" si="291"/>
        <v>0</v>
      </c>
      <c r="BC327" s="3">
        <f t="shared" si="291"/>
        <v>0</v>
      </c>
      <c r="BD327" s="3">
        <f t="shared" si="291"/>
        <v>0</v>
      </c>
      <c r="BE327" s="3">
        <f t="shared" si="291"/>
        <v>0</v>
      </c>
      <c r="BF327" s="3">
        <f t="shared" si="291"/>
        <v>0</v>
      </c>
      <c r="BG327" s="3">
        <f t="shared" si="291"/>
        <v>0</v>
      </c>
      <c r="BH327" s="3">
        <f t="shared" si="291"/>
        <v>0</v>
      </c>
      <c r="BI327" s="3">
        <f t="shared" si="291"/>
        <v>0</v>
      </c>
      <c r="BJ327" s="3">
        <f t="shared" si="291"/>
        <v>0</v>
      </c>
      <c r="BK327" s="3">
        <f t="shared" si="291"/>
        <v>0</v>
      </c>
      <c r="BL327" s="3">
        <f t="shared" si="291"/>
        <v>0</v>
      </c>
      <c r="BM327" s="3">
        <f t="shared" si="291"/>
        <v>0</v>
      </c>
      <c r="BN327" s="3">
        <f t="shared" si="291"/>
        <v>0</v>
      </c>
      <c r="BO327" s="3">
        <f t="shared" si="291"/>
        <v>0</v>
      </c>
      <c r="BP327" s="3">
        <f t="shared" si="291"/>
        <v>0</v>
      </c>
      <c r="BQ327" s="3">
        <f t="shared" si="291"/>
        <v>0</v>
      </c>
      <c r="BR327" s="3">
        <f t="shared" si="291"/>
        <v>0</v>
      </c>
      <c r="BS327" s="3">
        <f t="shared" si="291"/>
        <v>0</v>
      </c>
      <c r="BT327" s="3">
        <f t="shared" si="291"/>
        <v>0</v>
      </c>
      <c r="BU327" s="3">
        <f t="shared" si="291"/>
        <v>0</v>
      </c>
      <c r="BV327" s="3">
        <f t="shared" si="291"/>
        <v>0</v>
      </c>
      <c r="BW327" s="3">
        <f t="shared" si="291"/>
        <v>0</v>
      </c>
      <c r="BX327" s="3">
        <f t="shared" si="291"/>
        <v>0</v>
      </c>
      <c r="BY327" s="3">
        <f t="shared" si="291"/>
        <v>0</v>
      </c>
      <c r="BZ327" s="3">
        <f t="shared" si="291"/>
        <v>0</v>
      </c>
      <c r="CA327" s="3">
        <f t="shared" ref="CA327:DF327" si="292">CA358</f>
        <v>4372.1000000000004</v>
      </c>
      <c r="CB327" s="3">
        <f t="shared" si="292"/>
        <v>4372.1000000000004</v>
      </c>
      <c r="CC327" s="3">
        <f t="shared" si="292"/>
        <v>0</v>
      </c>
      <c r="CD327" s="3">
        <f t="shared" si="292"/>
        <v>0</v>
      </c>
      <c r="CE327" s="3">
        <f t="shared" si="292"/>
        <v>3972.31</v>
      </c>
      <c r="CF327" s="3">
        <f t="shared" si="292"/>
        <v>3972.31</v>
      </c>
      <c r="CG327" s="3">
        <f t="shared" si="292"/>
        <v>0</v>
      </c>
      <c r="CH327" s="3">
        <f t="shared" si="292"/>
        <v>3972.31</v>
      </c>
      <c r="CI327" s="3">
        <f t="shared" si="292"/>
        <v>0</v>
      </c>
      <c r="CJ327" s="3">
        <f t="shared" si="292"/>
        <v>0</v>
      </c>
      <c r="CK327" s="3">
        <f t="shared" si="292"/>
        <v>0</v>
      </c>
      <c r="CL327" s="3">
        <f t="shared" si="292"/>
        <v>0</v>
      </c>
      <c r="CM327" s="3">
        <f t="shared" si="292"/>
        <v>0</v>
      </c>
      <c r="CN327" s="3">
        <f t="shared" si="292"/>
        <v>0</v>
      </c>
      <c r="CO327" s="3">
        <f t="shared" si="292"/>
        <v>0</v>
      </c>
      <c r="CP327" s="3">
        <f t="shared" si="292"/>
        <v>0</v>
      </c>
      <c r="CQ327" s="3">
        <f t="shared" si="292"/>
        <v>0</v>
      </c>
      <c r="CR327" s="3">
        <f t="shared" si="292"/>
        <v>0</v>
      </c>
      <c r="CS327" s="3">
        <f t="shared" si="292"/>
        <v>0</v>
      </c>
      <c r="CT327" s="3">
        <f t="shared" si="292"/>
        <v>0</v>
      </c>
      <c r="CU327" s="3">
        <f t="shared" si="292"/>
        <v>0</v>
      </c>
      <c r="CV327" s="3">
        <f t="shared" si="292"/>
        <v>0</v>
      </c>
      <c r="CW327" s="3">
        <f t="shared" si="292"/>
        <v>0</v>
      </c>
      <c r="CX327" s="3">
        <f t="shared" si="292"/>
        <v>0</v>
      </c>
      <c r="CY327" s="3">
        <f t="shared" si="292"/>
        <v>0</v>
      </c>
      <c r="CZ327" s="3">
        <f t="shared" si="292"/>
        <v>0</v>
      </c>
      <c r="DA327" s="3">
        <f t="shared" si="292"/>
        <v>0</v>
      </c>
      <c r="DB327" s="3">
        <f t="shared" si="292"/>
        <v>0</v>
      </c>
      <c r="DC327" s="3">
        <f t="shared" si="292"/>
        <v>0</v>
      </c>
      <c r="DD327" s="3">
        <f t="shared" si="292"/>
        <v>0</v>
      </c>
      <c r="DE327" s="3">
        <f t="shared" si="292"/>
        <v>0</v>
      </c>
      <c r="DF327" s="3">
        <f t="shared" si="292"/>
        <v>0</v>
      </c>
      <c r="DG327" s="4">
        <f t="shared" ref="DG327:EL327" si="293">DG358</f>
        <v>20929.29</v>
      </c>
      <c r="DH327" s="4">
        <f t="shared" si="293"/>
        <v>16350.29</v>
      </c>
      <c r="DI327" s="4">
        <f t="shared" si="293"/>
        <v>1484.46</v>
      </c>
      <c r="DJ327" s="4">
        <f t="shared" si="293"/>
        <v>931.01</v>
      </c>
      <c r="DK327" s="4">
        <f t="shared" si="293"/>
        <v>3094.54</v>
      </c>
      <c r="DL327" s="4">
        <f t="shared" si="293"/>
        <v>0</v>
      </c>
      <c r="DM327" s="4">
        <f t="shared" si="293"/>
        <v>11.56785</v>
      </c>
      <c r="DN327" s="4">
        <f t="shared" si="293"/>
        <v>0</v>
      </c>
      <c r="DO327" s="4">
        <f t="shared" si="293"/>
        <v>0</v>
      </c>
      <c r="DP327" s="4">
        <f t="shared" si="293"/>
        <v>2108.98</v>
      </c>
      <c r="DQ327" s="4">
        <f t="shared" si="293"/>
        <v>1268.76</v>
      </c>
      <c r="DR327" s="4">
        <f t="shared" si="293"/>
        <v>0</v>
      </c>
      <c r="DS327" s="4">
        <f t="shared" si="293"/>
        <v>0</v>
      </c>
      <c r="DT327" s="4">
        <f t="shared" si="293"/>
        <v>20929.29</v>
      </c>
      <c r="DU327" s="4">
        <f t="shared" si="293"/>
        <v>16350.29</v>
      </c>
      <c r="DV327" s="4">
        <f t="shared" si="293"/>
        <v>1484.46</v>
      </c>
      <c r="DW327" s="4">
        <f t="shared" si="293"/>
        <v>931.01</v>
      </c>
      <c r="DX327" s="4">
        <f t="shared" si="293"/>
        <v>3094.54</v>
      </c>
      <c r="DY327" s="4">
        <f t="shared" si="293"/>
        <v>0</v>
      </c>
      <c r="DZ327" s="4">
        <f t="shared" si="293"/>
        <v>11.56785</v>
      </c>
      <c r="EA327" s="4">
        <f t="shared" si="293"/>
        <v>0</v>
      </c>
      <c r="EB327" s="4">
        <f t="shared" si="293"/>
        <v>0</v>
      </c>
      <c r="EC327" s="4">
        <f t="shared" si="293"/>
        <v>2108.98</v>
      </c>
      <c r="ED327" s="4">
        <f t="shared" si="293"/>
        <v>1268.76</v>
      </c>
      <c r="EE327" s="4">
        <f t="shared" si="293"/>
        <v>0</v>
      </c>
      <c r="EF327" s="4">
        <f t="shared" si="293"/>
        <v>0</v>
      </c>
      <c r="EG327" s="4">
        <f t="shared" si="293"/>
        <v>0</v>
      </c>
      <c r="EH327" s="4">
        <f t="shared" si="293"/>
        <v>0</v>
      </c>
      <c r="EI327" s="4">
        <f t="shared" si="293"/>
        <v>0</v>
      </c>
      <c r="EJ327" s="4">
        <f t="shared" si="293"/>
        <v>25871.13</v>
      </c>
      <c r="EK327" s="4">
        <f t="shared" si="293"/>
        <v>25871.13</v>
      </c>
      <c r="EL327" s="4">
        <f t="shared" si="293"/>
        <v>0</v>
      </c>
      <c r="EM327" s="4">
        <f t="shared" ref="EM327:FR327" si="294">EM358</f>
        <v>0</v>
      </c>
      <c r="EN327" s="4">
        <f t="shared" si="294"/>
        <v>16350.29</v>
      </c>
      <c r="EO327" s="4">
        <f t="shared" si="294"/>
        <v>16350.29</v>
      </c>
      <c r="EP327" s="4">
        <f t="shared" si="294"/>
        <v>0</v>
      </c>
      <c r="EQ327" s="4">
        <f t="shared" si="294"/>
        <v>16350.29</v>
      </c>
      <c r="ER327" s="4">
        <f t="shared" si="294"/>
        <v>0</v>
      </c>
      <c r="ES327" s="4">
        <f t="shared" si="294"/>
        <v>0</v>
      </c>
      <c r="ET327" s="4">
        <f t="shared" si="294"/>
        <v>0</v>
      </c>
      <c r="EU327" s="4">
        <f t="shared" si="294"/>
        <v>0</v>
      </c>
      <c r="EV327" s="4">
        <f t="shared" si="294"/>
        <v>0</v>
      </c>
      <c r="EW327" s="4">
        <f t="shared" si="294"/>
        <v>0</v>
      </c>
      <c r="EX327" s="4">
        <f t="shared" si="294"/>
        <v>0</v>
      </c>
      <c r="EY327" s="4">
        <f t="shared" si="294"/>
        <v>0</v>
      </c>
      <c r="EZ327" s="4">
        <f t="shared" si="294"/>
        <v>0</v>
      </c>
      <c r="FA327" s="4">
        <f t="shared" si="294"/>
        <v>0</v>
      </c>
      <c r="FB327" s="4">
        <f t="shared" si="294"/>
        <v>0</v>
      </c>
      <c r="FC327" s="4">
        <f t="shared" si="294"/>
        <v>0</v>
      </c>
      <c r="FD327" s="4">
        <f t="shared" si="294"/>
        <v>0</v>
      </c>
      <c r="FE327" s="4">
        <f t="shared" si="294"/>
        <v>0</v>
      </c>
      <c r="FF327" s="4">
        <f t="shared" si="294"/>
        <v>0</v>
      </c>
      <c r="FG327" s="4">
        <f t="shared" si="294"/>
        <v>0</v>
      </c>
      <c r="FH327" s="4">
        <f t="shared" si="294"/>
        <v>0</v>
      </c>
      <c r="FI327" s="4">
        <f t="shared" si="294"/>
        <v>0</v>
      </c>
      <c r="FJ327" s="4">
        <f t="shared" si="294"/>
        <v>0</v>
      </c>
      <c r="FK327" s="4">
        <f t="shared" si="294"/>
        <v>0</v>
      </c>
      <c r="FL327" s="4">
        <f t="shared" si="294"/>
        <v>0</v>
      </c>
      <c r="FM327" s="4">
        <f t="shared" si="294"/>
        <v>0</v>
      </c>
      <c r="FN327" s="4">
        <f t="shared" si="294"/>
        <v>0</v>
      </c>
      <c r="FO327" s="4">
        <f t="shared" si="294"/>
        <v>0</v>
      </c>
      <c r="FP327" s="4">
        <f t="shared" si="294"/>
        <v>0</v>
      </c>
      <c r="FQ327" s="4">
        <f t="shared" si="294"/>
        <v>0</v>
      </c>
      <c r="FR327" s="4">
        <f t="shared" si="294"/>
        <v>0</v>
      </c>
      <c r="FS327" s="4">
        <f t="shared" ref="FS327:GX327" si="295">FS358</f>
        <v>25871.13</v>
      </c>
      <c r="FT327" s="4">
        <f t="shared" si="295"/>
        <v>25871.13</v>
      </c>
      <c r="FU327" s="4">
        <f t="shared" si="295"/>
        <v>0</v>
      </c>
      <c r="FV327" s="4">
        <f t="shared" si="295"/>
        <v>0</v>
      </c>
      <c r="FW327" s="4">
        <f t="shared" si="295"/>
        <v>16350.29</v>
      </c>
      <c r="FX327" s="4">
        <f t="shared" si="295"/>
        <v>16350.29</v>
      </c>
      <c r="FY327" s="4">
        <f t="shared" si="295"/>
        <v>0</v>
      </c>
      <c r="FZ327" s="4">
        <f t="shared" si="295"/>
        <v>16350.29</v>
      </c>
      <c r="GA327" s="4">
        <f t="shared" si="295"/>
        <v>0</v>
      </c>
      <c r="GB327" s="4">
        <f t="shared" si="295"/>
        <v>0</v>
      </c>
      <c r="GC327" s="4">
        <f t="shared" si="295"/>
        <v>0</v>
      </c>
      <c r="GD327" s="4">
        <f t="shared" si="295"/>
        <v>0</v>
      </c>
      <c r="GE327" s="4">
        <f t="shared" si="295"/>
        <v>0</v>
      </c>
      <c r="GF327" s="4">
        <f t="shared" si="295"/>
        <v>0</v>
      </c>
      <c r="GG327" s="4">
        <f t="shared" si="295"/>
        <v>0</v>
      </c>
      <c r="GH327" s="4">
        <f t="shared" si="295"/>
        <v>0</v>
      </c>
      <c r="GI327" s="4">
        <f t="shared" si="295"/>
        <v>0</v>
      </c>
      <c r="GJ327" s="4">
        <f t="shared" si="295"/>
        <v>0</v>
      </c>
      <c r="GK327" s="4">
        <f t="shared" si="295"/>
        <v>0</v>
      </c>
      <c r="GL327" s="4">
        <f t="shared" si="295"/>
        <v>0</v>
      </c>
      <c r="GM327" s="4">
        <f t="shared" si="295"/>
        <v>0</v>
      </c>
      <c r="GN327" s="4">
        <f t="shared" si="295"/>
        <v>0</v>
      </c>
      <c r="GO327" s="4">
        <f t="shared" si="295"/>
        <v>0</v>
      </c>
      <c r="GP327" s="4">
        <f t="shared" si="295"/>
        <v>0</v>
      </c>
      <c r="GQ327" s="4">
        <f t="shared" si="295"/>
        <v>0</v>
      </c>
      <c r="GR327" s="4">
        <f t="shared" si="295"/>
        <v>0</v>
      </c>
      <c r="GS327" s="4">
        <f t="shared" si="295"/>
        <v>0</v>
      </c>
      <c r="GT327" s="4">
        <f t="shared" si="295"/>
        <v>0</v>
      </c>
      <c r="GU327" s="4">
        <f t="shared" si="295"/>
        <v>0</v>
      </c>
      <c r="GV327" s="4">
        <f t="shared" si="295"/>
        <v>0</v>
      </c>
      <c r="GW327" s="4">
        <f t="shared" si="295"/>
        <v>0</v>
      </c>
      <c r="GX327" s="4">
        <f t="shared" si="295"/>
        <v>0</v>
      </c>
    </row>
    <row r="329" spans="1:255" x14ac:dyDescent="0.2">
      <c r="A329" s="2">
        <v>17</v>
      </c>
      <c r="B329" s="2">
        <v>1</v>
      </c>
      <c r="C329" s="2">
        <f>ROW(SmtRes!A282)</f>
        <v>282</v>
      </c>
      <c r="D329" s="2">
        <f>ROW(EtalonRes!A276)</f>
        <v>276</v>
      </c>
      <c r="E329" s="2" t="s">
        <v>386</v>
      </c>
      <c r="F329" s="2" t="s">
        <v>387</v>
      </c>
      <c r="G329" s="2" t="s">
        <v>388</v>
      </c>
      <c r="H329" s="2" t="s">
        <v>389</v>
      </c>
      <c r="I329" s="2">
        <f>ROUND(0.3/100,9)</f>
        <v>3.0000000000000001E-3</v>
      </c>
      <c r="J329" s="2">
        <v>0</v>
      </c>
      <c r="K329" s="2"/>
      <c r="L329" s="2"/>
      <c r="M329" s="2"/>
      <c r="N329" s="2"/>
      <c r="O329" s="2">
        <f t="shared" ref="O329:O356" si="296">ROUND(CP329,2)</f>
        <v>3.17</v>
      </c>
      <c r="P329" s="2">
        <f t="shared" ref="P329:P356" si="297">ROUND(CQ329*I329,2)</f>
        <v>0.11</v>
      </c>
      <c r="Q329" s="2">
        <f t="shared" ref="Q329:Q356" si="298">ROUND(CR329*I329,2)</f>
        <v>2.54</v>
      </c>
      <c r="R329" s="2">
        <f t="shared" ref="R329:R356" si="299">ROUND(CS329*I329,2)</f>
        <v>0.45</v>
      </c>
      <c r="S329" s="2">
        <f t="shared" ref="S329:S356" si="300">ROUND(CT329*I329,2)</f>
        <v>0.52</v>
      </c>
      <c r="T329" s="2">
        <f t="shared" ref="T329:T356" si="301">ROUND(CU329*I329,2)</f>
        <v>0</v>
      </c>
      <c r="U329" s="2">
        <f t="shared" ref="U329:U356" si="302">CV329*I329</f>
        <v>4.9679999999999995E-2</v>
      </c>
      <c r="V329" s="2">
        <f t="shared" ref="V329:V356" si="303">CW329*I329</f>
        <v>0</v>
      </c>
      <c r="W329" s="2">
        <f t="shared" ref="W329:W356" si="304">ROUND(CX329*I329,2)</f>
        <v>0</v>
      </c>
      <c r="X329" s="2">
        <f t="shared" ref="X329:X356" si="305">ROUND(CY329,2)</f>
        <v>0</v>
      </c>
      <c r="Y329" s="2">
        <f t="shared" ref="Y329:Y356" si="306">ROUND(CZ329,2)</f>
        <v>0</v>
      </c>
      <c r="Z329" s="2"/>
      <c r="AA329" s="2">
        <v>45037306</v>
      </c>
      <c r="AB329" s="2">
        <f t="shared" ref="AB329:AB356" si="307">ROUND((AC329+AD329+AF329),6)</f>
        <v>1055.1510000000001</v>
      </c>
      <c r="AC329" s="2">
        <f t="shared" ref="AC329:AC356" si="308">ROUND((ES329),6)</f>
        <v>35.35</v>
      </c>
      <c r="AD329" s="2">
        <f>ROUND(((ET329*1.25)),6)</f>
        <v>845.58749999999998</v>
      </c>
      <c r="AE329" s="2">
        <f>ROUND(((EU329*1.25)),6)</f>
        <v>148.8125</v>
      </c>
      <c r="AF329" s="2">
        <f>ROUND(((EV329*1.15)),6)</f>
        <v>174.21350000000001</v>
      </c>
      <c r="AG329" s="2">
        <f t="shared" ref="AG329:AG356" si="309">ROUND((AP329),6)</f>
        <v>0</v>
      </c>
      <c r="AH329" s="2">
        <f>((EW329*1.15))</f>
        <v>16.559999999999999</v>
      </c>
      <c r="AI329" s="2">
        <f>((EX329*1.25))</f>
        <v>0</v>
      </c>
      <c r="AJ329" s="2">
        <f t="shared" ref="AJ329:AJ356" si="310">ROUND((AS329),6)</f>
        <v>0</v>
      </c>
      <c r="AK329" s="2">
        <v>863.31</v>
      </c>
      <c r="AL329" s="2">
        <v>35.35</v>
      </c>
      <c r="AM329" s="2">
        <v>676.47</v>
      </c>
      <c r="AN329" s="2">
        <v>119.05</v>
      </c>
      <c r="AO329" s="2">
        <v>151.49</v>
      </c>
      <c r="AP329" s="2">
        <v>0</v>
      </c>
      <c r="AQ329" s="2">
        <v>14.4</v>
      </c>
      <c r="AR329" s="2">
        <v>0</v>
      </c>
      <c r="AS329" s="2">
        <v>0</v>
      </c>
      <c r="AT329" s="2">
        <v>0</v>
      </c>
      <c r="AU329" s="2">
        <v>0</v>
      </c>
      <c r="AV329" s="2">
        <v>1</v>
      </c>
      <c r="AW329" s="2">
        <v>1</v>
      </c>
      <c r="AX329" s="2"/>
      <c r="AY329" s="2"/>
      <c r="AZ329" s="2">
        <v>1</v>
      </c>
      <c r="BA329" s="2">
        <v>1</v>
      </c>
      <c r="BB329" s="2">
        <v>1</v>
      </c>
      <c r="BC329" s="2">
        <v>1</v>
      </c>
      <c r="BD329" s="2" t="s">
        <v>3</v>
      </c>
      <c r="BE329" s="2" t="s">
        <v>3</v>
      </c>
      <c r="BF329" s="2" t="s">
        <v>3</v>
      </c>
      <c r="BG329" s="2" t="s">
        <v>3</v>
      </c>
      <c r="BH329" s="2">
        <v>0</v>
      </c>
      <c r="BI329" s="2">
        <v>1</v>
      </c>
      <c r="BJ329" s="2" t="s">
        <v>390</v>
      </c>
      <c r="BK329" s="2"/>
      <c r="BL329" s="2"/>
      <c r="BM329" s="2">
        <v>146</v>
      </c>
      <c r="BN329" s="2">
        <v>7156650</v>
      </c>
      <c r="BO329" s="2" t="s">
        <v>3</v>
      </c>
      <c r="BP329" s="2">
        <v>0</v>
      </c>
      <c r="BQ329" s="2">
        <v>30</v>
      </c>
      <c r="BR329" s="2">
        <v>0</v>
      </c>
      <c r="BS329" s="2">
        <v>1</v>
      </c>
      <c r="BT329" s="2">
        <v>1</v>
      </c>
      <c r="BU329" s="2">
        <v>1</v>
      </c>
      <c r="BV329" s="2">
        <v>1</v>
      </c>
      <c r="BW329" s="2">
        <v>1</v>
      </c>
      <c r="BX329" s="2">
        <v>1</v>
      </c>
      <c r="BY329" s="2" t="s">
        <v>3</v>
      </c>
      <c r="BZ329" s="2">
        <v>0</v>
      </c>
      <c r="CA329" s="2">
        <v>0</v>
      </c>
      <c r="CB329" s="2"/>
      <c r="CC329" s="2"/>
      <c r="CD329" s="2"/>
      <c r="CE329" s="2"/>
      <c r="CF329" s="2">
        <v>0</v>
      </c>
      <c r="CG329" s="2">
        <v>0</v>
      </c>
      <c r="CH329" s="2"/>
      <c r="CI329" s="2"/>
      <c r="CJ329" s="2"/>
      <c r="CK329" s="2"/>
      <c r="CL329" s="2"/>
      <c r="CM329" s="2">
        <v>0</v>
      </c>
      <c r="CN329" s="2" t="s">
        <v>3</v>
      </c>
      <c r="CO329" s="2">
        <v>0</v>
      </c>
      <c r="CP329" s="2">
        <f t="shared" ref="CP329:CP356" si="311">(P329+Q329+S329)</f>
        <v>3.17</v>
      </c>
      <c r="CQ329" s="2">
        <f t="shared" ref="CQ329:CQ356" si="312">(AC329*BC329*AW329)</f>
        <v>35.35</v>
      </c>
      <c r="CR329" s="2">
        <f t="shared" ref="CR329:CR356" si="313">(AD329*BB329*AV329)</f>
        <v>845.58749999999998</v>
      </c>
      <c r="CS329" s="2">
        <f t="shared" ref="CS329:CS356" si="314">(AE329*BS329*AV329)</f>
        <v>148.8125</v>
      </c>
      <c r="CT329" s="2">
        <f t="shared" ref="CT329:CT356" si="315">(AF329*BA329*AV329)</f>
        <v>174.21350000000001</v>
      </c>
      <c r="CU329" s="2">
        <f t="shared" ref="CU329:CU356" si="316">AG329</f>
        <v>0</v>
      </c>
      <c r="CV329" s="2">
        <f t="shared" ref="CV329:CV356" si="317">(AH329*AV329)</f>
        <v>16.559999999999999</v>
      </c>
      <c r="CW329" s="2">
        <f t="shared" ref="CW329:CW356" si="318">AI329</f>
        <v>0</v>
      </c>
      <c r="CX329" s="2">
        <f t="shared" ref="CX329:CX356" si="319">AJ329</f>
        <v>0</v>
      </c>
      <c r="CY329" s="2">
        <f t="shared" ref="CY329:CY356" si="320">S329*(BZ329/100)</f>
        <v>0</v>
      </c>
      <c r="CZ329" s="2">
        <f t="shared" ref="CZ329:CZ356" si="321">S329*(CA329/100)</f>
        <v>0</v>
      </c>
      <c r="DA329" s="2"/>
      <c r="DB329" s="2"/>
      <c r="DC329" s="2" t="s">
        <v>3</v>
      </c>
      <c r="DD329" s="2" t="s">
        <v>3</v>
      </c>
      <c r="DE329" s="2" t="s">
        <v>36</v>
      </c>
      <c r="DF329" s="2" t="s">
        <v>36</v>
      </c>
      <c r="DG329" s="2" t="s">
        <v>37</v>
      </c>
      <c r="DH329" s="2" t="s">
        <v>3</v>
      </c>
      <c r="DI329" s="2" t="s">
        <v>37</v>
      </c>
      <c r="DJ329" s="2" t="s">
        <v>36</v>
      </c>
      <c r="DK329" s="2" t="s">
        <v>3</v>
      </c>
      <c r="DL329" s="2" t="s">
        <v>3</v>
      </c>
      <c r="DM329" s="2" t="s">
        <v>3</v>
      </c>
      <c r="DN329" s="2">
        <v>140</v>
      </c>
      <c r="DO329" s="2">
        <v>79</v>
      </c>
      <c r="DP329" s="2">
        <v>1.0469999999999999</v>
      </c>
      <c r="DQ329" s="2">
        <v>1.002</v>
      </c>
      <c r="DR329" s="2"/>
      <c r="DS329" s="2"/>
      <c r="DT329" s="2"/>
      <c r="DU329" s="2">
        <v>1013</v>
      </c>
      <c r="DV329" s="2" t="s">
        <v>389</v>
      </c>
      <c r="DW329" s="2" t="s">
        <v>389</v>
      </c>
      <c r="DX329" s="2">
        <v>1</v>
      </c>
      <c r="DY329" s="2"/>
      <c r="DZ329" s="2"/>
      <c r="EA329" s="2"/>
      <c r="EB329" s="2"/>
      <c r="EC329" s="2"/>
      <c r="ED329" s="2"/>
      <c r="EE329" s="2">
        <v>44846653</v>
      </c>
      <c r="EF329" s="2">
        <v>30</v>
      </c>
      <c r="EG329" s="2" t="s">
        <v>38</v>
      </c>
      <c r="EH329" s="2">
        <v>0</v>
      </c>
      <c r="EI329" s="2" t="s">
        <v>3</v>
      </c>
      <c r="EJ329" s="2">
        <v>1</v>
      </c>
      <c r="EK329" s="2">
        <v>146</v>
      </c>
      <c r="EL329" s="2" t="s">
        <v>391</v>
      </c>
      <c r="EM329" s="2" t="s">
        <v>392</v>
      </c>
      <c r="EN329" s="2"/>
      <c r="EO329" s="2" t="s">
        <v>3</v>
      </c>
      <c r="EP329" s="2"/>
      <c r="EQ329" s="2">
        <v>131072</v>
      </c>
      <c r="ER329" s="2">
        <v>863.31</v>
      </c>
      <c r="ES329" s="2">
        <v>35.35</v>
      </c>
      <c r="ET329" s="2">
        <v>676.47</v>
      </c>
      <c r="EU329" s="2">
        <v>119.05</v>
      </c>
      <c r="EV329" s="2">
        <v>151.49</v>
      </c>
      <c r="EW329" s="2">
        <v>14.4</v>
      </c>
      <c r="EX329" s="2">
        <v>0</v>
      </c>
      <c r="EY329" s="2">
        <v>0</v>
      </c>
      <c r="EZ329" s="2"/>
      <c r="FA329" s="2"/>
      <c r="FB329" s="2"/>
      <c r="FC329" s="2"/>
      <c r="FD329" s="2"/>
      <c r="FE329" s="2"/>
      <c r="FF329" s="2"/>
      <c r="FG329" s="2"/>
      <c r="FH329" s="2"/>
      <c r="FI329" s="2"/>
      <c r="FJ329" s="2"/>
      <c r="FK329" s="2"/>
      <c r="FL329" s="2"/>
      <c r="FM329" s="2"/>
      <c r="FN329" s="2"/>
      <c r="FO329" s="2"/>
      <c r="FP329" s="2"/>
      <c r="FQ329" s="2">
        <v>0</v>
      </c>
      <c r="FR329" s="2">
        <f t="shared" ref="FR329:FR356" si="322">ROUND(IF(AND(BH329=3,BI329=3),P329,0),2)</f>
        <v>0</v>
      </c>
      <c r="FS329" s="2">
        <v>0</v>
      </c>
      <c r="FT329" s="2"/>
      <c r="FU329" s="2"/>
      <c r="FV329" s="2"/>
      <c r="FW329" s="2"/>
      <c r="FX329" s="2">
        <v>140</v>
      </c>
      <c r="FY329" s="2">
        <v>79</v>
      </c>
      <c r="FZ329" s="2"/>
      <c r="GA329" s="2" t="s">
        <v>3</v>
      </c>
      <c r="GB329" s="2"/>
      <c r="GC329" s="2"/>
      <c r="GD329" s="2">
        <v>0</v>
      </c>
      <c r="GE329" s="2"/>
      <c r="GF329" s="2">
        <v>-674047682</v>
      </c>
      <c r="GG329" s="2">
        <v>2</v>
      </c>
      <c r="GH329" s="2">
        <v>1</v>
      </c>
      <c r="GI329" s="2">
        <v>3</v>
      </c>
      <c r="GJ329" s="2">
        <v>0</v>
      </c>
      <c r="GK329" s="2">
        <f>ROUND(R329*(R12)/100,2)</f>
        <v>0.81</v>
      </c>
      <c r="GL329" s="2">
        <f t="shared" ref="GL329:GL356" si="323">ROUND(IF(AND(BH329=3,BI329=3,FS329&lt;&gt;0),P329,0),2)</f>
        <v>0</v>
      </c>
      <c r="GM329" s="2">
        <f t="shared" ref="GM329:GM356" si="324">ROUND(O329+X329+Y329+GK329,2)+GX329</f>
        <v>3.98</v>
      </c>
      <c r="GN329" s="2">
        <f t="shared" ref="GN329:GN356" si="325">IF(OR(BI329=0,BI329=1),ROUND(O329+X329+Y329+GK329,2),0)</f>
        <v>3.98</v>
      </c>
      <c r="GO329" s="2">
        <f t="shared" ref="GO329:GO356" si="326">IF(BI329=2,ROUND(O329+X329+Y329+GK329,2),0)</f>
        <v>0</v>
      </c>
      <c r="GP329" s="2">
        <f t="shared" ref="GP329:GP356" si="327">IF(BI329=4,ROUND(O329+X329+Y329+GK329,2)+GX329,0)</f>
        <v>0</v>
      </c>
      <c r="GQ329" s="2"/>
      <c r="GR329" s="2">
        <v>0</v>
      </c>
      <c r="GS329" s="2">
        <v>3</v>
      </c>
      <c r="GT329" s="2">
        <v>0</v>
      </c>
      <c r="GU329" s="2" t="s">
        <v>3</v>
      </c>
      <c r="GV329" s="2">
        <f t="shared" ref="GV329:GV356" si="328">ROUND(GT329,6)</f>
        <v>0</v>
      </c>
      <c r="GW329" s="2">
        <v>1</v>
      </c>
      <c r="GX329" s="2">
        <f t="shared" ref="GX329:GX356" si="329">ROUND(GV329*GW329*I329,2)</f>
        <v>0</v>
      </c>
      <c r="GY329" s="2"/>
      <c r="GZ329" s="2"/>
      <c r="HA329" s="2">
        <v>0</v>
      </c>
      <c r="HB329" s="2">
        <v>0</v>
      </c>
      <c r="HC329" s="2"/>
      <c r="HD329" s="2"/>
      <c r="HE329" s="2"/>
      <c r="HF329" s="2"/>
      <c r="HG329" s="2"/>
      <c r="HH329" s="2"/>
      <c r="HI329" s="2"/>
      <c r="HJ329" s="2"/>
      <c r="HK329" s="2"/>
      <c r="HL329" s="2"/>
      <c r="HM329" s="2"/>
      <c r="HN329" s="2"/>
      <c r="HO329" s="2"/>
      <c r="HP329" s="2"/>
      <c r="HQ329" s="2"/>
      <c r="HR329" s="2"/>
      <c r="HS329" s="2"/>
      <c r="HT329" s="2"/>
      <c r="HU329" s="2"/>
      <c r="HV329" s="2"/>
      <c r="HW329" s="2"/>
      <c r="HX329" s="2"/>
      <c r="HY329" s="2"/>
      <c r="HZ329" s="2"/>
      <c r="IA329" s="2"/>
      <c r="IB329" s="2"/>
      <c r="IC329" s="2"/>
      <c r="ID329" s="2"/>
      <c r="IE329" s="2"/>
      <c r="IF329" s="2"/>
      <c r="IG329" s="2"/>
      <c r="IH329" s="2"/>
      <c r="II329" s="2"/>
      <c r="IJ329" s="2"/>
      <c r="IK329" s="2">
        <v>0</v>
      </c>
      <c r="IL329" s="2"/>
      <c r="IM329" s="2"/>
      <c r="IN329" s="2"/>
      <c r="IO329" s="2"/>
      <c r="IP329" s="2"/>
      <c r="IQ329" s="2"/>
      <c r="IR329" s="2"/>
      <c r="IS329" s="2"/>
      <c r="IT329" s="2"/>
      <c r="IU329" s="2"/>
    </row>
    <row r="330" spans="1:255" x14ac:dyDescent="0.2">
      <c r="A330">
        <v>17</v>
      </c>
      <c r="B330">
        <v>1</v>
      </c>
      <c r="C330">
        <f>ROW(SmtRes!A290)</f>
        <v>290</v>
      </c>
      <c r="D330">
        <f>ROW(EtalonRes!A284)</f>
        <v>284</v>
      </c>
      <c r="E330" t="s">
        <v>386</v>
      </c>
      <c r="F330" t="s">
        <v>387</v>
      </c>
      <c r="G330" t="s">
        <v>388</v>
      </c>
      <c r="H330" t="s">
        <v>389</v>
      </c>
      <c r="I330">
        <f>ROUND(0.3/100,9)</f>
        <v>3.0000000000000001E-3</v>
      </c>
      <c r="J330">
        <v>0</v>
      </c>
      <c r="O330">
        <f t="shared" si="296"/>
        <v>33.89</v>
      </c>
      <c r="P330">
        <f t="shared" si="297"/>
        <v>0.45</v>
      </c>
      <c r="Q330">
        <f t="shared" si="298"/>
        <v>22.78</v>
      </c>
      <c r="R330">
        <f t="shared" si="299"/>
        <v>9.11</v>
      </c>
      <c r="S330">
        <f t="shared" si="300"/>
        <v>10.66</v>
      </c>
      <c r="T330">
        <f t="shared" si="301"/>
        <v>0</v>
      </c>
      <c r="U330">
        <f t="shared" si="302"/>
        <v>4.9679999999999995E-2</v>
      </c>
      <c r="V330">
        <f t="shared" si="303"/>
        <v>0</v>
      </c>
      <c r="W330">
        <f t="shared" si="304"/>
        <v>0</v>
      </c>
      <c r="X330">
        <f t="shared" si="305"/>
        <v>11.94</v>
      </c>
      <c r="Y330">
        <f t="shared" si="306"/>
        <v>4.37</v>
      </c>
      <c r="AA330">
        <v>45037307</v>
      </c>
      <c r="AB330">
        <f t="shared" si="307"/>
        <v>1055.1510000000001</v>
      </c>
      <c r="AC330">
        <f t="shared" si="308"/>
        <v>35.35</v>
      </c>
      <c r="AD330">
        <f>ROUND(((ET330*1.25)),6)</f>
        <v>845.58749999999998</v>
      </c>
      <c r="AE330">
        <f>ROUND(((EU330*1.25)),6)</f>
        <v>148.8125</v>
      </c>
      <c r="AF330">
        <f>ROUND(((EV330*1.15)),6)</f>
        <v>174.21350000000001</v>
      </c>
      <c r="AG330">
        <f t="shared" si="309"/>
        <v>0</v>
      </c>
      <c r="AH330">
        <f>((EW330*1.15))</f>
        <v>16.559999999999999</v>
      </c>
      <c r="AI330">
        <f>((EX330*1.25))</f>
        <v>0</v>
      </c>
      <c r="AJ330">
        <f t="shared" si="310"/>
        <v>0</v>
      </c>
      <c r="AK330">
        <v>863.31</v>
      </c>
      <c r="AL330">
        <v>35.35</v>
      </c>
      <c r="AM330">
        <v>676.47</v>
      </c>
      <c r="AN330">
        <v>119.05</v>
      </c>
      <c r="AO330">
        <v>151.49</v>
      </c>
      <c r="AP330">
        <v>0</v>
      </c>
      <c r="AQ330">
        <v>14.4</v>
      </c>
      <c r="AR330">
        <v>0</v>
      </c>
      <c r="AS330">
        <v>0</v>
      </c>
      <c r="AT330">
        <v>112</v>
      </c>
      <c r="AU330">
        <v>41</v>
      </c>
      <c r="AV330">
        <v>1</v>
      </c>
      <c r="AW330">
        <v>1</v>
      </c>
      <c r="AZ330">
        <v>1</v>
      </c>
      <c r="BA330">
        <v>20.399999999999999</v>
      </c>
      <c r="BB330">
        <v>8.98</v>
      </c>
      <c r="BC330">
        <v>4.24</v>
      </c>
      <c r="BD330" t="s">
        <v>3</v>
      </c>
      <c r="BE330" t="s">
        <v>3</v>
      </c>
      <c r="BF330" t="s">
        <v>3</v>
      </c>
      <c r="BG330" t="s">
        <v>3</v>
      </c>
      <c r="BH330">
        <v>0</v>
      </c>
      <c r="BI330">
        <v>1</v>
      </c>
      <c r="BJ330" t="s">
        <v>390</v>
      </c>
      <c r="BM330">
        <v>146</v>
      </c>
      <c r="BN330">
        <v>7156650</v>
      </c>
      <c r="BO330" t="s">
        <v>387</v>
      </c>
      <c r="BP330">
        <v>1</v>
      </c>
      <c r="BQ330">
        <v>30</v>
      </c>
      <c r="BR330">
        <v>0</v>
      </c>
      <c r="BS330">
        <v>20.399999999999999</v>
      </c>
      <c r="BT330">
        <v>1</v>
      </c>
      <c r="BU330">
        <v>1</v>
      </c>
      <c r="BV330">
        <v>1</v>
      </c>
      <c r="BW330">
        <v>1</v>
      </c>
      <c r="BX330">
        <v>1</v>
      </c>
      <c r="BY330" t="s">
        <v>3</v>
      </c>
      <c r="BZ330">
        <v>112</v>
      </c>
      <c r="CA330">
        <v>41</v>
      </c>
      <c r="CF330">
        <v>0</v>
      </c>
      <c r="CG330">
        <v>0</v>
      </c>
      <c r="CM330">
        <v>0</v>
      </c>
      <c r="CN330" t="s">
        <v>3</v>
      </c>
      <c r="CO330">
        <v>0</v>
      </c>
      <c r="CP330">
        <f t="shared" si="311"/>
        <v>33.89</v>
      </c>
      <c r="CQ330">
        <f t="shared" si="312"/>
        <v>149.88400000000001</v>
      </c>
      <c r="CR330">
        <f t="shared" si="313"/>
        <v>7593.3757500000002</v>
      </c>
      <c r="CS330">
        <f t="shared" si="314"/>
        <v>3035.7749999999996</v>
      </c>
      <c r="CT330">
        <f t="shared" si="315"/>
        <v>3553.9553999999998</v>
      </c>
      <c r="CU330">
        <f t="shared" si="316"/>
        <v>0</v>
      </c>
      <c r="CV330">
        <f t="shared" si="317"/>
        <v>16.559999999999999</v>
      </c>
      <c r="CW330">
        <f t="shared" si="318"/>
        <v>0</v>
      </c>
      <c r="CX330">
        <f t="shared" si="319"/>
        <v>0</v>
      </c>
      <c r="CY330">
        <f t="shared" si="320"/>
        <v>11.939200000000001</v>
      </c>
      <c r="CZ330">
        <f t="shared" si="321"/>
        <v>4.3705999999999996</v>
      </c>
      <c r="DC330" t="s">
        <v>3</v>
      </c>
      <c r="DD330" t="s">
        <v>3</v>
      </c>
      <c r="DE330" t="s">
        <v>36</v>
      </c>
      <c r="DF330" t="s">
        <v>36</v>
      </c>
      <c r="DG330" t="s">
        <v>37</v>
      </c>
      <c r="DH330" t="s">
        <v>3</v>
      </c>
      <c r="DI330" t="s">
        <v>37</v>
      </c>
      <c r="DJ330" t="s">
        <v>36</v>
      </c>
      <c r="DK330" t="s">
        <v>3</v>
      </c>
      <c r="DL330" t="s">
        <v>3</v>
      </c>
      <c r="DM330" t="s">
        <v>3</v>
      </c>
      <c r="DN330">
        <v>140</v>
      </c>
      <c r="DO330">
        <v>79</v>
      </c>
      <c r="DP330">
        <v>1.0469999999999999</v>
      </c>
      <c r="DQ330">
        <v>1.002</v>
      </c>
      <c r="DU330">
        <v>1013</v>
      </c>
      <c r="DV330" t="s">
        <v>389</v>
      </c>
      <c r="DW330" t="s">
        <v>389</v>
      </c>
      <c r="DX330">
        <v>1</v>
      </c>
      <c r="EE330">
        <v>44846653</v>
      </c>
      <c r="EF330">
        <v>30</v>
      </c>
      <c r="EG330" t="s">
        <v>38</v>
      </c>
      <c r="EH330">
        <v>0</v>
      </c>
      <c r="EI330" t="s">
        <v>3</v>
      </c>
      <c r="EJ330">
        <v>1</v>
      </c>
      <c r="EK330">
        <v>146</v>
      </c>
      <c r="EL330" t="s">
        <v>391</v>
      </c>
      <c r="EM330" t="s">
        <v>392</v>
      </c>
      <c r="EO330" t="s">
        <v>3</v>
      </c>
      <c r="EQ330">
        <v>131072</v>
      </c>
      <c r="ER330">
        <v>863.31</v>
      </c>
      <c r="ES330">
        <v>35.35</v>
      </c>
      <c r="ET330">
        <v>676.47</v>
      </c>
      <c r="EU330">
        <v>119.05</v>
      </c>
      <c r="EV330">
        <v>151.49</v>
      </c>
      <c r="EW330">
        <v>14.4</v>
      </c>
      <c r="EX330">
        <v>0</v>
      </c>
      <c r="EY330">
        <v>0</v>
      </c>
      <c r="FQ330">
        <v>0</v>
      </c>
      <c r="FR330">
        <f t="shared" si="322"/>
        <v>0</v>
      </c>
      <c r="FS330">
        <v>0</v>
      </c>
      <c r="FX330">
        <v>140</v>
      </c>
      <c r="FY330">
        <v>79</v>
      </c>
      <c r="GA330" t="s">
        <v>3</v>
      </c>
      <c r="GD330">
        <v>0</v>
      </c>
      <c r="GF330">
        <v>-674047682</v>
      </c>
      <c r="GG330">
        <v>2</v>
      </c>
      <c r="GH330">
        <v>1</v>
      </c>
      <c r="GI330">
        <v>3</v>
      </c>
      <c r="GJ330">
        <v>0</v>
      </c>
      <c r="GK330">
        <f>ROUND(R330*(S12)/100,2)</f>
        <v>15.3</v>
      </c>
      <c r="GL330">
        <f t="shared" si="323"/>
        <v>0</v>
      </c>
      <c r="GM330">
        <f t="shared" si="324"/>
        <v>65.5</v>
      </c>
      <c r="GN330">
        <f t="shared" si="325"/>
        <v>65.5</v>
      </c>
      <c r="GO330">
        <f t="shared" si="326"/>
        <v>0</v>
      </c>
      <c r="GP330">
        <f t="shared" si="327"/>
        <v>0</v>
      </c>
      <c r="GR330">
        <v>0</v>
      </c>
      <c r="GS330">
        <v>3</v>
      </c>
      <c r="GT330">
        <v>0</v>
      </c>
      <c r="GU330" t="s">
        <v>3</v>
      </c>
      <c r="GV330">
        <f t="shared" si="328"/>
        <v>0</v>
      </c>
      <c r="GW330">
        <v>1</v>
      </c>
      <c r="GX330">
        <f t="shared" si="329"/>
        <v>0</v>
      </c>
      <c r="HA330">
        <v>0</v>
      </c>
      <c r="HB330">
        <v>0</v>
      </c>
      <c r="IK330">
        <v>0</v>
      </c>
    </row>
    <row r="331" spans="1:255" x14ac:dyDescent="0.2">
      <c r="A331" s="2">
        <v>18</v>
      </c>
      <c r="B331" s="2">
        <v>1</v>
      </c>
      <c r="C331" s="2">
        <v>282</v>
      </c>
      <c r="D331" s="2"/>
      <c r="E331" s="2" t="s">
        <v>393</v>
      </c>
      <c r="F331" s="2" t="s">
        <v>394</v>
      </c>
      <c r="G331" s="2" t="s">
        <v>395</v>
      </c>
      <c r="H331" s="2" t="s">
        <v>80</v>
      </c>
      <c r="I331" s="2">
        <f>I329*J331</f>
        <v>0.3</v>
      </c>
      <c r="J331" s="2">
        <v>100</v>
      </c>
      <c r="K331" s="2"/>
      <c r="L331" s="2"/>
      <c r="M331" s="2"/>
      <c r="N331" s="2"/>
      <c r="O331" s="2">
        <f t="shared" si="296"/>
        <v>31.5</v>
      </c>
      <c r="P331" s="2">
        <f t="shared" si="297"/>
        <v>31.5</v>
      </c>
      <c r="Q331" s="2">
        <f t="shared" si="298"/>
        <v>0</v>
      </c>
      <c r="R331" s="2">
        <f t="shared" si="299"/>
        <v>0</v>
      </c>
      <c r="S331" s="2">
        <f t="shared" si="300"/>
        <v>0</v>
      </c>
      <c r="T331" s="2">
        <f t="shared" si="301"/>
        <v>0</v>
      </c>
      <c r="U331" s="2">
        <f t="shared" si="302"/>
        <v>0</v>
      </c>
      <c r="V331" s="2">
        <f t="shared" si="303"/>
        <v>0</v>
      </c>
      <c r="W331" s="2">
        <f t="shared" si="304"/>
        <v>0</v>
      </c>
      <c r="X331" s="2">
        <f t="shared" si="305"/>
        <v>0</v>
      </c>
      <c r="Y331" s="2">
        <f t="shared" si="306"/>
        <v>0</v>
      </c>
      <c r="Z331" s="2"/>
      <c r="AA331" s="2">
        <v>45037306</v>
      </c>
      <c r="AB331" s="2">
        <f t="shared" si="307"/>
        <v>104.99</v>
      </c>
      <c r="AC331" s="2">
        <f t="shared" si="308"/>
        <v>104.99</v>
      </c>
      <c r="AD331" s="2">
        <f t="shared" ref="AD331:AF332" si="330">ROUND((ET331),6)</f>
        <v>0</v>
      </c>
      <c r="AE331" s="2">
        <f t="shared" si="330"/>
        <v>0</v>
      </c>
      <c r="AF331" s="2">
        <f t="shared" si="330"/>
        <v>0</v>
      </c>
      <c r="AG331" s="2">
        <f t="shared" si="309"/>
        <v>0</v>
      </c>
      <c r="AH331" s="2">
        <f>(EW331)</f>
        <v>0</v>
      </c>
      <c r="AI331" s="2">
        <f>(EX331)</f>
        <v>0</v>
      </c>
      <c r="AJ331" s="2">
        <f t="shared" si="310"/>
        <v>0</v>
      </c>
      <c r="AK331" s="2">
        <v>104.99</v>
      </c>
      <c r="AL331" s="2">
        <v>104.99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1</v>
      </c>
      <c r="AW331" s="2">
        <v>1</v>
      </c>
      <c r="AX331" s="2"/>
      <c r="AY331" s="2"/>
      <c r="AZ331" s="2">
        <v>1</v>
      </c>
      <c r="BA331" s="2">
        <v>1</v>
      </c>
      <c r="BB331" s="2">
        <v>1</v>
      </c>
      <c r="BC331" s="2">
        <v>1</v>
      </c>
      <c r="BD331" s="2" t="s">
        <v>3</v>
      </c>
      <c r="BE331" s="2" t="s">
        <v>3</v>
      </c>
      <c r="BF331" s="2" t="s">
        <v>3</v>
      </c>
      <c r="BG331" s="2" t="s">
        <v>3</v>
      </c>
      <c r="BH331" s="2">
        <v>3</v>
      </c>
      <c r="BI331" s="2">
        <v>1</v>
      </c>
      <c r="BJ331" s="2" t="s">
        <v>396</v>
      </c>
      <c r="BK331" s="2"/>
      <c r="BL331" s="2"/>
      <c r="BM331" s="2">
        <v>146</v>
      </c>
      <c r="BN331" s="2">
        <v>7156650</v>
      </c>
      <c r="BO331" s="2" t="s">
        <v>3</v>
      </c>
      <c r="BP331" s="2">
        <v>0</v>
      </c>
      <c r="BQ331" s="2">
        <v>30</v>
      </c>
      <c r="BR331" s="2">
        <v>0</v>
      </c>
      <c r="BS331" s="2">
        <v>1</v>
      </c>
      <c r="BT331" s="2">
        <v>1</v>
      </c>
      <c r="BU331" s="2">
        <v>1</v>
      </c>
      <c r="BV331" s="2">
        <v>1</v>
      </c>
      <c r="BW331" s="2">
        <v>1</v>
      </c>
      <c r="BX331" s="2">
        <v>1</v>
      </c>
      <c r="BY331" s="2" t="s">
        <v>3</v>
      </c>
      <c r="BZ331" s="2">
        <v>0</v>
      </c>
      <c r="CA331" s="2">
        <v>0</v>
      </c>
      <c r="CB331" s="2"/>
      <c r="CC331" s="2"/>
      <c r="CD331" s="2"/>
      <c r="CE331" s="2"/>
      <c r="CF331" s="2">
        <v>0</v>
      </c>
      <c r="CG331" s="2">
        <v>0</v>
      </c>
      <c r="CH331" s="2"/>
      <c r="CI331" s="2"/>
      <c r="CJ331" s="2"/>
      <c r="CK331" s="2"/>
      <c r="CL331" s="2"/>
      <c r="CM331" s="2">
        <v>0</v>
      </c>
      <c r="CN331" s="2" t="s">
        <v>3</v>
      </c>
      <c r="CO331" s="2">
        <v>0</v>
      </c>
      <c r="CP331" s="2">
        <f t="shared" si="311"/>
        <v>31.5</v>
      </c>
      <c r="CQ331" s="2">
        <f t="shared" si="312"/>
        <v>104.99</v>
      </c>
      <c r="CR331" s="2">
        <f t="shared" si="313"/>
        <v>0</v>
      </c>
      <c r="CS331" s="2">
        <f t="shared" si="314"/>
        <v>0</v>
      </c>
      <c r="CT331" s="2">
        <f t="shared" si="315"/>
        <v>0</v>
      </c>
      <c r="CU331" s="2">
        <f t="shared" si="316"/>
        <v>0</v>
      </c>
      <c r="CV331" s="2">
        <f t="shared" si="317"/>
        <v>0</v>
      </c>
      <c r="CW331" s="2">
        <f t="shared" si="318"/>
        <v>0</v>
      </c>
      <c r="CX331" s="2">
        <f t="shared" si="319"/>
        <v>0</v>
      </c>
      <c r="CY331" s="2">
        <f t="shared" si="320"/>
        <v>0</v>
      </c>
      <c r="CZ331" s="2">
        <f t="shared" si="321"/>
        <v>0</v>
      </c>
      <c r="DA331" s="2"/>
      <c r="DB331" s="2"/>
      <c r="DC331" s="2" t="s">
        <v>3</v>
      </c>
      <c r="DD331" s="2" t="s">
        <v>3</v>
      </c>
      <c r="DE331" s="2" t="s">
        <v>3</v>
      </c>
      <c r="DF331" s="2" t="s">
        <v>3</v>
      </c>
      <c r="DG331" s="2" t="s">
        <v>3</v>
      </c>
      <c r="DH331" s="2" t="s">
        <v>3</v>
      </c>
      <c r="DI331" s="2" t="s">
        <v>3</v>
      </c>
      <c r="DJ331" s="2" t="s">
        <v>3</v>
      </c>
      <c r="DK331" s="2" t="s">
        <v>3</v>
      </c>
      <c r="DL331" s="2" t="s">
        <v>3</v>
      </c>
      <c r="DM331" s="2" t="s">
        <v>3</v>
      </c>
      <c r="DN331" s="2">
        <v>140</v>
      </c>
      <c r="DO331" s="2">
        <v>79</v>
      </c>
      <c r="DP331" s="2">
        <v>1.0469999999999999</v>
      </c>
      <c r="DQ331" s="2">
        <v>1.002</v>
      </c>
      <c r="DR331" s="2"/>
      <c r="DS331" s="2"/>
      <c r="DT331" s="2"/>
      <c r="DU331" s="2">
        <v>1007</v>
      </c>
      <c r="DV331" s="2" t="s">
        <v>80</v>
      </c>
      <c r="DW331" s="2" t="s">
        <v>80</v>
      </c>
      <c r="DX331" s="2">
        <v>1</v>
      </c>
      <c r="DY331" s="2"/>
      <c r="DZ331" s="2"/>
      <c r="EA331" s="2"/>
      <c r="EB331" s="2"/>
      <c r="EC331" s="2"/>
      <c r="ED331" s="2"/>
      <c r="EE331" s="2">
        <v>44846653</v>
      </c>
      <c r="EF331" s="2">
        <v>30</v>
      </c>
      <c r="EG331" s="2" t="s">
        <v>38</v>
      </c>
      <c r="EH331" s="2">
        <v>0</v>
      </c>
      <c r="EI331" s="2" t="s">
        <v>3</v>
      </c>
      <c r="EJ331" s="2">
        <v>1</v>
      </c>
      <c r="EK331" s="2">
        <v>146</v>
      </c>
      <c r="EL331" s="2" t="s">
        <v>391</v>
      </c>
      <c r="EM331" s="2" t="s">
        <v>392</v>
      </c>
      <c r="EN331" s="2"/>
      <c r="EO331" s="2" t="s">
        <v>3</v>
      </c>
      <c r="EP331" s="2"/>
      <c r="EQ331" s="2">
        <v>0</v>
      </c>
      <c r="ER331" s="2">
        <v>104.99</v>
      </c>
      <c r="ES331" s="2">
        <v>104.99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/>
      <c r="EZ331" s="2"/>
      <c r="FA331" s="2"/>
      <c r="FB331" s="2"/>
      <c r="FC331" s="2"/>
      <c r="FD331" s="2"/>
      <c r="FE331" s="2"/>
      <c r="FF331" s="2"/>
      <c r="FG331" s="2"/>
      <c r="FH331" s="2"/>
      <c r="FI331" s="2"/>
      <c r="FJ331" s="2"/>
      <c r="FK331" s="2"/>
      <c r="FL331" s="2"/>
      <c r="FM331" s="2"/>
      <c r="FN331" s="2"/>
      <c r="FO331" s="2"/>
      <c r="FP331" s="2"/>
      <c r="FQ331" s="2">
        <v>0</v>
      </c>
      <c r="FR331" s="2">
        <f t="shared" si="322"/>
        <v>0</v>
      </c>
      <c r="FS331" s="2">
        <v>0</v>
      </c>
      <c r="FT331" s="2"/>
      <c r="FU331" s="2"/>
      <c r="FV331" s="2"/>
      <c r="FW331" s="2"/>
      <c r="FX331" s="2">
        <v>140</v>
      </c>
      <c r="FY331" s="2">
        <v>79</v>
      </c>
      <c r="FZ331" s="2"/>
      <c r="GA331" s="2" t="s">
        <v>3</v>
      </c>
      <c r="GB331" s="2"/>
      <c r="GC331" s="2"/>
      <c r="GD331" s="2">
        <v>0</v>
      </c>
      <c r="GE331" s="2"/>
      <c r="GF331" s="2">
        <v>2069056849</v>
      </c>
      <c r="GG331" s="2">
        <v>2</v>
      </c>
      <c r="GH331" s="2">
        <v>1</v>
      </c>
      <c r="GI331" s="2">
        <v>3</v>
      </c>
      <c r="GJ331" s="2">
        <v>0</v>
      </c>
      <c r="GK331" s="2">
        <f>ROUND(R331*(R12)/100,2)</f>
        <v>0</v>
      </c>
      <c r="GL331" s="2">
        <f t="shared" si="323"/>
        <v>0</v>
      </c>
      <c r="GM331" s="2">
        <f t="shared" si="324"/>
        <v>31.5</v>
      </c>
      <c r="GN331" s="2">
        <f t="shared" si="325"/>
        <v>31.5</v>
      </c>
      <c r="GO331" s="2">
        <f t="shared" si="326"/>
        <v>0</v>
      </c>
      <c r="GP331" s="2">
        <f t="shared" si="327"/>
        <v>0</v>
      </c>
      <c r="GQ331" s="2"/>
      <c r="GR331" s="2">
        <v>0</v>
      </c>
      <c r="GS331" s="2">
        <v>3</v>
      </c>
      <c r="GT331" s="2">
        <v>0</v>
      </c>
      <c r="GU331" s="2" t="s">
        <v>3</v>
      </c>
      <c r="GV331" s="2">
        <f t="shared" si="328"/>
        <v>0</v>
      </c>
      <c r="GW331" s="2">
        <v>1</v>
      </c>
      <c r="GX331" s="2">
        <f t="shared" si="329"/>
        <v>0</v>
      </c>
      <c r="GY331" s="2"/>
      <c r="GZ331" s="2"/>
      <c r="HA331" s="2">
        <v>0</v>
      </c>
      <c r="HB331" s="2">
        <v>0</v>
      </c>
      <c r="HC331" s="2"/>
      <c r="HD331" s="2"/>
      <c r="HE331" s="2"/>
      <c r="HF331" s="2"/>
      <c r="HG331" s="2"/>
      <c r="HH331" s="2"/>
      <c r="HI331" s="2"/>
      <c r="HJ331" s="2"/>
      <c r="HK331" s="2"/>
      <c r="HL331" s="2"/>
      <c r="HM331" s="2"/>
      <c r="HN331" s="2"/>
      <c r="HO331" s="2"/>
      <c r="HP331" s="2"/>
      <c r="HQ331" s="2"/>
      <c r="HR331" s="2"/>
      <c r="HS331" s="2"/>
      <c r="HT331" s="2"/>
      <c r="HU331" s="2"/>
      <c r="HV331" s="2"/>
      <c r="HW331" s="2"/>
      <c r="HX331" s="2"/>
      <c r="HY331" s="2"/>
      <c r="HZ331" s="2"/>
      <c r="IA331" s="2"/>
      <c r="IB331" s="2"/>
      <c r="IC331" s="2"/>
      <c r="ID331" s="2"/>
      <c r="IE331" s="2"/>
      <c r="IF331" s="2"/>
      <c r="IG331" s="2"/>
      <c r="IH331" s="2"/>
      <c r="II331" s="2"/>
      <c r="IJ331" s="2"/>
      <c r="IK331" s="2">
        <v>0</v>
      </c>
      <c r="IL331" s="2"/>
      <c r="IM331" s="2"/>
      <c r="IN331" s="2"/>
      <c r="IO331" s="2"/>
      <c r="IP331" s="2"/>
      <c r="IQ331" s="2"/>
      <c r="IR331" s="2"/>
      <c r="IS331" s="2"/>
      <c r="IT331" s="2"/>
      <c r="IU331" s="2"/>
    </row>
    <row r="332" spans="1:255" x14ac:dyDescent="0.2">
      <c r="A332">
        <v>18</v>
      </c>
      <c r="B332">
        <v>1</v>
      </c>
      <c r="C332">
        <v>290</v>
      </c>
      <c r="E332" t="s">
        <v>393</v>
      </c>
      <c r="F332" t="s">
        <v>394</v>
      </c>
      <c r="G332" t="s">
        <v>395</v>
      </c>
      <c r="H332" t="s">
        <v>80</v>
      </c>
      <c r="I332">
        <f>I330*J332</f>
        <v>0.3</v>
      </c>
      <c r="J332">
        <v>100</v>
      </c>
      <c r="O332">
        <f t="shared" si="296"/>
        <v>171.66</v>
      </c>
      <c r="P332">
        <f t="shared" si="297"/>
        <v>171.66</v>
      </c>
      <c r="Q332">
        <f t="shared" si="298"/>
        <v>0</v>
      </c>
      <c r="R332">
        <f t="shared" si="299"/>
        <v>0</v>
      </c>
      <c r="S332">
        <f t="shared" si="300"/>
        <v>0</v>
      </c>
      <c r="T332">
        <f t="shared" si="301"/>
        <v>0</v>
      </c>
      <c r="U332">
        <f t="shared" si="302"/>
        <v>0</v>
      </c>
      <c r="V332">
        <f t="shared" si="303"/>
        <v>0</v>
      </c>
      <c r="W332">
        <f t="shared" si="304"/>
        <v>0</v>
      </c>
      <c r="X332">
        <f t="shared" si="305"/>
        <v>0</v>
      </c>
      <c r="Y332">
        <f t="shared" si="306"/>
        <v>0</v>
      </c>
      <c r="AA332">
        <v>45037307</v>
      </c>
      <c r="AB332">
        <f t="shared" si="307"/>
        <v>104.99</v>
      </c>
      <c r="AC332">
        <f t="shared" si="308"/>
        <v>104.99</v>
      </c>
      <c r="AD332">
        <f t="shared" si="330"/>
        <v>0</v>
      </c>
      <c r="AE332">
        <f t="shared" si="330"/>
        <v>0</v>
      </c>
      <c r="AF332">
        <f t="shared" si="330"/>
        <v>0</v>
      </c>
      <c r="AG332">
        <f t="shared" si="309"/>
        <v>0</v>
      </c>
      <c r="AH332">
        <f>(EW332)</f>
        <v>0</v>
      </c>
      <c r="AI332">
        <f>(EX332)</f>
        <v>0</v>
      </c>
      <c r="AJ332">
        <f t="shared" si="310"/>
        <v>0</v>
      </c>
      <c r="AK332">
        <v>104.99</v>
      </c>
      <c r="AL332">
        <v>104.99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0</v>
      </c>
      <c r="AU332">
        <v>0</v>
      </c>
      <c r="AV332">
        <v>1</v>
      </c>
      <c r="AW332">
        <v>1</v>
      </c>
      <c r="AZ332">
        <v>1</v>
      </c>
      <c r="BA332">
        <v>1</v>
      </c>
      <c r="BB332">
        <v>1</v>
      </c>
      <c r="BC332">
        <v>5.45</v>
      </c>
      <c r="BD332" t="s">
        <v>3</v>
      </c>
      <c r="BE332" t="s">
        <v>3</v>
      </c>
      <c r="BF332" t="s">
        <v>3</v>
      </c>
      <c r="BG332" t="s">
        <v>3</v>
      </c>
      <c r="BH332">
        <v>3</v>
      </c>
      <c r="BI332">
        <v>1</v>
      </c>
      <c r="BJ332" t="s">
        <v>396</v>
      </c>
      <c r="BM332">
        <v>146</v>
      </c>
      <c r="BN332">
        <v>7156650</v>
      </c>
      <c r="BO332" t="s">
        <v>394</v>
      </c>
      <c r="BP332">
        <v>1</v>
      </c>
      <c r="BQ332">
        <v>30</v>
      </c>
      <c r="BR332">
        <v>0</v>
      </c>
      <c r="BS332">
        <v>1</v>
      </c>
      <c r="BT332">
        <v>1</v>
      </c>
      <c r="BU332">
        <v>1</v>
      </c>
      <c r="BV332">
        <v>1</v>
      </c>
      <c r="BW332">
        <v>1</v>
      </c>
      <c r="BX332">
        <v>1</v>
      </c>
      <c r="BY332" t="s">
        <v>3</v>
      </c>
      <c r="BZ332">
        <v>0</v>
      </c>
      <c r="CA332">
        <v>0</v>
      </c>
      <c r="CF332">
        <v>0</v>
      </c>
      <c r="CG332">
        <v>0</v>
      </c>
      <c r="CM332">
        <v>0</v>
      </c>
      <c r="CN332" t="s">
        <v>3</v>
      </c>
      <c r="CO332">
        <v>0</v>
      </c>
      <c r="CP332">
        <f t="shared" si="311"/>
        <v>171.66</v>
      </c>
      <c r="CQ332">
        <f t="shared" si="312"/>
        <v>572.19550000000004</v>
      </c>
      <c r="CR332">
        <f t="shared" si="313"/>
        <v>0</v>
      </c>
      <c r="CS332">
        <f t="shared" si="314"/>
        <v>0</v>
      </c>
      <c r="CT332">
        <f t="shared" si="315"/>
        <v>0</v>
      </c>
      <c r="CU332">
        <f t="shared" si="316"/>
        <v>0</v>
      </c>
      <c r="CV332">
        <f t="shared" si="317"/>
        <v>0</v>
      </c>
      <c r="CW332">
        <f t="shared" si="318"/>
        <v>0</v>
      </c>
      <c r="CX332">
        <f t="shared" si="319"/>
        <v>0</v>
      </c>
      <c r="CY332">
        <f t="shared" si="320"/>
        <v>0</v>
      </c>
      <c r="CZ332">
        <f t="shared" si="321"/>
        <v>0</v>
      </c>
      <c r="DC332" t="s">
        <v>3</v>
      </c>
      <c r="DD332" t="s">
        <v>3</v>
      </c>
      <c r="DE332" t="s">
        <v>3</v>
      </c>
      <c r="DF332" t="s">
        <v>3</v>
      </c>
      <c r="DG332" t="s">
        <v>3</v>
      </c>
      <c r="DH332" t="s">
        <v>3</v>
      </c>
      <c r="DI332" t="s">
        <v>3</v>
      </c>
      <c r="DJ332" t="s">
        <v>3</v>
      </c>
      <c r="DK332" t="s">
        <v>3</v>
      </c>
      <c r="DL332" t="s">
        <v>3</v>
      </c>
      <c r="DM332" t="s">
        <v>3</v>
      </c>
      <c r="DN332">
        <v>140</v>
      </c>
      <c r="DO332">
        <v>79</v>
      </c>
      <c r="DP332">
        <v>1.0469999999999999</v>
      </c>
      <c r="DQ332">
        <v>1.002</v>
      </c>
      <c r="DU332">
        <v>1007</v>
      </c>
      <c r="DV332" t="s">
        <v>80</v>
      </c>
      <c r="DW332" t="s">
        <v>80</v>
      </c>
      <c r="DX332">
        <v>1</v>
      </c>
      <c r="EE332">
        <v>44846653</v>
      </c>
      <c r="EF332">
        <v>30</v>
      </c>
      <c r="EG332" t="s">
        <v>38</v>
      </c>
      <c r="EH332">
        <v>0</v>
      </c>
      <c r="EI332" t="s">
        <v>3</v>
      </c>
      <c r="EJ332">
        <v>1</v>
      </c>
      <c r="EK332">
        <v>146</v>
      </c>
      <c r="EL332" t="s">
        <v>391</v>
      </c>
      <c r="EM332" t="s">
        <v>392</v>
      </c>
      <c r="EO332" t="s">
        <v>3</v>
      </c>
      <c r="EQ332">
        <v>0</v>
      </c>
      <c r="ER332">
        <v>104.99</v>
      </c>
      <c r="ES332">
        <v>104.99</v>
      </c>
      <c r="ET332">
        <v>0</v>
      </c>
      <c r="EU332">
        <v>0</v>
      </c>
      <c r="EV332">
        <v>0</v>
      </c>
      <c r="EW332">
        <v>0</v>
      </c>
      <c r="EX332">
        <v>0</v>
      </c>
      <c r="FQ332">
        <v>0</v>
      </c>
      <c r="FR332">
        <f t="shared" si="322"/>
        <v>0</v>
      </c>
      <c r="FS332">
        <v>0</v>
      </c>
      <c r="FX332">
        <v>140</v>
      </c>
      <c r="FY332">
        <v>79</v>
      </c>
      <c r="GA332" t="s">
        <v>3</v>
      </c>
      <c r="GD332">
        <v>0</v>
      </c>
      <c r="GF332">
        <v>2069056849</v>
      </c>
      <c r="GG332">
        <v>2</v>
      </c>
      <c r="GH332">
        <v>1</v>
      </c>
      <c r="GI332">
        <v>3</v>
      </c>
      <c r="GJ332">
        <v>0</v>
      </c>
      <c r="GK332">
        <f>ROUND(R332*(S12)/100,2)</f>
        <v>0</v>
      </c>
      <c r="GL332">
        <f t="shared" si="323"/>
        <v>0</v>
      </c>
      <c r="GM332">
        <f t="shared" si="324"/>
        <v>171.66</v>
      </c>
      <c r="GN332">
        <f t="shared" si="325"/>
        <v>171.66</v>
      </c>
      <c r="GO332">
        <f t="shared" si="326"/>
        <v>0</v>
      </c>
      <c r="GP332">
        <f t="shared" si="327"/>
        <v>0</v>
      </c>
      <c r="GR332">
        <v>0</v>
      </c>
      <c r="GS332">
        <v>3</v>
      </c>
      <c r="GT332">
        <v>0</v>
      </c>
      <c r="GU332" t="s">
        <v>3</v>
      </c>
      <c r="GV332">
        <f t="shared" si="328"/>
        <v>0</v>
      </c>
      <c r="GW332">
        <v>1</v>
      </c>
      <c r="GX332">
        <f t="shared" si="329"/>
        <v>0</v>
      </c>
      <c r="HA332">
        <v>0</v>
      </c>
      <c r="HB332">
        <v>0</v>
      </c>
      <c r="IK332">
        <v>0</v>
      </c>
    </row>
    <row r="333" spans="1:255" x14ac:dyDescent="0.2">
      <c r="A333" s="2">
        <v>17</v>
      </c>
      <c r="B333" s="2">
        <v>1</v>
      </c>
      <c r="C333" s="2">
        <f>ROW(SmtRes!A296)</f>
        <v>296</v>
      </c>
      <c r="D333" s="2">
        <f>ROW(EtalonRes!A290)</f>
        <v>290</v>
      </c>
      <c r="E333" s="2" t="s">
        <v>397</v>
      </c>
      <c r="F333" s="2" t="s">
        <v>398</v>
      </c>
      <c r="G333" s="2" t="s">
        <v>399</v>
      </c>
      <c r="H333" s="2" t="s">
        <v>400</v>
      </c>
      <c r="I333" s="2">
        <f>ROUND(0.08/100,9)</f>
        <v>8.0000000000000004E-4</v>
      </c>
      <c r="J333" s="2">
        <v>0</v>
      </c>
      <c r="K333" s="2"/>
      <c r="L333" s="2"/>
      <c r="M333" s="2"/>
      <c r="N333" s="2"/>
      <c r="O333" s="2">
        <f t="shared" si="296"/>
        <v>2.78</v>
      </c>
      <c r="P333" s="2">
        <f t="shared" si="297"/>
        <v>1.49</v>
      </c>
      <c r="Q333" s="2">
        <f t="shared" si="298"/>
        <v>0.02</v>
      </c>
      <c r="R333" s="2">
        <f t="shared" si="299"/>
        <v>0</v>
      </c>
      <c r="S333" s="2">
        <f t="shared" si="300"/>
        <v>1.27</v>
      </c>
      <c r="T333" s="2">
        <f t="shared" si="301"/>
        <v>0</v>
      </c>
      <c r="U333" s="2">
        <f t="shared" si="302"/>
        <v>0.1242</v>
      </c>
      <c r="V333" s="2">
        <f t="shared" si="303"/>
        <v>0</v>
      </c>
      <c r="W333" s="2">
        <f t="shared" si="304"/>
        <v>0</v>
      </c>
      <c r="X333" s="2">
        <f t="shared" si="305"/>
        <v>0</v>
      </c>
      <c r="Y333" s="2">
        <f t="shared" si="306"/>
        <v>0</v>
      </c>
      <c r="Z333" s="2"/>
      <c r="AA333" s="2">
        <v>45037306</v>
      </c>
      <c r="AB333" s="2">
        <f t="shared" si="307"/>
        <v>3474.7750000000001</v>
      </c>
      <c r="AC333" s="2">
        <f t="shared" si="308"/>
        <v>1859.87</v>
      </c>
      <c r="AD333" s="2">
        <f>ROUND(((ET333*1.25)),6)</f>
        <v>28.25</v>
      </c>
      <c r="AE333" s="2">
        <f>ROUND(((EU333*1.25)),6)</f>
        <v>2.6124999999999998</v>
      </c>
      <c r="AF333" s="2">
        <f>ROUND(((EV333*1.15)),6)</f>
        <v>1586.655</v>
      </c>
      <c r="AG333" s="2">
        <f t="shared" si="309"/>
        <v>0</v>
      </c>
      <c r="AH333" s="2">
        <f>((EW333*1.15))</f>
        <v>155.25</v>
      </c>
      <c r="AI333" s="2">
        <f>((EX333*1.25))</f>
        <v>0</v>
      </c>
      <c r="AJ333" s="2">
        <f t="shared" si="310"/>
        <v>0</v>
      </c>
      <c r="AK333" s="2">
        <v>3262.17</v>
      </c>
      <c r="AL333" s="2">
        <v>1859.87</v>
      </c>
      <c r="AM333" s="2">
        <v>22.6</v>
      </c>
      <c r="AN333" s="2">
        <v>2.09</v>
      </c>
      <c r="AO333" s="2">
        <v>1379.7</v>
      </c>
      <c r="AP333" s="2">
        <v>0</v>
      </c>
      <c r="AQ333" s="2">
        <v>135</v>
      </c>
      <c r="AR333" s="2">
        <v>0</v>
      </c>
      <c r="AS333" s="2">
        <v>0</v>
      </c>
      <c r="AT333" s="2">
        <v>0</v>
      </c>
      <c r="AU333" s="2">
        <v>0</v>
      </c>
      <c r="AV333" s="2">
        <v>1</v>
      </c>
      <c r="AW333" s="2">
        <v>1</v>
      </c>
      <c r="AX333" s="2"/>
      <c r="AY333" s="2"/>
      <c r="AZ333" s="2">
        <v>1</v>
      </c>
      <c r="BA333" s="2">
        <v>1</v>
      </c>
      <c r="BB333" s="2">
        <v>1</v>
      </c>
      <c r="BC333" s="2">
        <v>1</v>
      </c>
      <c r="BD333" s="2" t="s">
        <v>3</v>
      </c>
      <c r="BE333" s="2" t="s">
        <v>3</v>
      </c>
      <c r="BF333" s="2" t="s">
        <v>3</v>
      </c>
      <c r="BG333" s="2" t="s">
        <v>3</v>
      </c>
      <c r="BH333" s="2">
        <v>0</v>
      </c>
      <c r="BI333" s="2">
        <v>1</v>
      </c>
      <c r="BJ333" s="2" t="s">
        <v>401</v>
      </c>
      <c r="BK333" s="2"/>
      <c r="BL333" s="2"/>
      <c r="BM333" s="2">
        <v>47</v>
      </c>
      <c r="BN333" s="2">
        <v>7156650</v>
      </c>
      <c r="BO333" s="2" t="s">
        <v>3</v>
      </c>
      <c r="BP333" s="2">
        <v>0</v>
      </c>
      <c r="BQ333" s="2">
        <v>30</v>
      </c>
      <c r="BR333" s="2">
        <v>0</v>
      </c>
      <c r="BS333" s="2">
        <v>1</v>
      </c>
      <c r="BT333" s="2">
        <v>1</v>
      </c>
      <c r="BU333" s="2">
        <v>1</v>
      </c>
      <c r="BV333" s="2">
        <v>1</v>
      </c>
      <c r="BW333" s="2">
        <v>1</v>
      </c>
      <c r="BX333" s="2">
        <v>1</v>
      </c>
      <c r="BY333" s="2" t="s">
        <v>3</v>
      </c>
      <c r="BZ333" s="2">
        <v>0</v>
      </c>
      <c r="CA333" s="2">
        <v>0</v>
      </c>
      <c r="CB333" s="2"/>
      <c r="CC333" s="2"/>
      <c r="CD333" s="2"/>
      <c r="CE333" s="2"/>
      <c r="CF333" s="2">
        <v>0</v>
      </c>
      <c r="CG333" s="2">
        <v>0</v>
      </c>
      <c r="CH333" s="2"/>
      <c r="CI333" s="2"/>
      <c r="CJ333" s="2"/>
      <c r="CK333" s="2"/>
      <c r="CL333" s="2"/>
      <c r="CM333" s="2">
        <v>0</v>
      </c>
      <c r="CN333" s="2" t="s">
        <v>35</v>
      </c>
      <c r="CO333" s="2">
        <v>0</v>
      </c>
      <c r="CP333" s="2">
        <f t="shared" si="311"/>
        <v>2.7800000000000002</v>
      </c>
      <c r="CQ333" s="2">
        <f t="shared" si="312"/>
        <v>1859.87</v>
      </c>
      <c r="CR333" s="2">
        <f t="shared" si="313"/>
        <v>28.25</v>
      </c>
      <c r="CS333" s="2">
        <f t="shared" si="314"/>
        <v>2.6124999999999998</v>
      </c>
      <c r="CT333" s="2">
        <f t="shared" si="315"/>
        <v>1586.655</v>
      </c>
      <c r="CU333" s="2">
        <f t="shared" si="316"/>
        <v>0</v>
      </c>
      <c r="CV333" s="2">
        <f t="shared" si="317"/>
        <v>155.25</v>
      </c>
      <c r="CW333" s="2">
        <f t="shared" si="318"/>
        <v>0</v>
      </c>
      <c r="CX333" s="2">
        <f t="shared" si="319"/>
        <v>0</v>
      </c>
      <c r="CY333" s="2">
        <f t="shared" si="320"/>
        <v>0</v>
      </c>
      <c r="CZ333" s="2">
        <f t="shared" si="321"/>
        <v>0</v>
      </c>
      <c r="DA333" s="2"/>
      <c r="DB333" s="2"/>
      <c r="DC333" s="2" t="s">
        <v>3</v>
      </c>
      <c r="DD333" s="2" t="s">
        <v>3</v>
      </c>
      <c r="DE333" s="2" t="s">
        <v>36</v>
      </c>
      <c r="DF333" s="2" t="s">
        <v>36</v>
      </c>
      <c r="DG333" s="2" t="s">
        <v>37</v>
      </c>
      <c r="DH333" s="2" t="s">
        <v>3</v>
      </c>
      <c r="DI333" s="2" t="s">
        <v>37</v>
      </c>
      <c r="DJ333" s="2" t="s">
        <v>36</v>
      </c>
      <c r="DK333" s="2" t="s">
        <v>3</v>
      </c>
      <c r="DL333" s="2" t="s">
        <v>3</v>
      </c>
      <c r="DM333" s="2" t="s">
        <v>3</v>
      </c>
      <c r="DN333" s="2">
        <v>85</v>
      </c>
      <c r="DO333" s="2">
        <v>70</v>
      </c>
      <c r="DP333" s="2">
        <v>1.0469999999999999</v>
      </c>
      <c r="DQ333" s="2">
        <v>1.022</v>
      </c>
      <c r="DR333" s="2"/>
      <c r="DS333" s="2"/>
      <c r="DT333" s="2"/>
      <c r="DU333" s="2">
        <v>1013</v>
      </c>
      <c r="DV333" s="2" t="s">
        <v>400</v>
      </c>
      <c r="DW333" s="2" t="s">
        <v>400</v>
      </c>
      <c r="DX333" s="2">
        <v>1</v>
      </c>
      <c r="DY333" s="2"/>
      <c r="DZ333" s="2"/>
      <c r="EA333" s="2"/>
      <c r="EB333" s="2"/>
      <c r="EC333" s="2"/>
      <c r="ED333" s="2"/>
      <c r="EE333" s="2">
        <v>44846554</v>
      </c>
      <c r="EF333" s="2">
        <v>30</v>
      </c>
      <c r="EG333" s="2" t="s">
        <v>38</v>
      </c>
      <c r="EH333" s="2">
        <v>0</v>
      </c>
      <c r="EI333" s="2" t="s">
        <v>3</v>
      </c>
      <c r="EJ333" s="2">
        <v>1</v>
      </c>
      <c r="EK333" s="2">
        <v>47</v>
      </c>
      <c r="EL333" s="2" t="s">
        <v>402</v>
      </c>
      <c r="EM333" s="2" t="s">
        <v>403</v>
      </c>
      <c r="EN333" s="2"/>
      <c r="EO333" s="2" t="s">
        <v>41</v>
      </c>
      <c r="EP333" s="2"/>
      <c r="EQ333" s="2">
        <v>131072</v>
      </c>
      <c r="ER333" s="2">
        <v>3262.17</v>
      </c>
      <c r="ES333" s="2">
        <v>1859.87</v>
      </c>
      <c r="ET333" s="2">
        <v>22.6</v>
      </c>
      <c r="EU333" s="2">
        <v>2.09</v>
      </c>
      <c r="EV333" s="2">
        <v>1379.7</v>
      </c>
      <c r="EW333" s="2">
        <v>135</v>
      </c>
      <c r="EX333" s="2">
        <v>0</v>
      </c>
      <c r="EY333" s="2">
        <v>0</v>
      </c>
      <c r="EZ333" s="2"/>
      <c r="FA333" s="2"/>
      <c r="FB333" s="2"/>
      <c r="FC333" s="2"/>
      <c r="FD333" s="2"/>
      <c r="FE333" s="2"/>
      <c r="FF333" s="2"/>
      <c r="FG333" s="2"/>
      <c r="FH333" s="2"/>
      <c r="FI333" s="2"/>
      <c r="FJ333" s="2"/>
      <c r="FK333" s="2"/>
      <c r="FL333" s="2"/>
      <c r="FM333" s="2"/>
      <c r="FN333" s="2"/>
      <c r="FO333" s="2"/>
      <c r="FP333" s="2"/>
      <c r="FQ333" s="2">
        <v>0</v>
      </c>
      <c r="FR333" s="2">
        <f t="shared" si="322"/>
        <v>0</v>
      </c>
      <c r="FS333" s="2">
        <v>0</v>
      </c>
      <c r="FT333" s="2"/>
      <c r="FU333" s="2"/>
      <c r="FV333" s="2"/>
      <c r="FW333" s="2"/>
      <c r="FX333" s="2">
        <v>85</v>
      </c>
      <c r="FY333" s="2">
        <v>70</v>
      </c>
      <c r="FZ333" s="2"/>
      <c r="GA333" s="2" t="s">
        <v>3</v>
      </c>
      <c r="GB333" s="2"/>
      <c r="GC333" s="2"/>
      <c r="GD333" s="2">
        <v>0</v>
      </c>
      <c r="GE333" s="2"/>
      <c r="GF333" s="2">
        <v>1738629854</v>
      </c>
      <c r="GG333" s="2">
        <v>2</v>
      </c>
      <c r="GH333" s="2">
        <v>1</v>
      </c>
      <c r="GI333" s="2">
        <v>3</v>
      </c>
      <c r="GJ333" s="2">
        <v>0</v>
      </c>
      <c r="GK333" s="2">
        <f>ROUND(R333*(R12)/100,2)</f>
        <v>0</v>
      </c>
      <c r="GL333" s="2">
        <f t="shared" si="323"/>
        <v>0</v>
      </c>
      <c r="GM333" s="2">
        <f t="shared" si="324"/>
        <v>2.78</v>
      </c>
      <c r="GN333" s="2">
        <f t="shared" si="325"/>
        <v>2.78</v>
      </c>
      <c r="GO333" s="2">
        <f t="shared" si="326"/>
        <v>0</v>
      </c>
      <c r="GP333" s="2">
        <f t="shared" si="327"/>
        <v>0</v>
      </c>
      <c r="GQ333" s="2"/>
      <c r="GR333" s="2">
        <v>0</v>
      </c>
      <c r="GS333" s="2">
        <v>3</v>
      </c>
      <c r="GT333" s="2">
        <v>0</v>
      </c>
      <c r="GU333" s="2" t="s">
        <v>3</v>
      </c>
      <c r="GV333" s="2">
        <f t="shared" si="328"/>
        <v>0</v>
      </c>
      <c r="GW333" s="2">
        <v>1</v>
      </c>
      <c r="GX333" s="2">
        <f t="shared" si="329"/>
        <v>0</v>
      </c>
      <c r="GY333" s="2"/>
      <c r="GZ333" s="2"/>
      <c r="HA333" s="2">
        <v>0</v>
      </c>
      <c r="HB333" s="2">
        <v>0</v>
      </c>
      <c r="HC333" s="2"/>
      <c r="HD333" s="2"/>
      <c r="HE333" s="2"/>
      <c r="HF333" s="2"/>
      <c r="HG333" s="2"/>
      <c r="HH333" s="2"/>
      <c r="HI333" s="2"/>
      <c r="HJ333" s="2"/>
      <c r="HK333" s="2"/>
      <c r="HL333" s="2"/>
      <c r="HM333" s="2"/>
      <c r="HN333" s="2"/>
      <c r="HO333" s="2"/>
      <c r="HP333" s="2"/>
      <c r="HQ333" s="2"/>
      <c r="HR333" s="2"/>
      <c r="HS333" s="2"/>
      <c r="HT333" s="2"/>
      <c r="HU333" s="2"/>
      <c r="HV333" s="2"/>
      <c r="HW333" s="2"/>
      <c r="HX333" s="2"/>
      <c r="HY333" s="2"/>
      <c r="HZ333" s="2"/>
      <c r="IA333" s="2"/>
      <c r="IB333" s="2"/>
      <c r="IC333" s="2"/>
      <c r="ID333" s="2"/>
      <c r="IE333" s="2"/>
      <c r="IF333" s="2"/>
      <c r="IG333" s="2"/>
      <c r="IH333" s="2"/>
      <c r="II333" s="2"/>
      <c r="IJ333" s="2"/>
      <c r="IK333" s="2">
        <v>0</v>
      </c>
      <c r="IL333" s="2"/>
      <c r="IM333" s="2"/>
      <c r="IN333" s="2"/>
      <c r="IO333" s="2"/>
      <c r="IP333" s="2"/>
      <c r="IQ333" s="2"/>
      <c r="IR333" s="2"/>
      <c r="IS333" s="2"/>
      <c r="IT333" s="2"/>
      <c r="IU333" s="2"/>
    </row>
    <row r="334" spans="1:255" x14ac:dyDescent="0.2">
      <c r="A334">
        <v>17</v>
      </c>
      <c r="B334">
        <v>1</v>
      </c>
      <c r="C334">
        <f>ROW(SmtRes!A302)</f>
        <v>302</v>
      </c>
      <c r="D334">
        <f>ROW(EtalonRes!A296)</f>
        <v>296</v>
      </c>
      <c r="E334" t="s">
        <v>397</v>
      </c>
      <c r="F334" t="s">
        <v>398</v>
      </c>
      <c r="G334" t="s">
        <v>399</v>
      </c>
      <c r="H334" t="s">
        <v>400</v>
      </c>
      <c r="I334">
        <f>ROUND(0.08/100,9)</f>
        <v>8.0000000000000004E-4</v>
      </c>
      <c r="J334">
        <v>0</v>
      </c>
      <c r="O334">
        <f t="shared" si="296"/>
        <v>30.29</v>
      </c>
      <c r="P334">
        <f t="shared" si="297"/>
        <v>4.29</v>
      </c>
      <c r="Q334">
        <f t="shared" si="298"/>
        <v>0.11</v>
      </c>
      <c r="R334">
        <f t="shared" si="299"/>
        <v>0.04</v>
      </c>
      <c r="S334">
        <f t="shared" si="300"/>
        <v>25.89</v>
      </c>
      <c r="T334">
        <f t="shared" si="301"/>
        <v>0</v>
      </c>
      <c r="U334">
        <f t="shared" si="302"/>
        <v>0.1242</v>
      </c>
      <c r="V334">
        <f t="shared" si="303"/>
        <v>0</v>
      </c>
      <c r="W334">
        <f t="shared" si="304"/>
        <v>0</v>
      </c>
      <c r="X334">
        <f t="shared" si="305"/>
        <v>17.61</v>
      </c>
      <c r="Y334">
        <f t="shared" si="306"/>
        <v>10.61</v>
      </c>
      <c r="AA334">
        <v>45037307</v>
      </c>
      <c r="AB334">
        <f t="shared" si="307"/>
        <v>3474.7750000000001</v>
      </c>
      <c r="AC334">
        <f t="shared" si="308"/>
        <v>1859.87</v>
      </c>
      <c r="AD334">
        <f>ROUND(((ET334*1.25)),6)</f>
        <v>28.25</v>
      </c>
      <c r="AE334">
        <f>ROUND(((EU334*1.25)),6)</f>
        <v>2.6124999999999998</v>
      </c>
      <c r="AF334">
        <f>ROUND(((EV334*1.15)),6)</f>
        <v>1586.655</v>
      </c>
      <c r="AG334">
        <f t="shared" si="309"/>
        <v>0</v>
      </c>
      <c r="AH334">
        <f>((EW334*1.15))</f>
        <v>155.25</v>
      </c>
      <c r="AI334">
        <f>((EX334*1.25))</f>
        <v>0</v>
      </c>
      <c r="AJ334">
        <f t="shared" si="310"/>
        <v>0</v>
      </c>
      <c r="AK334">
        <v>3262.17</v>
      </c>
      <c r="AL334">
        <v>1859.87</v>
      </c>
      <c r="AM334">
        <v>22.6</v>
      </c>
      <c r="AN334">
        <v>2.09</v>
      </c>
      <c r="AO334">
        <v>1379.7</v>
      </c>
      <c r="AP334">
        <v>0</v>
      </c>
      <c r="AQ334">
        <v>135</v>
      </c>
      <c r="AR334">
        <v>0</v>
      </c>
      <c r="AS334">
        <v>0</v>
      </c>
      <c r="AT334">
        <v>68</v>
      </c>
      <c r="AU334">
        <v>41</v>
      </c>
      <c r="AV334">
        <v>1</v>
      </c>
      <c r="AW334">
        <v>1</v>
      </c>
      <c r="AZ334">
        <v>1</v>
      </c>
      <c r="BA334">
        <v>20.399999999999999</v>
      </c>
      <c r="BB334">
        <v>4.7699999999999996</v>
      </c>
      <c r="BC334">
        <v>2.88</v>
      </c>
      <c r="BD334" t="s">
        <v>3</v>
      </c>
      <c r="BE334" t="s">
        <v>3</v>
      </c>
      <c r="BF334" t="s">
        <v>3</v>
      </c>
      <c r="BG334" t="s">
        <v>3</v>
      </c>
      <c r="BH334">
        <v>0</v>
      </c>
      <c r="BI334">
        <v>1</v>
      </c>
      <c r="BJ334" t="s">
        <v>401</v>
      </c>
      <c r="BM334">
        <v>47</v>
      </c>
      <c r="BN334">
        <v>7156650</v>
      </c>
      <c r="BO334" t="s">
        <v>398</v>
      </c>
      <c r="BP334">
        <v>1</v>
      </c>
      <c r="BQ334">
        <v>30</v>
      </c>
      <c r="BR334">
        <v>0</v>
      </c>
      <c r="BS334">
        <v>20.399999999999999</v>
      </c>
      <c r="BT334">
        <v>1</v>
      </c>
      <c r="BU334">
        <v>1</v>
      </c>
      <c r="BV334">
        <v>1</v>
      </c>
      <c r="BW334">
        <v>1</v>
      </c>
      <c r="BX334">
        <v>1</v>
      </c>
      <c r="BY334" t="s">
        <v>3</v>
      </c>
      <c r="BZ334">
        <v>68</v>
      </c>
      <c r="CA334">
        <v>41</v>
      </c>
      <c r="CF334">
        <v>0</v>
      </c>
      <c r="CG334">
        <v>0</v>
      </c>
      <c r="CM334">
        <v>0</v>
      </c>
      <c r="CN334" t="s">
        <v>35</v>
      </c>
      <c r="CO334">
        <v>0</v>
      </c>
      <c r="CP334">
        <f t="shared" si="311"/>
        <v>30.29</v>
      </c>
      <c r="CQ334">
        <f t="shared" si="312"/>
        <v>5356.4255999999996</v>
      </c>
      <c r="CR334">
        <f t="shared" si="313"/>
        <v>134.7525</v>
      </c>
      <c r="CS334">
        <f t="shared" si="314"/>
        <v>53.294999999999995</v>
      </c>
      <c r="CT334">
        <f t="shared" si="315"/>
        <v>32367.761999999999</v>
      </c>
      <c r="CU334">
        <f t="shared" si="316"/>
        <v>0</v>
      </c>
      <c r="CV334">
        <f t="shared" si="317"/>
        <v>155.25</v>
      </c>
      <c r="CW334">
        <f t="shared" si="318"/>
        <v>0</v>
      </c>
      <c r="CX334">
        <f t="shared" si="319"/>
        <v>0</v>
      </c>
      <c r="CY334">
        <f t="shared" si="320"/>
        <v>17.6052</v>
      </c>
      <c r="CZ334">
        <f t="shared" si="321"/>
        <v>10.6149</v>
      </c>
      <c r="DC334" t="s">
        <v>3</v>
      </c>
      <c r="DD334" t="s">
        <v>3</v>
      </c>
      <c r="DE334" t="s">
        <v>36</v>
      </c>
      <c r="DF334" t="s">
        <v>36</v>
      </c>
      <c r="DG334" t="s">
        <v>37</v>
      </c>
      <c r="DH334" t="s">
        <v>3</v>
      </c>
      <c r="DI334" t="s">
        <v>37</v>
      </c>
      <c r="DJ334" t="s">
        <v>36</v>
      </c>
      <c r="DK334" t="s">
        <v>3</v>
      </c>
      <c r="DL334" t="s">
        <v>3</v>
      </c>
      <c r="DM334" t="s">
        <v>3</v>
      </c>
      <c r="DN334">
        <v>85</v>
      </c>
      <c r="DO334">
        <v>70</v>
      </c>
      <c r="DP334">
        <v>1.0469999999999999</v>
      </c>
      <c r="DQ334">
        <v>1.022</v>
      </c>
      <c r="DU334">
        <v>1013</v>
      </c>
      <c r="DV334" t="s">
        <v>400</v>
      </c>
      <c r="DW334" t="s">
        <v>400</v>
      </c>
      <c r="DX334">
        <v>1</v>
      </c>
      <c r="EE334">
        <v>44846554</v>
      </c>
      <c r="EF334">
        <v>30</v>
      </c>
      <c r="EG334" t="s">
        <v>38</v>
      </c>
      <c r="EH334">
        <v>0</v>
      </c>
      <c r="EI334" t="s">
        <v>3</v>
      </c>
      <c r="EJ334">
        <v>1</v>
      </c>
      <c r="EK334">
        <v>47</v>
      </c>
      <c r="EL334" t="s">
        <v>402</v>
      </c>
      <c r="EM334" t="s">
        <v>403</v>
      </c>
      <c r="EO334" t="s">
        <v>41</v>
      </c>
      <c r="EQ334">
        <v>131072</v>
      </c>
      <c r="ER334">
        <v>3262.17</v>
      </c>
      <c r="ES334">
        <v>1859.87</v>
      </c>
      <c r="ET334">
        <v>22.6</v>
      </c>
      <c r="EU334">
        <v>2.09</v>
      </c>
      <c r="EV334">
        <v>1379.7</v>
      </c>
      <c r="EW334">
        <v>135</v>
      </c>
      <c r="EX334">
        <v>0</v>
      </c>
      <c r="EY334">
        <v>0</v>
      </c>
      <c r="FQ334">
        <v>0</v>
      </c>
      <c r="FR334">
        <f t="shared" si="322"/>
        <v>0</v>
      </c>
      <c r="FS334">
        <v>0</v>
      </c>
      <c r="FX334">
        <v>85</v>
      </c>
      <c r="FY334">
        <v>70</v>
      </c>
      <c r="GA334" t="s">
        <v>3</v>
      </c>
      <c r="GD334">
        <v>0</v>
      </c>
      <c r="GF334">
        <v>1738629854</v>
      </c>
      <c r="GG334">
        <v>2</v>
      </c>
      <c r="GH334">
        <v>1</v>
      </c>
      <c r="GI334">
        <v>3</v>
      </c>
      <c r="GJ334">
        <v>0</v>
      </c>
      <c r="GK334">
        <f>ROUND(R334*(S12)/100,2)</f>
        <v>7.0000000000000007E-2</v>
      </c>
      <c r="GL334">
        <f t="shared" si="323"/>
        <v>0</v>
      </c>
      <c r="GM334">
        <f t="shared" si="324"/>
        <v>58.58</v>
      </c>
      <c r="GN334">
        <f t="shared" si="325"/>
        <v>58.58</v>
      </c>
      <c r="GO334">
        <f t="shared" si="326"/>
        <v>0</v>
      </c>
      <c r="GP334">
        <f t="shared" si="327"/>
        <v>0</v>
      </c>
      <c r="GR334">
        <v>0</v>
      </c>
      <c r="GS334">
        <v>3</v>
      </c>
      <c r="GT334">
        <v>0</v>
      </c>
      <c r="GU334" t="s">
        <v>3</v>
      </c>
      <c r="GV334">
        <f t="shared" si="328"/>
        <v>0</v>
      </c>
      <c r="GW334">
        <v>1</v>
      </c>
      <c r="GX334">
        <f t="shared" si="329"/>
        <v>0</v>
      </c>
      <c r="HA334">
        <v>0</v>
      </c>
      <c r="HB334">
        <v>0</v>
      </c>
      <c r="IK334">
        <v>0</v>
      </c>
    </row>
    <row r="335" spans="1:255" x14ac:dyDescent="0.2">
      <c r="A335" s="2">
        <v>18</v>
      </c>
      <c r="B335" s="2">
        <v>1</v>
      </c>
      <c r="C335" s="2">
        <v>296</v>
      </c>
      <c r="D335" s="2"/>
      <c r="E335" s="2" t="s">
        <v>404</v>
      </c>
      <c r="F335" s="2" t="s">
        <v>405</v>
      </c>
      <c r="G335" s="2" t="s">
        <v>406</v>
      </c>
      <c r="H335" s="2" t="s">
        <v>80</v>
      </c>
      <c r="I335" s="2">
        <f>I333*J335</f>
        <v>8.1600000000000006E-2</v>
      </c>
      <c r="J335" s="2">
        <v>102</v>
      </c>
      <c r="K335" s="2"/>
      <c r="L335" s="2"/>
      <c r="M335" s="2"/>
      <c r="N335" s="2"/>
      <c r="O335" s="2">
        <f t="shared" si="296"/>
        <v>43.31</v>
      </c>
      <c r="P335" s="2">
        <f t="shared" si="297"/>
        <v>43.31</v>
      </c>
      <c r="Q335" s="2">
        <f t="shared" si="298"/>
        <v>0</v>
      </c>
      <c r="R335" s="2">
        <f t="shared" si="299"/>
        <v>0</v>
      </c>
      <c r="S335" s="2">
        <f t="shared" si="300"/>
        <v>0</v>
      </c>
      <c r="T335" s="2">
        <f t="shared" si="301"/>
        <v>0</v>
      </c>
      <c r="U335" s="2">
        <f t="shared" si="302"/>
        <v>0</v>
      </c>
      <c r="V335" s="2">
        <f t="shared" si="303"/>
        <v>0</v>
      </c>
      <c r="W335" s="2">
        <f t="shared" si="304"/>
        <v>0</v>
      </c>
      <c r="X335" s="2">
        <f t="shared" si="305"/>
        <v>0</v>
      </c>
      <c r="Y335" s="2">
        <f t="shared" si="306"/>
        <v>0</v>
      </c>
      <c r="Z335" s="2"/>
      <c r="AA335" s="2">
        <v>45037306</v>
      </c>
      <c r="AB335" s="2">
        <f t="shared" si="307"/>
        <v>530.75</v>
      </c>
      <c r="AC335" s="2">
        <f t="shared" si="308"/>
        <v>530.75</v>
      </c>
      <c r="AD335" s="2">
        <f t="shared" ref="AD335:AF336" si="331">ROUND((ET335),6)</f>
        <v>0</v>
      </c>
      <c r="AE335" s="2">
        <f t="shared" si="331"/>
        <v>0</v>
      </c>
      <c r="AF335" s="2">
        <f t="shared" si="331"/>
        <v>0</v>
      </c>
      <c r="AG335" s="2">
        <f t="shared" si="309"/>
        <v>0</v>
      </c>
      <c r="AH335" s="2">
        <f>(EW335)</f>
        <v>0</v>
      </c>
      <c r="AI335" s="2">
        <f>(EX335)</f>
        <v>0</v>
      </c>
      <c r="AJ335" s="2">
        <f t="shared" si="310"/>
        <v>0</v>
      </c>
      <c r="AK335" s="2">
        <v>530.75</v>
      </c>
      <c r="AL335" s="2">
        <v>530.75</v>
      </c>
      <c r="AM335" s="2">
        <v>0</v>
      </c>
      <c r="AN335" s="2">
        <v>0</v>
      </c>
      <c r="AO335" s="2">
        <v>0</v>
      </c>
      <c r="AP335" s="2">
        <v>0</v>
      </c>
      <c r="AQ335" s="2">
        <v>0</v>
      </c>
      <c r="AR335" s="2">
        <v>0</v>
      </c>
      <c r="AS335" s="2">
        <v>0</v>
      </c>
      <c r="AT335" s="2">
        <v>0</v>
      </c>
      <c r="AU335" s="2">
        <v>0</v>
      </c>
      <c r="AV335" s="2">
        <v>1</v>
      </c>
      <c r="AW335" s="2">
        <v>1</v>
      </c>
      <c r="AX335" s="2"/>
      <c r="AY335" s="2"/>
      <c r="AZ335" s="2">
        <v>1</v>
      </c>
      <c r="BA335" s="2">
        <v>1</v>
      </c>
      <c r="BB335" s="2">
        <v>1</v>
      </c>
      <c r="BC335" s="2">
        <v>1</v>
      </c>
      <c r="BD335" s="2" t="s">
        <v>3</v>
      </c>
      <c r="BE335" s="2" t="s">
        <v>3</v>
      </c>
      <c r="BF335" s="2" t="s">
        <v>3</v>
      </c>
      <c r="BG335" s="2" t="s">
        <v>3</v>
      </c>
      <c r="BH335" s="2">
        <v>3</v>
      </c>
      <c r="BI335" s="2">
        <v>1</v>
      </c>
      <c r="BJ335" s="2" t="s">
        <v>407</v>
      </c>
      <c r="BK335" s="2"/>
      <c r="BL335" s="2"/>
      <c r="BM335" s="2">
        <v>47</v>
      </c>
      <c r="BN335" s="2">
        <v>7156650</v>
      </c>
      <c r="BO335" s="2" t="s">
        <v>3</v>
      </c>
      <c r="BP335" s="2">
        <v>0</v>
      </c>
      <c r="BQ335" s="2">
        <v>30</v>
      </c>
      <c r="BR335" s="2">
        <v>0</v>
      </c>
      <c r="BS335" s="2">
        <v>1</v>
      </c>
      <c r="BT335" s="2">
        <v>1</v>
      </c>
      <c r="BU335" s="2">
        <v>1</v>
      </c>
      <c r="BV335" s="2">
        <v>1</v>
      </c>
      <c r="BW335" s="2">
        <v>1</v>
      </c>
      <c r="BX335" s="2">
        <v>1</v>
      </c>
      <c r="BY335" s="2" t="s">
        <v>3</v>
      </c>
      <c r="BZ335" s="2">
        <v>0</v>
      </c>
      <c r="CA335" s="2">
        <v>0</v>
      </c>
      <c r="CB335" s="2"/>
      <c r="CC335" s="2"/>
      <c r="CD335" s="2"/>
      <c r="CE335" s="2"/>
      <c r="CF335" s="2">
        <v>0</v>
      </c>
      <c r="CG335" s="2">
        <v>0</v>
      </c>
      <c r="CH335" s="2"/>
      <c r="CI335" s="2"/>
      <c r="CJ335" s="2"/>
      <c r="CK335" s="2"/>
      <c r="CL335" s="2"/>
      <c r="CM335" s="2">
        <v>0</v>
      </c>
      <c r="CN335" s="2" t="s">
        <v>3</v>
      </c>
      <c r="CO335" s="2">
        <v>0</v>
      </c>
      <c r="CP335" s="2">
        <f t="shared" si="311"/>
        <v>43.31</v>
      </c>
      <c r="CQ335" s="2">
        <f t="shared" si="312"/>
        <v>530.75</v>
      </c>
      <c r="CR335" s="2">
        <f t="shared" si="313"/>
        <v>0</v>
      </c>
      <c r="CS335" s="2">
        <f t="shared" si="314"/>
        <v>0</v>
      </c>
      <c r="CT335" s="2">
        <f t="shared" si="315"/>
        <v>0</v>
      </c>
      <c r="CU335" s="2">
        <f t="shared" si="316"/>
        <v>0</v>
      </c>
      <c r="CV335" s="2">
        <f t="shared" si="317"/>
        <v>0</v>
      </c>
      <c r="CW335" s="2">
        <f t="shared" si="318"/>
        <v>0</v>
      </c>
      <c r="CX335" s="2">
        <f t="shared" si="319"/>
        <v>0</v>
      </c>
      <c r="CY335" s="2">
        <f t="shared" si="320"/>
        <v>0</v>
      </c>
      <c r="CZ335" s="2">
        <f t="shared" si="321"/>
        <v>0</v>
      </c>
      <c r="DA335" s="2"/>
      <c r="DB335" s="2"/>
      <c r="DC335" s="2" t="s">
        <v>3</v>
      </c>
      <c r="DD335" s="2" t="s">
        <v>3</v>
      </c>
      <c r="DE335" s="2" t="s">
        <v>3</v>
      </c>
      <c r="DF335" s="2" t="s">
        <v>3</v>
      </c>
      <c r="DG335" s="2" t="s">
        <v>3</v>
      </c>
      <c r="DH335" s="2" t="s">
        <v>3</v>
      </c>
      <c r="DI335" s="2" t="s">
        <v>3</v>
      </c>
      <c r="DJ335" s="2" t="s">
        <v>3</v>
      </c>
      <c r="DK335" s="2" t="s">
        <v>3</v>
      </c>
      <c r="DL335" s="2" t="s">
        <v>3</v>
      </c>
      <c r="DM335" s="2" t="s">
        <v>3</v>
      </c>
      <c r="DN335" s="2">
        <v>85</v>
      </c>
      <c r="DO335" s="2">
        <v>70</v>
      </c>
      <c r="DP335" s="2">
        <v>1.0469999999999999</v>
      </c>
      <c r="DQ335" s="2">
        <v>1.022</v>
      </c>
      <c r="DR335" s="2"/>
      <c r="DS335" s="2"/>
      <c r="DT335" s="2"/>
      <c r="DU335" s="2">
        <v>1007</v>
      </c>
      <c r="DV335" s="2" t="s">
        <v>80</v>
      </c>
      <c r="DW335" s="2" t="s">
        <v>80</v>
      </c>
      <c r="DX335" s="2">
        <v>1</v>
      </c>
      <c r="DY335" s="2"/>
      <c r="DZ335" s="2"/>
      <c r="EA335" s="2"/>
      <c r="EB335" s="2"/>
      <c r="EC335" s="2"/>
      <c r="ED335" s="2"/>
      <c r="EE335" s="2">
        <v>44846554</v>
      </c>
      <c r="EF335" s="2">
        <v>30</v>
      </c>
      <c r="EG335" s="2" t="s">
        <v>38</v>
      </c>
      <c r="EH335" s="2">
        <v>0</v>
      </c>
      <c r="EI335" s="2" t="s">
        <v>3</v>
      </c>
      <c r="EJ335" s="2">
        <v>1</v>
      </c>
      <c r="EK335" s="2">
        <v>47</v>
      </c>
      <c r="EL335" s="2" t="s">
        <v>402</v>
      </c>
      <c r="EM335" s="2" t="s">
        <v>403</v>
      </c>
      <c r="EN335" s="2"/>
      <c r="EO335" s="2" t="s">
        <v>3</v>
      </c>
      <c r="EP335" s="2"/>
      <c r="EQ335" s="2">
        <v>0</v>
      </c>
      <c r="ER335" s="2">
        <v>530.75</v>
      </c>
      <c r="ES335" s="2">
        <v>530.75</v>
      </c>
      <c r="ET335" s="2">
        <v>0</v>
      </c>
      <c r="EU335" s="2">
        <v>0</v>
      </c>
      <c r="EV335" s="2">
        <v>0</v>
      </c>
      <c r="EW335" s="2">
        <v>0</v>
      </c>
      <c r="EX335" s="2">
        <v>0</v>
      </c>
      <c r="EY335" s="2"/>
      <c r="EZ335" s="2"/>
      <c r="FA335" s="2"/>
      <c r="FB335" s="2"/>
      <c r="FC335" s="2"/>
      <c r="FD335" s="2"/>
      <c r="FE335" s="2"/>
      <c r="FF335" s="2"/>
      <c r="FG335" s="2"/>
      <c r="FH335" s="2"/>
      <c r="FI335" s="2"/>
      <c r="FJ335" s="2"/>
      <c r="FK335" s="2"/>
      <c r="FL335" s="2"/>
      <c r="FM335" s="2"/>
      <c r="FN335" s="2"/>
      <c r="FO335" s="2"/>
      <c r="FP335" s="2"/>
      <c r="FQ335" s="2">
        <v>0</v>
      </c>
      <c r="FR335" s="2">
        <f t="shared" si="322"/>
        <v>0</v>
      </c>
      <c r="FS335" s="2">
        <v>0</v>
      </c>
      <c r="FT335" s="2"/>
      <c r="FU335" s="2"/>
      <c r="FV335" s="2"/>
      <c r="FW335" s="2"/>
      <c r="FX335" s="2">
        <v>85</v>
      </c>
      <c r="FY335" s="2">
        <v>70</v>
      </c>
      <c r="FZ335" s="2"/>
      <c r="GA335" s="2" t="s">
        <v>3</v>
      </c>
      <c r="GB335" s="2"/>
      <c r="GC335" s="2"/>
      <c r="GD335" s="2">
        <v>0</v>
      </c>
      <c r="GE335" s="2"/>
      <c r="GF335" s="2">
        <v>-1467732391</v>
      </c>
      <c r="GG335" s="2">
        <v>2</v>
      </c>
      <c r="GH335" s="2">
        <v>1</v>
      </c>
      <c r="GI335" s="2">
        <v>3</v>
      </c>
      <c r="GJ335" s="2">
        <v>0</v>
      </c>
      <c r="GK335" s="2">
        <f>ROUND(R335*(R12)/100,2)</f>
        <v>0</v>
      </c>
      <c r="GL335" s="2">
        <f t="shared" si="323"/>
        <v>0</v>
      </c>
      <c r="GM335" s="2">
        <f t="shared" si="324"/>
        <v>43.31</v>
      </c>
      <c r="GN335" s="2">
        <f t="shared" si="325"/>
        <v>43.31</v>
      </c>
      <c r="GO335" s="2">
        <f t="shared" si="326"/>
        <v>0</v>
      </c>
      <c r="GP335" s="2">
        <f t="shared" si="327"/>
        <v>0</v>
      </c>
      <c r="GQ335" s="2"/>
      <c r="GR335" s="2">
        <v>0</v>
      </c>
      <c r="GS335" s="2">
        <v>3</v>
      </c>
      <c r="GT335" s="2">
        <v>0</v>
      </c>
      <c r="GU335" s="2" t="s">
        <v>3</v>
      </c>
      <c r="GV335" s="2">
        <f t="shared" si="328"/>
        <v>0</v>
      </c>
      <c r="GW335" s="2">
        <v>1</v>
      </c>
      <c r="GX335" s="2">
        <f t="shared" si="329"/>
        <v>0</v>
      </c>
      <c r="GY335" s="2"/>
      <c r="GZ335" s="2"/>
      <c r="HA335" s="2">
        <v>0</v>
      </c>
      <c r="HB335" s="2">
        <v>0</v>
      </c>
      <c r="HC335" s="2"/>
      <c r="HD335" s="2"/>
      <c r="HE335" s="2"/>
      <c r="HF335" s="2"/>
      <c r="HG335" s="2"/>
      <c r="HH335" s="2"/>
      <c r="HI335" s="2"/>
      <c r="HJ335" s="2"/>
      <c r="HK335" s="2"/>
      <c r="HL335" s="2"/>
      <c r="HM335" s="2"/>
      <c r="HN335" s="2"/>
      <c r="HO335" s="2"/>
      <c r="HP335" s="2"/>
      <c r="HQ335" s="2"/>
      <c r="HR335" s="2"/>
      <c r="HS335" s="2"/>
      <c r="HT335" s="2"/>
      <c r="HU335" s="2"/>
      <c r="HV335" s="2"/>
      <c r="HW335" s="2"/>
      <c r="HX335" s="2"/>
      <c r="HY335" s="2"/>
      <c r="HZ335" s="2"/>
      <c r="IA335" s="2"/>
      <c r="IB335" s="2"/>
      <c r="IC335" s="2"/>
      <c r="ID335" s="2"/>
      <c r="IE335" s="2"/>
      <c r="IF335" s="2"/>
      <c r="IG335" s="2"/>
      <c r="IH335" s="2"/>
      <c r="II335" s="2"/>
      <c r="IJ335" s="2"/>
      <c r="IK335" s="2">
        <v>0</v>
      </c>
      <c r="IL335" s="2"/>
      <c r="IM335" s="2"/>
      <c r="IN335" s="2"/>
      <c r="IO335" s="2"/>
      <c r="IP335" s="2"/>
      <c r="IQ335" s="2"/>
      <c r="IR335" s="2"/>
      <c r="IS335" s="2"/>
      <c r="IT335" s="2"/>
      <c r="IU335" s="2"/>
    </row>
    <row r="336" spans="1:255" x14ac:dyDescent="0.2">
      <c r="A336">
        <v>18</v>
      </c>
      <c r="B336">
        <v>1</v>
      </c>
      <c r="C336">
        <v>302</v>
      </c>
      <c r="E336" t="s">
        <v>404</v>
      </c>
      <c r="F336" t="s">
        <v>405</v>
      </c>
      <c r="G336" t="s">
        <v>406</v>
      </c>
      <c r="H336" t="s">
        <v>80</v>
      </c>
      <c r="I336">
        <f>I334*J336</f>
        <v>8.1600000000000006E-2</v>
      </c>
      <c r="J336">
        <v>102</v>
      </c>
      <c r="O336">
        <f t="shared" si="296"/>
        <v>241.67</v>
      </c>
      <c r="P336">
        <f t="shared" si="297"/>
        <v>241.67</v>
      </c>
      <c r="Q336">
        <f t="shared" si="298"/>
        <v>0</v>
      </c>
      <c r="R336">
        <f t="shared" si="299"/>
        <v>0</v>
      </c>
      <c r="S336">
        <f t="shared" si="300"/>
        <v>0</v>
      </c>
      <c r="T336">
        <f t="shared" si="301"/>
        <v>0</v>
      </c>
      <c r="U336">
        <f t="shared" si="302"/>
        <v>0</v>
      </c>
      <c r="V336">
        <f t="shared" si="303"/>
        <v>0</v>
      </c>
      <c r="W336">
        <f t="shared" si="304"/>
        <v>0</v>
      </c>
      <c r="X336">
        <f t="shared" si="305"/>
        <v>0</v>
      </c>
      <c r="Y336">
        <f t="shared" si="306"/>
        <v>0</v>
      </c>
      <c r="AA336">
        <v>45037307</v>
      </c>
      <c r="AB336">
        <f t="shared" si="307"/>
        <v>530.75</v>
      </c>
      <c r="AC336">
        <f t="shared" si="308"/>
        <v>530.75</v>
      </c>
      <c r="AD336">
        <f t="shared" si="331"/>
        <v>0</v>
      </c>
      <c r="AE336">
        <f t="shared" si="331"/>
        <v>0</v>
      </c>
      <c r="AF336">
        <f t="shared" si="331"/>
        <v>0</v>
      </c>
      <c r="AG336">
        <f t="shared" si="309"/>
        <v>0</v>
      </c>
      <c r="AH336">
        <f>(EW336)</f>
        <v>0</v>
      </c>
      <c r="AI336">
        <f>(EX336)</f>
        <v>0</v>
      </c>
      <c r="AJ336">
        <f t="shared" si="310"/>
        <v>0</v>
      </c>
      <c r="AK336">
        <v>530.75</v>
      </c>
      <c r="AL336">
        <v>530.75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1</v>
      </c>
      <c r="AW336">
        <v>1</v>
      </c>
      <c r="AZ336">
        <v>1</v>
      </c>
      <c r="BA336">
        <v>1</v>
      </c>
      <c r="BB336">
        <v>1</v>
      </c>
      <c r="BC336">
        <v>5.58</v>
      </c>
      <c r="BD336" t="s">
        <v>3</v>
      </c>
      <c r="BE336" t="s">
        <v>3</v>
      </c>
      <c r="BF336" t="s">
        <v>3</v>
      </c>
      <c r="BG336" t="s">
        <v>3</v>
      </c>
      <c r="BH336">
        <v>3</v>
      </c>
      <c r="BI336">
        <v>1</v>
      </c>
      <c r="BJ336" t="s">
        <v>407</v>
      </c>
      <c r="BM336">
        <v>47</v>
      </c>
      <c r="BN336">
        <v>7156650</v>
      </c>
      <c r="BO336" t="s">
        <v>405</v>
      </c>
      <c r="BP336">
        <v>1</v>
      </c>
      <c r="BQ336">
        <v>30</v>
      </c>
      <c r="BR336">
        <v>0</v>
      </c>
      <c r="BS336">
        <v>1</v>
      </c>
      <c r="BT336">
        <v>1</v>
      </c>
      <c r="BU336">
        <v>1</v>
      </c>
      <c r="BV336">
        <v>1</v>
      </c>
      <c r="BW336">
        <v>1</v>
      </c>
      <c r="BX336">
        <v>1</v>
      </c>
      <c r="BY336" t="s">
        <v>3</v>
      </c>
      <c r="BZ336">
        <v>0</v>
      </c>
      <c r="CA336">
        <v>0</v>
      </c>
      <c r="CF336">
        <v>0</v>
      </c>
      <c r="CG336">
        <v>0</v>
      </c>
      <c r="CM336">
        <v>0</v>
      </c>
      <c r="CN336" t="s">
        <v>3</v>
      </c>
      <c r="CO336">
        <v>0</v>
      </c>
      <c r="CP336">
        <f t="shared" si="311"/>
        <v>241.67</v>
      </c>
      <c r="CQ336">
        <f t="shared" si="312"/>
        <v>2961.585</v>
      </c>
      <c r="CR336">
        <f t="shared" si="313"/>
        <v>0</v>
      </c>
      <c r="CS336">
        <f t="shared" si="314"/>
        <v>0</v>
      </c>
      <c r="CT336">
        <f t="shared" si="315"/>
        <v>0</v>
      </c>
      <c r="CU336">
        <f t="shared" si="316"/>
        <v>0</v>
      </c>
      <c r="CV336">
        <f t="shared" si="317"/>
        <v>0</v>
      </c>
      <c r="CW336">
        <f t="shared" si="318"/>
        <v>0</v>
      </c>
      <c r="CX336">
        <f t="shared" si="319"/>
        <v>0</v>
      </c>
      <c r="CY336">
        <f t="shared" si="320"/>
        <v>0</v>
      </c>
      <c r="CZ336">
        <f t="shared" si="321"/>
        <v>0</v>
      </c>
      <c r="DC336" t="s">
        <v>3</v>
      </c>
      <c r="DD336" t="s">
        <v>3</v>
      </c>
      <c r="DE336" t="s">
        <v>3</v>
      </c>
      <c r="DF336" t="s">
        <v>3</v>
      </c>
      <c r="DG336" t="s">
        <v>3</v>
      </c>
      <c r="DH336" t="s">
        <v>3</v>
      </c>
      <c r="DI336" t="s">
        <v>3</v>
      </c>
      <c r="DJ336" t="s">
        <v>3</v>
      </c>
      <c r="DK336" t="s">
        <v>3</v>
      </c>
      <c r="DL336" t="s">
        <v>3</v>
      </c>
      <c r="DM336" t="s">
        <v>3</v>
      </c>
      <c r="DN336">
        <v>85</v>
      </c>
      <c r="DO336">
        <v>70</v>
      </c>
      <c r="DP336">
        <v>1.0469999999999999</v>
      </c>
      <c r="DQ336">
        <v>1.022</v>
      </c>
      <c r="DU336">
        <v>1007</v>
      </c>
      <c r="DV336" t="s">
        <v>80</v>
      </c>
      <c r="DW336" t="s">
        <v>80</v>
      </c>
      <c r="DX336">
        <v>1</v>
      </c>
      <c r="EE336">
        <v>44846554</v>
      </c>
      <c r="EF336">
        <v>30</v>
      </c>
      <c r="EG336" t="s">
        <v>38</v>
      </c>
      <c r="EH336">
        <v>0</v>
      </c>
      <c r="EI336" t="s">
        <v>3</v>
      </c>
      <c r="EJ336">
        <v>1</v>
      </c>
      <c r="EK336">
        <v>47</v>
      </c>
      <c r="EL336" t="s">
        <v>402</v>
      </c>
      <c r="EM336" t="s">
        <v>403</v>
      </c>
      <c r="EO336" t="s">
        <v>3</v>
      </c>
      <c r="EQ336">
        <v>0</v>
      </c>
      <c r="ER336">
        <v>530.75</v>
      </c>
      <c r="ES336">
        <v>530.75</v>
      </c>
      <c r="ET336">
        <v>0</v>
      </c>
      <c r="EU336">
        <v>0</v>
      </c>
      <c r="EV336">
        <v>0</v>
      </c>
      <c r="EW336">
        <v>0</v>
      </c>
      <c r="EX336">
        <v>0</v>
      </c>
      <c r="FQ336">
        <v>0</v>
      </c>
      <c r="FR336">
        <f t="shared" si="322"/>
        <v>0</v>
      </c>
      <c r="FS336">
        <v>0</v>
      </c>
      <c r="FX336">
        <v>85</v>
      </c>
      <c r="FY336">
        <v>70</v>
      </c>
      <c r="GA336" t="s">
        <v>3</v>
      </c>
      <c r="GD336">
        <v>0</v>
      </c>
      <c r="GF336">
        <v>-1467732391</v>
      </c>
      <c r="GG336">
        <v>2</v>
      </c>
      <c r="GH336">
        <v>1</v>
      </c>
      <c r="GI336">
        <v>3</v>
      </c>
      <c r="GJ336">
        <v>0</v>
      </c>
      <c r="GK336">
        <f>ROUND(R336*(S12)/100,2)</f>
        <v>0</v>
      </c>
      <c r="GL336">
        <f t="shared" si="323"/>
        <v>0</v>
      </c>
      <c r="GM336">
        <f t="shared" si="324"/>
        <v>241.67</v>
      </c>
      <c r="GN336">
        <f t="shared" si="325"/>
        <v>241.67</v>
      </c>
      <c r="GO336">
        <f t="shared" si="326"/>
        <v>0</v>
      </c>
      <c r="GP336">
        <f t="shared" si="327"/>
        <v>0</v>
      </c>
      <c r="GR336">
        <v>0</v>
      </c>
      <c r="GS336">
        <v>3</v>
      </c>
      <c r="GT336">
        <v>0</v>
      </c>
      <c r="GU336" t="s">
        <v>3</v>
      </c>
      <c r="GV336">
        <f t="shared" si="328"/>
        <v>0</v>
      </c>
      <c r="GW336">
        <v>1</v>
      </c>
      <c r="GX336">
        <f t="shared" si="329"/>
        <v>0</v>
      </c>
      <c r="HA336">
        <v>0</v>
      </c>
      <c r="HB336">
        <v>0</v>
      </c>
      <c r="IK336">
        <v>0</v>
      </c>
    </row>
    <row r="337" spans="1:255" x14ac:dyDescent="0.2">
      <c r="A337" s="2">
        <v>17</v>
      </c>
      <c r="B337" s="2">
        <v>1</v>
      </c>
      <c r="C337" s="2">
        <f>ROW(SmtRes!A319)</f>
        <v>319</v>
      </c>
      <c r="D337" s="2">
        <f>ROW(EtalonRes!A312)</f>
        <v>312</v>
      </c>
      <c r="E337" s="2" t="s">
        <v>408</v>
      </c>
      <c r="F337" s="2" t="s">
        <v>409</v>
      </c>
      <c r="G337" s="2" t="s">
        <v>410</v>
      </c>
      <c r="H337" s="2" t="s">
        <v>400</v>
      </c>
      <c r="I337" s="2">
        <f>ROUND(0.12/100,9)</f>
        <v>1.1999999999999999E-3</v>
      </c>
      <c r="J337" s="2">
        <v>0</v>
      </c>
      <c r="K337" s="2"/>
      <c r="L337" s="2"/>
      <c r="M337" s="2"/>
      <c r="N337" s="2"/>
      <c r="O337" s="2">
        <f t="shared" si="296"/>
        <v>6.39</v>
      </c>
      <c r="P337" s="2">
        <f t="shared" si="297"/>
        <v>2.16</v>
      </c>
      <c r="Q337" s="2">
        <f t="shared" si="298"/>
        <v>1.47</v>
      </c>
      <c r="R337" s="2">
        <f t="shared" si="299"/>
        <v>0.13</v>
      </c>
      <c r="S337" s="2">
        <f t="shared" si="300"/>
        <v>2.76</v>
      </c>
      <c r="T337" s="2">
        <f t="shared" si="301"/>
        <v>0</v>
      </c>
      <c r="U337" s="2">
        <f t="shared" si="302"/>
        <v>0.24701999999999996</v>
      </c>
      <c r="V337" s="2">
        <f t="shared" si="303"/>
        <v>0</v>
      </c>
      <c r="W337" s="2">
        <f t="shared" si="304"/>
        <v>0</v>
      </c>
      <c r="X337" s="2">
        <f t="shared" si="305"/>
        <v>0</v>
      </c>
      <c r="Y337" s="2">
        <f t="shared" si="306"/>
        <v>0</v>
      </c>
      <c r="Z337" s="2"/>
      <c r="AA337" s="2">
        <v>45037306</v>
      </c>
      <c r="AB337" s="2">
        <f t="shared" si="307"/>
        <v>5325.8204999999998</v>
      </c>
      <c r="AC337" s="2">
        <f t="shared" si="308"/>
        <v>1800.88</v>
      </c>
      <c r="AD337" s="2">
        <f>ROUND(((ET337*1.25)),6)</f>
        <v>1223.5374999999999</v>
      </c>
      <c r="AE337" s="2">
        <f>ROUND(((EU337*1.25)),6)</f>
        <v>107.825</v>
      </c>
      <c r="AF337" s="2">
        <f>ROUND(((EV337*1.15)),6)</f>
        <v>2301.4029999999998</v>
      </c>
      <c r="AG337" s="2">
        <f t="shared" si="309"/>
        <v>0</v>
      </c>
      <c r="AH337" s="2">
        <f>((EW337*1.15))</f>
        <v>205.85</v>
      </c>
      <c r="AI337" s="2">
        <f>((EX337*1.25))</f>
        <v>0</v>
      </c>
      <c r="AJ337" s="2">
        <f t="shared" si="310"/>
        <v>0</v>
      </c>
      <c r="AK337" s="2">
        <v>4780.93</v>
      </c>
      <c r="AL337" s="2">
        <v>1800.88</v>
      </c>
      <c r="AM337" s="2">
        <v>978.83</v>
      </c>
      <c r="AN337" s="2">
        <v>86.26</v>
      </c>
      <c r="AO337" s="2">
        <v>2001.22</v>
      </c>
      <c r="AP337" s="2">
        <v>0</v>
      </c>
      <c r="AQ337" s="2">
        <v>179</v>
      </c>
      <c r="AR337" s="2">
        <v>0</v>
      </c>
      <c r="AS337" s="2">
        <v>0</v>
      </c>
      <c r="AT337" s="2">
        <v>0</v>
      </c>
      <c r="AU337" s="2">
        <v>0</v>
      </c>
      <c r="AV337" s="2">
        <v>1</v>
      </c>
      <c r="AW337" s="2">
        <v>1</v>
      </c>
      <c r="AX337" s="2"/>
      <c r="AY337" s="2"/>
      <c r="AZ337" s="2">
        <v>1</v>
      </c>
      <c r="BA337" s="2">
        <v>1</v>
      </c>
      <c r="BB337" s="2">
        <v>1</v>
      </c>
      <c r="BC337" s="2">
        <v>1</v>
      </c>
      <c r="BD337" s="2" t="s">
        <v>3</v>
      </c>
      <c r="BE337" s="2" t="s">
        <v>3</v>
      </c>
      <c r="BF337" s="2" t="s">
        <v>3</v>
      </c>
      <c r="BG337" s="2" t="s">
        <v>3</v>
      </c>
      <c r="BH337" s="2">
        <v>0</v>
      </c>
      <c r="BI337" s="2">
        <v>1</v>
      </c>
      <c r="BJ337" s="2" t="s">
        <v>411</v>
      </c>
      <c r="BK337" s="2"/>
      <c r="BL337" s="2"/>
      <c r="BM337" s="2">
        <v>47</v>
      </c>
      <c r="BN337" s="2">
        <v>7156650</v>
      </c>
      <c r="BO337" s="2" t="s">
        <v>3</v>
      </c>
      <c r="BP337" s="2">
        <v>0</v>
      </c>
      <c r="BQ337" s="2">
        <v>30</v>
      </c>
      <c r="BR337" s="2">
        <v>0</v>
      </c>
      <c r="BS337" s="2">
        <v>1</v>
      </c>
      <c r="BT337" s="2">
        <v>1</v>
      </c>
      <c r="BU337" s="2">
        <v>1</v>
      </c>
      <c r="BV337" s="2">
        <v>1</v>
      </c>
      <c r="BW337" s="2">
        <v>1</v>
      </c>
      <c r="BX337" s="2">
        <v>1</v>
      </c>
      <c r="BY337" s="2" t="s">
        <v>3</v>
      </c>
      <c r="BZ337" s="2">
        <v>0</v>
      </c>
      <c r="CA337" s="2">
        <v>0</v>
      </c>
      <c r="CB337" s="2"/>
      <c r="CC337" s="2"/>
      <c r="CD337" s="2"/>
      <c r="CE337" s="2"/>
      <c r="CF337" s="2">
        <v>0</v>
      </c>
      <c r="CG337" s="2">
        <v>0</v>
      </c>
      <c r="CH337" s="2"/>
      <c r="CI337" s="2"/>
      <c r="CJ337" s="2"/>
      <c r="CK337" s="2"/>
      <c r="CL337" s="2"/>
      <c r="CM337" s="2">
        <v>0</v>
      </c>
      <c r="CN337" s="2" t="s">
        <v>35</v>
      </c>
      <c r="CO337" s="2">
        <v>0</v>
      </c>
      <c r="CP337" s="2">
        <f t="shared" si="311"/>
        <v>6.39</v>
      </c>
      <c r="CQ337" s="2">
        <f t="shared" si="312"/>
        <v>1800.88</v>
      </c>
      <c r="CR337" s="2">
        <f t="shared" si="313"/>
        <v>1223.5374999999999</v>
      </c>
      <c r="CS337" s="2">
        <f t="shared" si="314"/>
        <v>107.825</v>
      </c>
      <c r="CT337" s="2">
        <f t="shared" si="315"/>
        <v>2301.4029999999998</v>
      </c>
      <c r="CU337" s="2">
        <f t="shared" si="316"/>
        <v>0</v>
      </c>
      <c r="CV337" s="2">
        <f t="shared" si="317"/>
        <v>205.85</v>
      </c>
      <c r="CW337" s="2">
        <f t="shared" si="318"/>
        <v>0</v>
      </c>
      <c r="CX337" s="2">
        <f t="shared" si="319"/>
        <v>0</v>
      </c>
      <c r="CY337" s="2">
        <f t="shared" si="320"/>
        <v>0</v>
      </c>
      <c r="CZ337" s="2">
        <f t="shared" si="321"/>
        <v>0</v>
      </c>
      <c r="DA337" s="2"/>
      <c r="DB337" s="2"/>
      <c r="DC337" s="2" t="s">
        <v>3</v>
      </c>
      <c r="DD337" s="2" t="s">
        <v>3</v>
      </c>
      <c r="DE337" s="2" t="s">
        <v>36</v>
      </c>
      <c r="DF337" s="2" t="s">
        <v>36</v>
      </c>
      <c r="DG337" s="2" t="s">
        <v>37</v>
      </c>
      <c r="DH337" s="2" t="s">
        <v>3</v>
      </c>
      <c r="DI337" s="2" t="s">
        <v>37</v>
      </c>
      <c r="DJ337" s="2" t="s">
        <v>36</v>
      </c>
      <c r="DK337" s="2" t="s">
        <v>3</v>
      </c>
      <c r="DL337" s="2" t="s">
        <v>3</v>
      </c>
      <c r="DM337" s="2" t="s">
        <v>3</v>
      </c>
      <c r="DN337" s="2">
        <v>85</v>
      </c>
      <c r="DO337" s="2">
        <v>70</v>
      </c>
      <c r="DP337" s="2">
        <v>1.0469999999999999</v>
      </c>
      <c r="DQ337" s="2">
        <v>1.022</v>
      </c>
      <c r="DR337" s="2"/>
      <c r="DS337" s="2"/>
      <c r="DT337" s="2"/>
      <c r="DU337" s="2">
        <v>1013</v>
      </c>
      <c r="DV337" s="2" t="s">
        <v>400</v>
      </c>
      <c r="DW337" s="2" t="s">
        <v>400</v>
      </c>
      <c r="DX337" s="2">
        <v>1</v>
      </c>
      <c r="DY337" s="2"/>
      <c r="DZ337" s="2"/>
      <c r="EA337" s="2"/>
      <c r="EB337" s="2"/>
      <c r="EC337" s="2"/>
      <c r="ED337" s="2"/>
      <c r="EE337" s="2">
        <v>44846554</v>
      </c>
      <c r="EF337" s="2">
        <v>30</v>
      </c>
      <c r="EG337" s="2" t="s">
        <v>38</v>
      </c>
      <c r="EH337" s="2">
        <v>0</v>
      </c>
      <c r="EI337" s="2" t="s">
        <v>3</v>
      </c>
      <c r="EJ337" s="2">
        <v>1</v>
      </c>
      <c r="EK337" s="2">
        <v>47</v>
      </c>
      <c r="EL337" s="2" t="s">
        <v>402</v>
      </c>
      <c r="EM337" s="2" t="s">
        <v>403</v>
      </c>
      <c r="EN337" s="2"/>
      <c r="EO337" s="2" t="s">
        <v>41</v>
      </c>
      <c r="EP337" s="2"/>
      <c r="EQ337" s="2">
        <v>131072</v>
      </c>
      <c r="ER337" s="2">
        <v>4780.93</v>
      </c>
      <c r="ES337" s="2">
        <v>1800.88</v>
      </c>
      <c r="ET337" s="2">
        <v>978.83</v>
      </c>
      <c r="EU337" s="2">
        <v>86.26</v>
      </c>
      <c r="EV337" s="2">
        <v>2001.22</v>
      </c>
      <c r="EW337" s="2">
        <v>179</v>
      </c>
      <c r="EX337" s="2">
        <v>0</v>
      </c>
      <c r="EY337" s="2">
        <v>0</v>
      </c>
      <c r="EZ337" s="2"/>
      <c r="FA337" s="2"/>
      <c r="FB337" s="2"/>
      <c r="FC337" s="2"/>
      <c r="FD337" s="2"/>
      <c r="FE337" s="2"/>
      <c r="FF337" s="2"/>
      <c r="FG337" s="2"/>
      <c r="FH337" s="2"/>
      <c r="FI337" s="2"/>
      <c r="FJ337" s="2"/>
      <c r="FK337" s="2"/>
      <c r="FL337" s="2"/>
      <c r="FM337" s="2"/>
      <c r="FN337" s="2"/>
      <c r="FO337" s="2"/>
      <c r="FP337" s="2"/>
      <c r="FQ337" s="2">
        <v>0</v>
      </c>
      <c r="FR337" s="2">
        <f t="shared" si="322"/>
        <v>0</v>
      </c>
      <c r="FS337" s="2">
        <v>0</v>
      </c>
      <c r="FT337" s="2"/>
      <c r="FU337" s="2"/>
      <c r="FV337" s="2"/>
      <c r="FW337" s="2"/>
      <c r="FX337" s="2">
        <v>85</v>
      </c>
      <c r="FY337" s="2">
        <v>70</v>
      </c>
      <c r="FZ337" s="2"/>
      <c r="GA337" s="2" t="s">
        <v>3</v>
      </c>
      <c r="GB337" s="2"/>
      <c r="GC337" s="2"/>
      <c r="GD337" s="2">
        <v>0</v>
      </c>
      <c r="GE337" s="2"/>
      <c r="GF337" s="2">
        <v>2088314498</v>
      </c>
      <c r="GG337" s="2">
        <v>2</v>
      </c>
      <c r="GH337" s="2">
        <v>1</v>
      </c>
      <c r="GI337" s="2">
        <v>3</v>
      </c>
      <c r="GJ337" s="2">
        <v>0</v>
      </c>
      <c r="GK337" s="2">
        <f>ROUND(R337*(R12)/100,2)</f>
        <v>0.23</v>
      </c>
      <c r="GL337" s="2">
        <f t="shared" si="323"/>
        <v>0</v>
      </c>
      <c r="GM337" s="2">
        <f t="shared" si="324"/>
        <v>6.62</v>
      </c>
      <c r="GN337" s="2">
        <f t="shared" si="325"/>
        <v>6.62</v>
      </c>
      <c r="GO337" s="2">
        <f t="shared" si="326"/>
        <v>0</v>
      </c>
      <c r="GP337" s="2">
        <f t="shared" si="327"/>
        <v>0</v>
      </c>
      <c r="GQ337" s="2"/>
      <c r="GR337" s="2">
        <v>0</v>
      </c>
      <c r="GS337" s="2">
        <v>3</v>
      </c>
      <c r="GT337" s="2">
        <v>0</v>
      </c>
      <c r="GU337" s="2" t="s">
        <v>3</v>
      </c>
      <c r="GV337" s="2">
        <f t="shared" si="328"/>
        <v>0</v>
      </c>
      <c r="GW337" s="2">
        <v>1</v>
      </c>
      <c r="GX337" s="2">
        <f t="shared" si="329"/>
        <v>0</v>
      </c>
      <c r="GY337" s="2"/>
      <c r="GZ337" s="2"/>
      <c r="HA337" s="2">
        <v>0</v>
      </c>
      <c r="HB337" s="2">
        <v>0</v>
      </c>
      <c r="HC337" s="2"/>
      <c r="HD337" s="2"/>
      <c r="HE337" s="2"/>
      <c r="HF337" s="2"/>
      <c r="HG337" s="2"/>
      <c r="HH337" s="2"/>
      <c r="HI337" s="2"/>
      <c r="HJ337" s="2"/>
      <c r="HK337" s="2"/>
      <c r="HL337" s="2"/>
      <c r="HM337" s="2"/>
      <c r="HN337" s="2"/>
      <c r="HO337" s="2"/>
      <c r="HP337" s="2"/>
      <c r="HQ337" s="2"/>
      <c r="HR337" s="2"/>
      <c r="HS337" s="2"/>
      <c r="HT337" s="2"/>
      <c r="HU337" s="2"/>
      <c r="HV337" s="2"/>
      <c r="HW337" s="2"/>
      <c r="HX337" s="2"/>
      <c r="HY337" s="2"/>
      <c r="HZ337" s="2"/>
      <c r="IA337" s="2"/>
      <c r="IB337" s="2"/>
      <c r="IC337" s="2"/>
      <c r="ID337" s="2"/>
      <c r="IE337" s="2"/>
      <c r="IF337" s="2"/>
      <c r="IG337" s="2"/>
      <c r="IH337" s="2"/>
      <c r="II337" s="2"/>
      <c r="IJ337" s="2"/>
      <c r="IK337" s="2">
        <v>0</v>
      </c>
      <c r="IL337" s="2"/>
      <c r="IM337" s="2"/>
      <c r="IN337" s="2"/>
      <c r="IO337" s="2"/>
      <c r="IP337" s="2"/>
      <c r="IQ337" s="2"/>
      <c r="IR337" s="2"/>
      <c r="IS337" s="2"/>
      <c r="IT337" s="2"/>
      <c r="IU337" s="2"/>
    </row>
    <row r="338" spans="1:255" x14ac:dyDescent="0.2">
      <c r="A338">
        <v>17</v>
      </c>
      <c r="B338">
        <v>1</v>
      </c>
      <c r="C338">
        <f>ROW(SmtRes!A336)</f>
        <v>336</v>
      </c>
      <c r="D338">
        <f>ROW(EtalonRes!A328)</f>
        <v>328</v>
      </c>
      <c r="E338" t="s">
        <v>408</v>
      </c>
      <c r="F338" t="s">
        <v>409</v>
      </c>
      <c r="G338" t="s">
        <v>410</v>
      </c>
      <c r="H338" t="s">
        <v>400</v>
      </c>
      <c r="I338">
        <f>ROUND(0.12/100,9)</f>
        <v>1.1999999999999999E-3</v>
      </c>
      <c r="J338">
        <v>0</v>
      </c>
      <c r="O338">
        <f t="shared" si="296"/>
        <v>85.2</v>
      </c>
      <c r="P338">
        <f t="shared" si="297"/>
        <v>19.73</v>
      </c>
      <c r="Q338">
        <f t="shared" si="298"/>
        <v>9.1300000000000008</v>
      </c>
      <c r="R338">
        <f t="shared" si="299"/>
        <v>2.64</v>
      </c>
      <c r="S338">
        <f t="shared" si="300"/>
        <v>56.34</v>
      </c>
      <c r="T338">
        <f t="shared" si="301"/>
        <v>0</v>
      </c>
      <c r="U338">
        <f t="shared" si="302"/>
        <v>0.24701999999999996</v>
      </c>
      <c r="V338">
        <f t="shared" si="303"/>
        <v>0</v>
      </c>
      <c r="W338">
        <f t="shared" si="304"/>
        <v>0</v>
      </c>
      <c r="X338">
        <f t="shared" si="305"/>
        <v>38.31</v>
      </c>
      <c r="Y338">
        <f t="shared" si="306"/>
        <v>23.1</v>
      </c>
      <c r="AA338">
        <v>45037307</v>
      </c>
      <c r="AB338">
        <f t="shared" si="307"/>
        <v>5325.8204999999998</v>
      </c>
      <c r="AC338">
        <f t="shared" si="308"/>
        <v>1800.88</v>
      </c>
      <c r="AD338">
        <f>ROUND(((ET338*1.25)),6)</f>
        <v>1223.5374999999999</v>
      </c>
      <c r="AE338">
        <f>ROUND(((EU338*1.25)),6)</f>
        <v>107.825</v>
      </c>
      <c r="AF338">
        <f>ROUND(((EV338*1.15)),6)</f>
        <v>2301.4029999999998</v>
      </c>
      <c r="AG338">
        <f t="shared" si="309"/>
        <v>0</v>
      </c>
      <c r="AH338">
        <f>((EW338*1.15))</f>
        <v>205.85</v>
      </c>
      <c r="AI338">
        <f>((EX338*1.25))</f>
        <v>0</v>
      </c>
      <c r="AJ338">
        <f t="shared" si="310"/>
        <v>0</v>
      </c>
      <c r="AK338">
        <v>4780.93</v>
      </c>
      <c r="AL338">
        <v>1800.88</v>
      </c>
      <c r="AM338">
        <v>978.83</v>
      </c>
      <c r="AN338">
        <v>86.26</v>
      </c>
      <c r="AO338">
        <v>2001.22</v>
      </c>
      <c r="AP338">
        <v>0</v>
      </c>
      <c r="AQ338">
        <v>179</v>
      </c>
      <c r="AR338">
        <v>0</v>
      </c>
      <c r="AS338">
        <v>0</v>
      </c>
      <c r="AT338">
        <v>68</v>
      </c>
      <c r="AU338">
        <v>41</v>
      </c>
      <c r="AV338">
        <v>1</v>
      </c>
      <c r="AW338">
        <v>1</v>
      </c>
      <c r="AZ338">
        <v>1</v>
      </c>
      <c r="BA338">
        <v>20.399999999999999</v>
      </c>
      <c r="BB338">
        <v>6.22</v>
      </c>
      <c r="BC338">
        <v>9.1300000000000008</v>
      </c>
      <c r="BD338" t="s">
        <v>3</v>
      </c>
      <c r="BE338" t="s">
        <v>3</v>
      </c>
      <c r="BF338" t="s">
        <v>3</v>
      </c>
      <c r="BG338" t="s">
        <v>3</v>
      </c>
      <c r="BH338">
        <v>0</v>
      </c>
      <c r="BI338">
        <v>1</v>
      </c>
      <c r="BJ338" t="s">
        <v>411</v>
      </c>
      <c r="BM338">
        <v>47</v>
      </c>
      <c r="BN338">
        <v>7156650</v>
      </c>
      <c r="BO338" t="s">
        <v>409</v>
      </c>
      <c r="BP338">
        <v>1</v>
      </c>
      <c r="BQ338">
        <v>30</v>
      </c>
      <c r="BR338">
        <v>0</v>
      </c>
      <c r="BS338">
        <v>20.399999999999999</v>
      </c>
      <c r="BT338">
        <v>1</v>
      </c>
      <c r="BU338">
        <v>1</v>
      </c>
      <c r="BV338">
        <v>1</v>
      </c>
      <c r="BW338">
        <v>1</v>
      </c>
      <c r="BX338">
        <v>1</v>
      </c>
      <c r="BY338" t="s">
        <v>3</v>
      </c>
      <c r="BZ338">
        <v>68</v>
      </c>
      <c r="CA338">
        <v>41</v>
      </c>
      <c r="CF338">
        <v>0</v>
      </c>
      <c r="CG338">
        <v>0</v>
      </c>
      <c r="CM338">
        <v>0</v>
      </c>
      <c r="CN338" t="s">
        <v>35</v>
      </c>
      <c r="CO338">
        <v>0</v>
      </c>
      <c r="CP338">
        <f t="shared" si="311"/>
        <v>85.2</v>
      </c>
      <c r="CQ338">
        <f t="shared" si="312"/>
        <v>16442.034400000004</v>
      </c>
      <c r="CR338">
        <f t="shared" si="313"/>
        <v>7610.4032499999994</v>
      </c>
      <c r="CS338">
        <f t="shared" si="314"/>
        <v>2199.63</v>
      </c>
      <c r="CT338">
        <f t="shared" si="315"/>
        <v>46948.621199999994</v>
      </c>
      <c r="CU338">
        <f t="shared" si="316"/>
        <v>0</v>
      </c>
      <c r="CV338">
        <f t="shared" si="317"/>
        <v>205.85</v>
      </c>
      <c r="CW338">
        <f t="shared" si="318"/>
        <v>0</v>
      </c>
      <c r="CX338">
        <f t="shared" si="319"/>
        <v>0</v>
      </c>
      <c r="CY338">
        <f t="shared" si="320"/>
        <v>38.311200000000007</v>
      </c>
      <c r="CZ338">
        <f t="shared" si="321"/>
        <v>23.099399999999999</v>
      </c>
      <c r="DC338" t="s">
        <v>3</v>
      </c>
      <c r="DD338" t="s">
        <v>3</v>
      </c>
      <c r="DE338" t="s">
        <v>36</v>
      </c>
      <c r="DF338" t="s">
        <v>36</v>
      </c>
      <c r="DG338" t="s">
        <v>37</v>
      </c>
      <c r="DH338" t="s">
        <v>3</v>
      </c>
      <c r="DI338" t="s">
        <v>37</v>
      </c>
      <c r="DJ338" t="s">
        <v>36</v>
      </c>
      <c r="DK338" t="s">
        <v>3</v>
      </c>
      <c r="DL338" t="s">
        <v>3</v>
      </c>
      <c r="DM338" t="s">
        <v>3</v>
      </c>
      <c r="DN338">
        <v>85</v>
      </c>
      <c r="DO338">
        <v>70</v>
      </c>
      <c r="DP338">
        <v>1.0469999999999999</v>
      </c>
      <c r="DQ338">
        <v>1.022</v>
      </c>
      <c r="DU338">
        <v>1013</v>
      </c>
      <c r="DV338" t="s">
        <v>400</v>
      </c>
      <c r="DW338" t="s">
        <v>400</v>
      </c>
      <c r="DX338">
        <v>1</v>
      </c>
      <c r="EE338">
        <v>44846554</v>
      </c>
      <c r="EF338">
        <v>30</v>
      </c>
      <c r="EG338" t="s">
        <v>38</v>
      </c>
      <c r="EH338">
        <v>0</v>
      </c>
      <c r="EI338" t="s">
        <v>3</v>
      </c>
      <c r="EJ338">
        <v>1</v>
      </c>
      <c r="EK338">
        <v>47</v>
      </c>
      <c r="EL338" t="s">
        <v>402</v>
      </c>
      <c r="EM338" t="s">
        <v>403</v>
      </c>
      <c r="EO338" t="s">
        <v>41</v>
      </c>
      <c r="EQ338">
        <v>131072</v>
      </c>
      <c r="ER338">
        <v>4780.93</v>
      </c>
      <c r="ES338">
        <v>1800.88</v>
      </c>
      <c r="ET338">
        <v>978.83</v>
      </c>
      <c r="EU338">
        <v>86.26</v>
      </c>
      <c r="EV338">
        <v>2001.22</v>
      </c>
      <c r="EW338">
        <v>179</v>
      </c>
      <c r="EX338">
        <v>0</v>
      </c>
      <c r="EY338">
        <v>0</v>
      </c>
      <c r="FQ338">
        <v>0</v>
      </c>
      <c r="FR338">
        <f t="shared" si="322"/>
        <v>0</v>
      </c>
      <c r="FS338">
        <v>0</v>
      </c>
      <c r="FX338">
        <v>85</v>
      </c>
      <c r="FY338">
        <v>70</v>
      </c>
      <c r="GA338" t="s">
        <v>3</v>
      </c>
      <c r="GD338">
        <v>0</v>
      </c>
      <c r="GF338">
        <v>2088314498</v>
      </c>
      <c r="GG338">
        <v>2</v>
      </c>
      <c r="GH338">
        <v>1</v>
      </c>
      <c r="GI338">
        <v>3</v>
      </c>
      <c r="GJ338">
        <v>0</v>
      </c>
      <c r="GK338">
        <f>ROUND(R338*(S12)/100,2)</f>
        <v>4.4400000000000004</v>
      </c>
      <c r="GL338">
        <f t="shared" si="323"/>
        <v>0</v>
      </c>
      <c r="GM338">
        <f t="shared" si="324"/>
        <v>151.05000000000001</v>
      </c>
      <c r="GN338">
        <f t="shared" si="325"/>
        <v>151.05000000000001</v>
      </c>
      <c r="GO338">
        <f t="shared" si="326"/>
        <v>0</v>
      </c>
      <c r="GP338">
        <f t="shared" si="327"/>
        <v>0</v>
      </c>
      <c r="GR338">
        <v>0</v>
      </c>
      <c r="GS338">
        <v>3</v>
      </c>
      <c r="GT338">
        <v>0</v>
      </c>
      <c r="GU338" t="s">
        <v>3</v>
      </c>
      <c r="GV338">
        <f t="shared" si="328"/>
        <v>0</v>
      </c>
      <c r="GW338">
        <v>1</v>
      </c>
      <c r="GX338">
        <f t="shared" si="329"/>
        <v>0</v>
      </c>
      <c r="HA338">
        <v>0</v>
      </c>
      <c r="HB338">
        <v>0</v>
      </c>
      <c r="IK338">
        <v>0</v>
      </c>
    </row>
    <row r="339" spans="1:255" x14ac:dyDescent="0.2">
      <c r="A339" s="2">
        <v>18</v>
      </c>
      <c r="B339" s="2">
        <v>1</v>
      </c>
      <c r="C339" s="2">
        <v>317</v>
      </c>
      <c r="D339" s="2"/>
      <c r="E339" s="2" t="s">
        <v>412</v>
      </c>
      <c r="F339" s="2" t="s">
        <v>413</v>
      </c>
      <c r="G339" s="2" t="s">
        <v>414</v>
      </c>
      <c r="H339" s="2" t="s">
        <v>29</v>
      </c>
      <c r="I339" s="2">
        <f>I337*J339</f>
        <v>2E-3</v>
      </c>
      <c r="J339" s="2">
        <v>1.6666666666666667</v>
      </c>
      <c r="K339" s="2"/>
      <c r="L339" s="2"/>
      <c r="M339" s="2"/>
      <c r="N339" s="2"/>
      <c r="O339" s="2">
        <f t="shared" si="296"/>
        <v>11.5</v>
      </c>
      <c r="P339" s="2">
        <f t="shared" si="297"/>
        <v>11.5</v>
      </c>
      <c r="Q339" s="2">
        <f t="shared" si="298"/>
        <v>0</v>
      </c>
      <c r="R339" s="2">
        <f t="shared" si="299"/>
        <v>0</v>
      </c>
      <c r="S339" s="2">
        <f t="shared" si="300"/>
        <v>0</v>
      </c>
      <c r="T339" s="2">
        <f t="shared" si="301"/>
        <v>0</v>
      </c>
      <c r="U339" s="2">
        <f t="shared" si="302"/>
        <v>0</v>
      </c>
      <c r="V339" s="2">
        <f t="shared" si="303"/>
        <v>0</v>
      </c>
      <c r="W339" s="2">
        <f t="shared" si="304"/>
        <v>0</v>
      </c>
      <c r="X339" s="2">
        <f t="shared" si="305"/>
        <v>0</v>
      </c>
      <c r="Y339" s="2">
        <f t="shared" si="306"/>
        <v>0</v>
      </c>
      <c r="Z339" s="2"/>
      <c r="AA339" s="2">
        <v>45037306</v>
      </c>
      <c r="AB339" s="2">
        <f t="shared" si="307"/>
        <v>5752.41</v>
      </c>
      <c r="AC339" s="2">
        <f t="shared" si="308"/>
        <v>5752.41</v>
      </c>
      <c r="AD339" s="2">
        <f t="shared" ref="AD339:AF344" si="332">ROUND((ET339),6)</f>
        <v>0</v>
      </c>
      <c r="AE339" s="2">
        <f t="shared" si="332"/>
        <v>0</v>
      </c>
      <c r="AF339" s="2">
        <f t="shared" si="332"/>
        <v>0</v>
      </c>
      <c r="AG339" s="2">
        <f t="shared" si="309"/>
        <v>0</v>
      </c>
      <c r="AH339" s="2">
        <f t="shared" ref="AH339:AI344" si="333">(EW339)</f>
        <v>0</v>
      </c>
      <c r="AI339" s="2">
        <f t="shared" si="333"/>
        <v>0</v>
      </c>
      <c r="AJ339" s="2">
        <f t="shared" si="310"/>
        <v>0</v>
      </c>
      <c r="AK339" s="2">
        <v>5752.41</v>
      </c>
      <c r="AL339" s="2">
        <v>5752.41</v>
      </c>
      <c r="AM339" s="2">
        <v>0</v>
      </c>
      <c r="AN339" s="2">
        <v>0</v>
      </c>
      <c r="AO339" s="2">
        <v>0</v>
      </c>
      <c r="AP339" s="2">
        <v>0</v>
      </c>
      <c r="AQ339" s="2">
        <v>0</v>
      </c>
      <c r="AR339" s="2">
        <v>0</v>
      </c>
      <c r="AS339" s="2">
        <v>0</v>
      </c>
      <c r="AT339" s="2">
        <v>0</v>
      </c>
      <c r="AU339" s="2">
        <v>0</v>
      </c>
      <c r="AV339" s="2">
        <v>1</v>
      </c>
      <c r="AW339" s="2">
        <v>1</v>
      </c>
      <c r="AX339" s="2"/>
      <c r="AY339" s="2"/>
      <c r="AZ339" s="2">
        <v>1</v>
      </c>
      <c r="BA339" s="2">
        <v>1</v>
      </c>
      <c r="BB339" s="2">
        <v>1</v>
      </c>
      <c r="BC339" s="2">
        <v>1</v>
      </c>
      <c r="BD339" s="2" t="s">
        <v>3</v>
      </c>
      <c r="BE339" s="2" t="s">
        <v>3</v>
      </c>
      <c r="BF339" s="2" t="s">
        <v>3</v>
      </c>
      <c r="BG339" s="2" t="s">
        <v>3</v>
      </c>
      <c r="BH339" s="2">
        <v>3</v>
      </c>
      <c r="BI339" s="2">
        <v>1</v>
      </c>
      <c r="BJ339" s="2" t="s">
        <v>415</v>
      </c>
      <c r="BK339" s="2"/>
      <c r="BL339" s="2"/>
      <c r="BM339" s="2">
        <v>47</v>
      </c>
      <c r="BN339" s="2">
        <v>7156650</v>
      </c>
      <c r="BO339" s="2" t="s">
        <v>3</v>
      </c>
      <c r="BP339" s="2">
        <v>0</v>
      </c>
      <c r="BQ339" s="2">
        <v>30</v>
      </c>
      <c r="BR339" s="2">
        <v>0</v>
      </c>
      <c r="BS339" s="2">
        <v>1</v>
      </c>
      <c r="BT339" s="2">
        <v>1</v>
      </c>
      <c r="BU339" s="2">
        <v>1</v>
      </c>
      <c r="BV339" s="2">
        <v>1</v>
      </c>
      <c r="BW339" s="2">
        <v>1</v>
      </c>
      <c r="BX339" s="2">
        <v>1</v>
      </c>
      <c r="BY339" s="2" t="s">
        <v>3</v>
      </c>
      <c r="BZ339" s="2">
        <v>0</v>
      </c>
      <c r="CA339" s="2">
        <v>0</v>
      </c>
      <c r="CB339" s="2"/>
      <c r="CC339" s="2"/>
      <c r="CD339" s="2"/>
      <c r="CE339" s="2"/>
      <c r="CF339" s="2">
        <v>0</v>
      </c>
      <c r="CG339" s="2">
        <v>0</v>
      </c>
      <c r="CH339" s="2"/>
      <c r="CI339" s="2"/>
      <c r="CJ339" s="2"/>
      <c r="CK339" s="2"/>
      <c r="CL339" s="2"/>
      <c r="CM339" s="2">
        <v>0</v>
      </c>
      <c r="CN339" s="2" t="s">
        <v>3</v>
      </c>
      <c r="CO339" s="2">
        <v>0</v>
      </c>
      <c r="CP339" s="2">
        <f t="shared" si="311"/>
        <v>11.5</v>
      </c>
      <c r="CQ339" s="2">
        <f t="shared" si="312"/>
        <v>5752.41</v>
      </c>
      <c r="CR339" s="2">
        <f t="shared" si="313"/>
        <v>0</v>
      </c>
      <c r="CS339" s="2">
        <f t="shared" si="314"/>
        <v>0</v>
      </c>
      <c r="CT339" s="2">
        <f t="shared" si="315"/>
        <v>0</v>
      </c>
      <c r="CU339" s="2">
        <f t="shared" si="316"/>
        <v>0</v>
      </c>
      <c r="CV339" s="2">
        <f t="shared" si="317"/>
        <v>0</v>
      </c>
      <c r="CW339" s="2">
        <f t="shared" si="318"/>
        <v>0</v>
      </c>
      <c r="CX339" s="2">
        <f t="shared" si="319"/>
        <v>0</v>
      </c>
      <c r="CY339" s="2">
        <f t="shared" si="320"/>
        <v>0</v>
      </c>
      <c r="CZ339" s="2">
        <f t="shared" si="321"/>
        <v>0</v>
      </c>
      <c r="DA339" s="2"/>
      <c r="DB339" s="2"/>
      <c r="DC339" s="2" t="s">
        <v>3</v>
      </c>
      <c r="DD339" s="2" t="s">
        <v>3</v>
      </c>
      <c r="DE339" s="2" t="s">
        <v>3</v>
      </c>
      <c r="DF339" s="2" t="s">
        <v>3</v>
      </c>
      <c r="DG339" s="2" t="s">
        <v>3</v>
      </c>
      <c r="DH339" s="2" t="s">
        <v>3</v>
      </c>
      <c r="DI339" s="2" t="s">
        <v>3</v>
      </c>
      <c r="DJ339" s="2" t="s">
        <v>3</v>
      </c>
      <c r="DK339" s="2" t="s">
        <v>3</v>
      </c>
      <c r="DL339" s="2" t="s">
        <v>3</v>
      </c>
      <c r="DM339" s="2" t="s">
        <v>3</v>
      </c>
      <c r="DN339" s="2">
        <v>85</v>
      </c>
      <c r="DO339" s="2">
        <v>70</v>
      </c>
      <c r="DP339" s="2">
        <v>1.0469999999999999</v>
      </c>
      <c r="DQ339" s="2">
        <v>1.022</v>
      </c>
      <c r="DR339" s="2"/>
      <c r="DS339" s="2"/>
      <c r="DT339" s="2"/>
      <c r="DU339" s="2">
        <v>1009</v>
      </c>
      <c r="DV339" s="2" t="s">
        <v>29</v>
      </c>
      <c r="DW339" s="2" t="s">
        <v>29</v>
      </c>
      <c r="DX339" s="2">
        <v>1000</v>
      </c>
      <c r="DY339" s="2"/>
      <c r="DZ339" s="2"/>
      <c r="EA339" s="2"/>
      <c r="EB339" s="2"/>
      <c r="EC339" s="2"/>
      <c r="ED339" s="2"/>
      <c r="EE339" s="2">
        <v>44846554</v>
      </c>
      <c r="EF339" s="2">
        <v>30</v>
      </c>
      <c r="EG339" s="2" t="s">
        <v>38</v>
      </c>
      <c r="EH339" s="2">
        <v>0</v>
      </c>
      <c r="EI339" s="2" t="s">
        <v>3</v>
      </c>
      <c r="EJ339" s="2">
        <v>1</v>
      </c>
      <c r="EK339" s="2">
        <v>47</v>
      </c>
      <c r="EL339" s="2" t="s">
        <v>402</v>
      </c>
      <c r="EM339" s="2" t="s">
        <v>403</v>
      </c>
      <c r="EN339" s="2"/>
      <c r="EO339" s="2" t="s">
        <v>3</v>
      </c>
      <c r="EP339" s="2"/>
      <c r="EQ339" s="2">
        <v>0</v>
      </c>
      <c r="ER339" s="2">
        <v>5752.41</v>
      </c>
      <c r="ES339" s="2">
        <v>5752.41</v>
      </c>
      <c r="ET339" s="2">
        <v>0</v>
      </c>
      <c r="EU339" s="2">
        <v>0</v>
      </c>
      <c r="EV339" s="2">
        <v>0</v>
      </c>
      <c r="EW339" s="2">
        <v>0</v>
      </c>
      <c r="EX339" s="2">
        <v>0</v>
      </c>
      <c r="EY339" s="2"/>
      <c r="EZ339" s="2"/>
      <c r="FA339" s="2"/>
      <c r="FB339" s="2"/>
      <c r="FC339" s="2"/>
      <c r="FD339" s="2"/>
      <c r="FE339" s="2"/>
      <c r="FF339" s="2"/>
      <c r="FG339" s="2"/>
      <c r="FH339" s="2"/>
      <c r="FI339" s="2"/>
      <c r="FJ339" s="2"/>
      <c r="FK339" s="2"/>
      <c r="FL339" s="2"/>
      <c r="FM339" s="2"/>
      <c r="FN339" s="2"/>
      <c r="FO339" s="2"/>
      <c r="FP339" s="2"/>
      <c r="FQ339" s="2">
        <v>0</v>
      </c>
      <c r="FR339" s="2">
        <f t="shared" si="322"/>
        <v>0</v>
      </c>
      <c r="FS339" s="2">
        <v>0</v>
      </c>
      <c r="FT339" s="2"/>
      <c r="FU339" s="2"/>
      <c r="FV339" s="2"/>
      <c r="FW339" s="2"/>
      <c r="FX339" s="2">
        <v>85</v>
      </c>
      <c r="FY339" s="2">
        <v>70</v>
      </c>
      <c r="FZ339" s="2"/>
      <c r="GA339" s="2" t="s">
        <v>3</v>
      </c>
      <c r="GB339" s="2"/>
      <c r="GC339" s="2"/>
      <c r="GD339" s="2">
        <v>0</v>
      </c>
      <c r="GE339" s="2"/>
      <c r="GF339" s="2">
        <v>29731103</v>
      </c>
      <c r="GG339" s="2">
        <v>2</v>
      </c>
      <c r="GH339" s="2">
        <v>1</v>
      </c>
      <c r="GI339" s="2">
        <v>3</v>
      </c>
      <c r="GJ339" s="2">
        <v>0</v>
      </c>
      <c r="GK339" s="2">
        <f>ROUND(R339*(R12)/100,2)</f>
        <v>0</v>
      </c>
      <c r="GL339" s="2">
        <f t="shared" si="323"/>
        <v>0</v>
      </c>
      <c r="GM339" s="2">
        <f t="shared" si="324"/>
        <v>11.5</v>
      </c>
      <c r="GN339" s="2">
        <f t="shared" si="325"/>
        <v>11.5</v>
      </c>
      <c r="GO339" s="2">
        <f t="shared" si="326"/>
        <v>0</v>
      </c>
      <c r="GP339" s="2">
        <f t="shared" si="327"/>
        <v>0</v>
      </c>
      <c r="GQ339" s="2"/>
      <c r="GR339" s="2">
        <v>0</v>
      </c>
      <c r="GS339" s="2">
        <v>3</v>
      </c>
      <c r="GT339" s="2">
        <v>0</v>
      </c>
      <c r="GU339" s="2" t="s">
        <v>3</v>
      </c>
      <c r="GV339" s="2">
        <f t="shared" si="328"/>
        <v>0</v>
      </c>
      <c r="GW339" s="2">
        <v>1</v>
      </c>
      <c r="GX339" s="2">
        <f t="shared" si="329"/>
        <v>0</v>
      </c>
      <c r="GY339" s="2"/>
      <c r="GZ339" s="2"/>
      <c r="HA339" s="2">
        <v>0</v>
      </c>
      <c r="HB339" s="2">
        <v>0</v>
      </c>
      <c r="HC339" s="2"/>
      <c r="HD339" s="2"/>
      <c r="HE339" s="2"/>
      <c r="HF339" s="2"/>
      <c r="HG339" s="2"/>
      <c r="HH339" s="2"/>
      <c r="HI339" s="2"/>
      <c r="HJ339" s="2"/>
      <c r="HK339" s="2"/>
      <c r="HL339" s="2"/>
      <c r="HM339" s="2"/>
      <c r="HN339" s="2"/>
      <c r="HO339" s="2"/>
      <c r="HP339" s="2"/>
      <c r="HQ339" s="2"/>
      <c r="HR339" s="2"/>
      <c r="HS339" s="2"/>
      <c r="HT339" s="2"/>
      <c r="HU339" s="2"/>
      <c r="HV339" s="2"/>
      <c r="HW339" s="2"/>
      <c r="HX339" s="2"/>
      <c r="HY339" s="2"/>
      <c r="HZ339" s="2"/>
      <c r="IA339" s="2"/>
      <c r="IB339" s="2"/>
      <c r="IC339" s="2"/>
      <c r="ID339" s="2"/>
      <c r="IE339" s="2"/>
      <c r="IF339" s="2"/>
      <c r="IG339" s="2"/>
      <c r="IH339" s="2"/>
      <c r="II339" s="2"/>
      <c r="IJ339" s="2"/>
      <c r="IK339" s="2">
        <v>0</v>
      </c>
      <c r="IL339" s="2"/>
      <c r="IM339" s="2"/>
      <c r="IN339" s="2"/>
      <c r="IO339" s="2"/>
      <c r="IP339" s="2"/>
      <c r="IQ339" s="2"/>
      <c r="IR339" s="2"/>
      <c r="IS339" s="2"/>
      <c r="IT339" s="2"/>
      <c r="IU339" s="2"/>
    </row>
    <row r="340" spans="1:255" x14ac:dyDescent="0.2">
      <c r="A340">
        <v>18</v>
      </c>
      <c r="B340">
        <v>1</v>
      </c>
      <c r="C340">
        <v>334</v>
      </c>
      <c r="E340" t="s">
        <v>412</v>
      </c>
      <c r="F340" t="s">
        <v>413</v>
      </c>
      <c r="G340" t="s">
        <v>414</v>
      </c>
      <c r="H340" t="s">
        <v>29</v>
      </c>
      <c r="I340">
        <f>I338*J340</f>
        <v>2E-3</v>
      </c>
      <c r="J340">
        <v>1.6666666666666667</v>
      </c>
      <c r="O340">
        <f t="shared" si="296"/>
        <v>69.37</v>
      </c>
      <c r="P340">
        <f t="shared" si="297"/>
        <v>69.37</v>
      </c>
      <c r="Q340">
        <f t="shared" si="298"/>
        <v>0</v>
      </c>
      <c r="R340">
        <f t="shared" si="299"/>
        <v>0</v>
      </c>
      <c r="S340">
        <f t="shared" si="300"/>
        <v>0</v>
      </c>
      <c r="T340">
        <f t="shared" si="301"/>
        <v>0</v>
      </c>
      <c r="U340">
        <f t="shared" si="302"/>
        <v>0</v>
      </c>
      <c r="V340">
        <f t="shared" si="303"/>
        <v>0</v>
      </c>
      <c r="W340">
        <f t="shared" si="304"/>
        <v>0</v>
      </c>
      <c r="X340">
        <f t="shared" si="305"/>
        <v>0</v>
      </c>
      <c r="Y340">
        <f t="shared" si="306"/>
        <v>0</v>
      </c>
      <c r="AA340">
        <v>45037307</v>
      </c>
      <c r="AB340">
        <f t="shared" si="307"/>
        <v>5752.41</v>
      </c>
      <c r="AC340">
        <f t="shared" si="308"/>
        <v>5752.41</v>
      </c>
      <c r="AD340">
        <f t="shared" si="332"/>
        <v>0</v>
      </c>
      <c r="AE340">
        <f t="shared" si="332"/>
        <v>0</v>
      </c>
      <c r="AF340">
        <f t="shared" si="332"/>
        <v>0</v>
      </c>
      <c r="AG340">
        <f t="shared" si="309"/>
        <v>0</v>
      </c>
      <c r="AH340">
        <f t="shared" si="333"/>
        <v>0</v>
      </c>
      <c r="AI340">
        <f t="shared" si="333"/>
        <v>0</v>
      </c>
      <c r="AJ340">
        <f t="shared" si="310"/>
        <v>0</v>
      </c>
      <c r="AK340">
        <v>5752.41</v>
      </c>
      <c r="AL340">
        <v>5752.41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1</v>
      </c>
      <c r="AW340">
        <v>1</v>
      </c>
      <c r="AZ340">
        <v>1</v>
      </c>
      <c r="BA340">
        <v>1</v>
      </c>
      <c r="BB340">
        <v>1</v>
      </c>
      <c r="BC340">
        <v>6.03</v>
      </c>
      <c r="BD340" t="s">
        <v>3</v>
      </c>
      <c r="BE340" t="s">
        <v>3</v>
      </c>
      <c r="BF340" t="s">
        <v>3</v>
      </c>
      <c r="BG340" t="s">
        <v>3</v>
      </c>
      <c r="BH340">
        <v>3</v>
      </c>
      <c r="BI340">
        <v>1</v>
      </c>
      <c r="BJ340" t="s">
        <v>415</v>
      </c>
      <c r="BM340">
        <v>47</v>
      </c>
      <c r="BN340">
        <v>7156650</v>
      </c>
      <c r="BO340" t="s">
        <v>413</v>
      </c>
      <c r="BP340">
        <v>1</v>
      </c>
      <c r="BQ340">
        <v>30</v>
      </c>
      <c r="BR340">
        <v>0</v>
      </c>
      <c r="BS340">
        <v>1</v>
      </c>
      <c r="BT340">
        <v>1</v>
      </c>
      <c r="BU340">
        <v>1</v>
      </c>
      <c r="BV340">
        <v>1</v>
      </c>
      <c r="BW340">
        <v>1</v>
      </c>
      <c r="BX340">
        <v>1</v>
      </c>
      <c r="BY340" t="s">
        <v>3</v>
      </c>
      <c r="BZ340">
        <v>0</v>
      </c>
      <c r="CA340">
        <v>0</v>
      </c>
      <c r="CF340">
        <v>0</v>
      </c>
      <c r="CG340">
        <v>0</v>
      </c>
      <c r="CM340">
        <v>0</v>
      </c>
      <c r="CN340" t="s">
        <v>3</v>
      </c>
      <c r="CO340">
        <v>0</v>
      </c>
      <c r="CP340">
        <f t="shared" si="311"/>
        <v>69.37</v>
      </c>
      <c r="CQ340">
        <f t="shared" si="312"/>
        <v>34687.032299999999</v>
      </c>
      <c r="CR340">
        <f t="shared" si="313"/>
        <v>0</v>
      </c>
      <c r="CS340">
        <f t="shared" si="314"/>
        <v>0</v>
      </c>
      <c r="CT340">
        <f t="shared" si="315"/>
        <v>0</v>
      </c>
      <c r="CU340">
        <f t="shared" si="316"/>
        <v>0</v>
      </c>
      <c r="CV340">
        <f t="shared" si="317"/>
        <v>0</v>
      </c>
      <c r="CW340">
        <f t="shared" si="318"/>
        <v>0</v>
      </c>
      <c r="CX340">
        <f t="shared" si="319"/>
        <v>0</v>
      </c>
      <c r="CY340">
        <f t="shared" si="320"/>
        <v>0</v>
      </c>
      <c r="CZ340">
        <f t="shared" si="321"/>
        <v>0</v>
      </c>
      <c r="DC340" t="s">
        <v>3</v>
      </c>
      <c r="DD340" t="s">
        <v>3</v>
      </c>
      <c r="DE340" t="s">
        <v>3</v>
      </c>
      <c r="DF340" t="s">
        <v>3</v>
      </c>
      <c r="DG340" t="s">
        <v>3</v>
      </c>
      <c r="DH340" t="s">
        <v>3</v>
      </c>
      <c r="DI340" t="s">
        <v>3</v>
      </c>
      <c r="DJ340" t="s">
        <v>3</v>
      </c>
      <c r="DK340" t="s">
        <v>3</v>
      </c>
      <c r="DL340" t="s">
        <v>3</v>
      </c>
      <c r="DM340" t="s">
        <v>3</v>
      </c>
      <c r="DN340">
        <v>85</v>
      </c>
      <c r="DO340">
        <v>70</v>
      </c>
      <c r="DP340">
        <v>1.0469999999999999</v>
      </c>
      <c r="DQ340">
        <v>1.022</v>
      </c>
      <c r="DU340">
        <v>1009</v>
      </c>
      <c r="DV340" t="s">
        <v>29</v>
      </c>
      <c r="DW340" t="s">
        <v>29</v>
      </c>
      <c r="DX340">
        <v>1000</v>
      </c>
      <c r="EE340">
        <v>44846554</v>
      </c>
      <c r="EF340">
        <v>30</v>
      </c>
      <c r="EG340" t="s">
        <v>38</v>
      </c>
      <c r="EH340">
        <v>0</v>
      </c>
      <c r="EI340" t="s">
        <v>3</v>
      </c>
      <c r="EJ340">
        <v>1</v>
      </c>
      <c r="EK340">
        <v>47</v>
      </c>
      <c r="EL340" t="s">
        <v>402</v>
      </c>
      <c r="EM340" t="s">
        <v>403</v>
      </c>
      <c r="EO340" t="s">
        <v>3</v>
      </c>
      <c r="EQ340">
        <v>0</v>
      </c>
      <c r="ER340">
        <v>5752.41</v>
      </c>
      <c r="ES340">
        <v>5752.41</v>
      </c>
      <c r="ET340">
        <v>0</v>
      </c>
      <c r="EU340">
        <v>0</v>
      </c>
      <c r="EV340">
        <v>0</v>
      </c>
      <c r="EW340">
        <v>0</v>
      </c>
      <c r="EX340">
        <v>0</v>
      </c>
      <c r="FQ340">
        <v>0</v>
      </c>
      <c r="FR340">
        <f t="shared" si="322"/>
        <v>0</v>
      </c>
      <c r="FS340">
        <v>0</v>
      </c>
      <c r="FX340">
        <v>85</v>
      </c>
      <c r="FY340">
        <v>70</v>
      </c>
      <c r="GA340" t="s">
        <v>3</v>
      </c>
      <c r="GD340">
        <v>0</v>
      </c>
      <c r="GF340">
        <v>29731103</v>
      </c>
      <c r="GG340">
        <v>2</v>
      </c>
      <c r="GH340">
        <v>1</v>
      </c>
      <c r="GI340">
        <v>3</v>
      </c>
      <c r="GJ340">
        <v>0</v>
      </c>
      <c r="GK340">
        <f>ROUND(R340*(S12)/100,2)</f>
        <v>0</v>
      </c>
      <c r="GL340">
        <f t="shared" si="323"/>
        <v>0</v>
      </c>
      <c r="GM340">
        <f t="shared" si="324"/>
        <v>69.37</v>
      </c>
      <c r="GN340">
        <f t="shared" si="325"/>
        <v>69.37</v>
      </c>
      <c r="GO340">
        <f t="shared" si="326"/>
        <v>0</v>
      </c>
      <c r="GP340">
        <f t="shared" si="327"/>
        <v>0</v>
      </c>
      <c r="GR340">
        <v>0</v>
      </c>
      <c r="GS340">
        <v>3</v>
      </c>
      <c r="GT340">
        <v>0</v>
      </c>
      <c r="GU340" t="s">
        <v>3</v>
      </c>
      <c r="GV340">
        <f t="shared" si="328"/>
        <v>0</v>
      </c>
      <c r="GW340">
        <v>1</v>
      </c>
      <c r="GX340">
        <f t="shared" si="329"/>
        <v>0</v>
      </c>
      <c r="HA340">
        <v>0</v>
      </c>
      <c r="HB340">
        <v>0</v>
      </c>
      <c r="IK340">
        <v>0</v>
      </c>
    </row>
    <row r="341" spans="1:255" x14ac:dyDescent="0.2">
      <c r="A341" s="2">
        <v>18</v>
      </c>
      <c r="B341" s="2">
        <v>1</v>
      </c>
      <c r="C341" s="2">
        <v>318</v>
      </c>
      <c r="D341" s="2"/>
      <c r="E341" s="2" t="s">
        <v>416</v>
      </c>
      <c r="F341" s="2" t="s">
        <v>417</v>
      </c>
      <c r="G341" s="2" t="s">
        <v>418</v>
      </c>
      <c r="H341" s="2" t="s">
        <v>29</v>
      </c>
      <c r="I341" s="2">
        <f>I337*J341</f>
        <v>4.0000000000000001E-3</v>
      </c>
      <c r="J341" s="2">
        <v>3.3333333333333335</v>
      </c>
      <c r="K341" s="2"/>
      <c r="L341" s="2"/>
      <c r="M341" s="2"/>
      <c r="N341" s="2"/>
      <c r="O341" s="2">
        <f t="shared" si="296"/>
        <v>23.01</v>
      </c>
      <c r="P341" s="2">
        <f t="shared" si="297"/>
        <v>23.01</v>
      </c>
      <c r="Q341" s="2">
        <f t="shared" si="298"/>
        <v>0</v>
      </c>
      <c r="R341" s="2">
        <f t="shared" si="299"/>
        <v>0</v>
      </c>
      <c r="S341" s="2">
        <f t="shared" si="300"/>
        <v>0</v>
      </c>
      <c r="T341" s="2">
        <f t="shared" si="301"/>
        <v>0</v>
      </c>
      <c r="U341" s="2">
        <f t="shared" si="302"/>
        <v>0</v>
      </c>
      <c r="V341" s="2">
        <f t="shared" si="303"/>
        <v>0</v>
      </c>
      <c r="W341" s="2">
        <f t="shared" si="304"/>
        <v>0</v>
      </c>
      <c r="X341" s="2">
        <f t="shared" si="305"/>
        <v>0</v>
      </c>
      <c r="Y341" s="2">
        <f t="shared" si="306"/>
        <v>0</v>
      </c>
      <c r="Z341" s="2"/>
      <c r="AA341" s="2">
        <v>45037306</v>
      </c>
      <c r="AB341" s="2">
        <f t="shared" si="307"/>
        <v>5752.41</v>
      </c>
      <c r="AC341" s="2">
        <f t="shared" si="308"/>
        <v>5752.41</v>
      </c>
      <c r="AD341" s="2">
        <f t="shared" si="332"/>
        <v>0</v>
      </c>
      <c r="AE341" s="2">
        <f t="shared" si="332"/>
        <v>0</v>
      </c>
      <c r="AF341" s="2">
        <f t="shared" si="332"/>
        <v>0</v>
      </c>
      <c r="AG341" s="2">
        <f t="shared" si="309"/>
        <v>0</v>
      </c>
      <c r="AH341" s="2">
        <f t="shared" si="333"/>
        <v>0</v>
      </c>
      <c r="AI341" s="2">
        <f t="shared" si="333"/>
        <v>0</v>
      </c>
      <c r="AJ341" s="2">
        <f t="shared" si="310"/>
        <v>0</v>
      </c>
      <c r="AK341" s="2">
        <v>5752.41</v>
      </c>
      <c r="AL341" s="2">
        <v>5752.41</v>
      </c>
      <c r="AM341" s="2">
        <v>0</v>
      </c>
      <c r="AN341" s="2">
        <v>0</v>
      </c>
      <c r="AO341" s="2">
        <v>0</v>
      </c>
      <c r="AP341" s="2">
        <v>0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1</v>
      </c>
      <c r="AW341" s="2">
        <v>1</v>
      </c>
      <c r="AX341" s="2"/>
      <c r="AY341" s="2"/>
      <c r="AZ341" s="2">
        <v>1</v>
      </c>
      <c r="BA341" s="2">
        <v>1</v>
      </c>
      <c r="BB341" s="2">
        <v>1</v>
      </c>
      <c r="BC341" s="2">
        <v>1</v>
      </c>
      <c r="BD341" s="2" t="s">
        <v>3</v>
      </c>
      <c r="BE341" s="2" t="s">
        <v>3</v>
      </c>
      <c r="BF341" s="2" t="s">
        <v>3</v>
      </c>
      <c r="BG341" s="2" t="s">
        <v>3</v>
      </c>
      <c r="BH341" s="2">
        <v>3</v>
      </c>
      <c r="BI341" s="2">
        <v>1</v>
      </c>
      <c r="BJ341" s="2" t="s">
        <v>419</v>
      </c>
      <c r="BK341" s="2"/>
      <c r="BL341" s="2"/>
      <c r="BM341" s="2">
        <v>47</v>
      </c>
      <c r="BN341" s="2">
        <v>7156650</v>
      </c>
      <c r="BO341" s="2" t="s">
        <v>3</v>
      </c>
      <c r="BP341" s="2">
        <v>0</v>
      </c>
      <c r="BQ341" s="2">
        <v>30</v>
      </c>
      <c r="BR341" s="2">
        <v>0</v>
      </c>
      <c r="BS341" s="2">
        <v>1</v>
      </c>
      <c r="BT341" s="2">
        <v>1</v>
      </c>
      <c r="BU341" s="2">
        <v>1</v>
      </c>
      <c r="BV341" s="2">
        <v>1</v>
      </c>
      <c r="BW341" s="2">
        <v>1</v>
      </c>
      <c r="BX341" s="2">
        <v>1</v>
      </c>
      <c r="BY341" s="2" t="s">
        <v>3</v>
      </c>
      <c r="BZ341" s="2">
        <v>0</v>
      </c>
      <c r="CA341" s="2">
        <v>0</v>
      </c>
      <c r="CB341" s="2"/>
      <c r="CC341" s="2"/>
      <c r="CD341" s="2"/>
      <c r="CE341" s="2"/>
      <c r="CF341" s="2">
        <v>0</v>
      </c>
      <c r="CG341" s="2">
        <v>0</v>
      </c>
      <c r="CH341" s="2"/>
      <c r="CI341" s="2"/>
      <c r="CJ341" s="2"/>
      <c r="CK341" s="2"/>
      <c r="CL341" s="2"/>
      <c r="CM341" s="2">
        <v>0</v>
      </c>
      <c r="CN341" s="2" t="s">
        <v>3</v>
      </c>
      <c r="CO341" s="2">
        <v>0</v>
      </c>
      <c r="CP341" s="2">
        <f t="shared" si="311"/>
        <v>23.01</v>
      </c>
      <c r="CQ341" s="2">
        <f t="shared" si="312"/>
        <v>5752.41</v>
      </c>
      <c r="CR341" s="2">
        <f t="shared" si="313"/>
        <v>0</v>
      </c>
      <c r="CS341" s="2">
        <f t="shared" si="314"/>
        <v>0</v>
      </c>
      <c r="CT341" s="2">
        <f t="shared" si="315"/>
        <v>0</v>
      </c>
      <c r="CU341" s="2">
        <f t="shared" si="316"/>
        <v>0</v>
      </c>
      <c r="CV341" s="2">
        <f t="shared" si="317"/>
        <v>0</v>
      </c>
      <c r="CW341" s="2">
        <f t="shared" si="318"/>
        <v>0</v>
      </c>
      <c r="CX341" s="2">
        <f t="shared" si="319"/>
        <v>0</v>
      </c>
      <c r="CY341" s="2">
        <f t="shared" si="320"/>
        <v>0</v>
      </c>
      <c r="CZ341" s="2">
        <f t="shared" si="321"/>
        <v>0</v>
      </c>
      <c r="DA341" s="2"/>
      <c r="DB341" s="2"/>
      <c r="DC341" s="2" t="s">
        <v>3</v>
      </c>
      <c r="DD341" s="2" t="s">
        <v>3</v>
      </c>
      <c r="DE341" s="2" t="s">
        <v>3</v>
      </c>
      <c r="DF341" s="2" t="s">
        <v>3</v>
      </c>
      <c r="DG341" s="2" t="s">
        <v>3</v>
      </c>
      <c r="DH341" s="2" t="s">
        <v>3</v>
      </c>
      <c r="DI341" s="2" t="s">
        <v>3</v>
      </c>
      <c r="DJ341" s="2" t="s">
        <v>3</v>
      </c>
      <c r="DK341" s="2" t="s">
        <v>3</v>
      </c>
      <c r="DL341" s="2" t="s">
        <v>3</v>
      </c>
      <c r="DM341" s="2" t="s">
        <v>3</v>
      </c>
      <c r="DN341" s="2">
        <v>85</v>
      </c>
      <c r="DO341" s="2">
        <v>70</v>
      </c>
      <c r="DP341" s="2">
        <v>1.0469999999999999</v>
      </c>
      <c r="DQ341" s="2">
        <v>1.022</v>
      </c>
      <c r="DR341" s="2"/>
      <c r="DS341" s="2"/>
      <c r="DT341" s="2"/>
      <c r="DU341" s="2">
        <v>1009</v>
      </c>
      <c r="DV341" s="2" t="s">
        <v>29</v>
      </c>
      <c r="DW341" s="2" t="s">
        <v>29</v>
      </c>
      <c r="DX341" s="2">
        <v>1000</v>
      </c>
      <c r="DY341" s="2"/>
      <c r="DZ341" s="2"/>
      <c r="EA341" s="2"/>
      <c r="EB341" s="2"/>
      <c r="EC341" s="2"/>
      <c r="ED341" s="2"/>
      <c r="EE341" s="2">
        <v>44846554</v>
      </c>
      <c r="EF341" s="2">
        <v>30</v>
      </c>
      <c r="EG341" s="2" t="s">
        <v>38</v>
      </c>
      <c r="EH341" s="2">
        <v>0</v>
      </c>
      <c r="EI341" s="2" t="s">
        <v>3</v>
      </c>
      <c r="EJ341" s="2">
        <v>1</v>
      </c>
      <c r="EK341" s="2">
        <v>47</v>
      </c>
      <c r="EL341" s="2" t="s">
        <v>402</v>
      </c>
      <c r="EM341" s="2" t="s">
        <v>403</v>
      </c>
      <c r="EN341" s="2"/>
      <c r="EO341" s="2" t="s">
        <v>3</v>
      </c>
      <c r="EP341" s="2"/>
      <c r="EQ341" s="2">
        <v>0</v>
      </c>
      <c r="ER341" s="2">
        <v>5752.41</v>
      </c>
      <c r="ES341" s="2">
        <v>5752.41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/>
      <c r="EZ341" s="2"/>
      <c r="FA341" s="2"/>
      <c r="FB341" s="2"/>
      <c r="FC341" s="2"/>
      <c r="FD341" s="2"/>
      <c r="FE341" s="2"/>
      <c r="FF341" s="2"/>
      <c r="FG341" s="2"/>
      <c r="FH341" s="2"/>
      <c r="FI341" s="2"/>
      <c r="FJ341" s="2"/>
      <c r="FK341" s="2"/>
      <c r="FL341" s="2"/>
      <c r="FM341" s="2"/>
      <c r="FN341" s="2"/>
      <c r="FO341" s="2"/>
      <c r="FP341" s="2"/>
      <c r="FQ341" s="2">
        <v>0</v>
      </c>
      <c r="FR341" s="2">
        <f t="shared" si="322"/>
        <v>0</v>
      </c>
      <c r="FS341" s="2">
        <v>0</v>
      </c>
      <c r="FT341" s="2"/>
      <c r="FU341" s="2"/>
      <c r="FV341" s="2"/>
      <c r="FW341" s="2"/>
      <c r="FX341" s="2">
        <v>85</v>
      </c>
      <c r="FY341" s="2">
        <v>70</v>
      </c>
      <c r="FZ341" s="2"/>
      <c r="GA341" s="2" t="s">
        <v>3</v>
      </c>
      <c r="GB341" s="2"/>
      <c r="GC341" s="2"/>
      <c r="GD341" s="2">
        <v>0</v>
      </c>
      <c r="GE341" s="2"/>
      <c r="GF341" s="2">
        <v>1786208556</v>
      </c>
      <c r="GG341" s="2">
        <v>2</v>
      </c>
      <c r="GH341" s="2">
        <v>1</v>
      </c>
      <c r="GI341" s="2">
        <v>3</v>
      </c>
      <c r="GJ341" s="2">
        <v>0</v>
      </c>
      <c r="GK341" s="2">
        <f>ROUND(R341*(R12)/100,2)</f>
        <v>0</v>
      </c>
      <c r="GL341" s="2">
        <f t="shared" si="323"/>
        <v>0</v>
      </c>
      <c r="GM341" s="2">
        <f t="shared" si="324"/>
        <v>23.01</v>
      </c>
      <c r="GN341" s="2">
        <f t="shared" si="325"/>
        <v>23.01</v>
      </c>
      <c r="GO341" s="2">
        <f t="shared" si="326"/>
        <v>0</v>
      </c>
      <c r="GP341" s="2">
        <f t="shared" si="327"/>
        <v>0</v>
      </c>
      <c r="GQ341" s="2"/>
      <c r="GR341" s="2">
        <v>0</v>
      </c>
      <c r="GS341" s="2">
        <v>3</v>
      </c>
      <c r="GT341" s="2">
        <v>0</v>
      </c>
      <c r="GU341" s="2" t="s">
        <v>3</v>
      </c>
      <c r="GV341" s="2">
        <f t="shared" si="328"/>
        <v>0</v>
      </c>
      <c r="GW341" s="2">
        <v>1</v>
      </c>
      <c r="GX341" s="2">
        <f t="shared" si="329"/>
        <v>0</v>
      </c>
      <c r="GY341" s="2"/>
      <c r="GZ341" s="2"/>
      <c r="HA341" s="2">
        <v>0</v>
      </c>
      <c r="HB341" s="2">
        <v>0</v>
      </c>
      <c r="HC341" s="2"/>
      <c r="HD341" s="2"/>
      <c r="HE341" s="2"/>
      <c r="HF341" s="2"/>
      <c r="HG341" s="2"/>
      <c r="HH341" s="2"/>
      <c r="HI341" s="2"/>
      <c r="HJ341" s="2"/>
      <c r="HK341" s="2"/>
      <c r="HL341" s="2"/>
      <c r="HM341" s="2"/>
      <c r="HN341" s="2"/>
      <c r="HO341" s="2"/>
      <c r="HP341" s="2"/>
      <c r="HQ341" s="2"/>
      <c r="HR341" s="2"/>
      <c r="HS341" s="2"/>
      <c r="HT341" s="2"/>
      <c r="HU341" s="2"/>
      <c r="HV341" s="2"/>
      <c r="HW341" s="2"/>
      <c r="HX341" s="2"/>
      <c r="HY341" s="2"/>
      <c r="HZ341" s="2"/>
      <c r="IA341" s="2"/>
      <c r="IB341" s="2"/>
      <c r="IC341" s="2"/>
      <c r="ID341" s="2"/>
      <c r="IE341" s="2"/>
      <c r="IF341" s="2"/>
      <c r="IG341" s="2"/>
      <c r="IH341" s="2"/>
      <c r="II341" s="2"/>
      <c r="IJ341" s="2"/>
      <c r="IK341" s="2">
        <v>0</v>
      </c>
      <c r="IL341" s="2"/>
      <c r="IM341" s="2"/>
      <c r="IN341" s="2"/>
      <c r="IO341" s="2"/>
      <c r="IP341" s="2"/>
      <c r="IQ341" s="2"/>
      <c r="IR341" s="2"/>
      <c r="IS341" s="2"/>
      <c r="IT341" s="2"/>
      <c r="IU341" s="2"/>
    </row>
    <row r="342" spans="1:255" x14ac:dyDescent="0.2">
      <c r="A342">
        <v>18</v>
      </c>
      <c r="B342">
        <v>1</v>
      </c>
      <c r="C342">
        <v>335</v>
      </c>
      <c r="E342" t="s">
        <v>416</v>
      </c>
      <c r="F342" t="s">
        <v>417</v>
      </c>
      <c r="G342" t="s">
        <v>418</v>
      </c>
      <c r="H342" t="s">
        <v>29</v>
      </c>
      <c r="I342">
        <f>I338*J342</f>
        <v>4.0000000000000001E-3</v>
      </c>
      <c r="J342">
        <v>3.3333333333333335</v>
      </c>
      <c r="O342">
        <f t="shared" si="296"/>
        <v>138.75</v>
      </c>
      <c r="P342">
        <f t="shared" si="297"/>
        <v>138.75</v>
      </c>
      <c r="Q342">
        <f t="shared" si="298"/>
        <v>0</v>
      </c>
      <c r="R342">
        <f t="shared" si="299"/>
        <v>0</v>
      </c>
      <c r="S342">
        <f t="shared" si="300"/>
        <v>0</v>
      </c>
      <c r="T342">
        <f t="shared" si="301"/>
        <v>0</v>
      </c>
      <c r="U342">
        <f t="shared" si="302"/>
        <v>0</v>
      </c>
      <c r="V342">
        <f t="shared" si="303"/>
        <v>0</v>
      </c>
      <c r="W342">
        <f t="shared" si="304"/>
        <v>0</v>
      </c>
      <c r="X342">
        <f t="shared" si="305"/>
        <v>0</v>
      </c>
      <c r="Y342">
        <f t="shared" si="306"/>
        <v>0</v>
      </c>
      <c r="AA342">
        <v>45037307</v>
      </c>
      <c r="AB342">
        <f t="shared" si="307"/>
        <v>5752.41</v>
      </c>
      <c r="AC342">
        <f t="shared" si="308"/>
        <v>5752.41</v>
      </c>
      <c r="AD342">
        <f t="shared" si="332"/>
        <v>0</v>
      </c>
      <c r="AE342">
        <f t="shared" si="332"/>
        <v>0</v>
      </c>
      <c r="AF342">
        <f t="shared" si="332"/>
        <v>0</v>
      </c>
      <c r="AG342">
        <f t="shared" si="309"/>
        <v>0</v>
      </c>
      <c r="AH342">
        <f t="shared" si="333"/>
        <v>0</v>
      </c>
      <c r="AI342">
        <f t="shared" si="333"/>
        <v>0</v>
      </c>
      <c r="AJ342">
        <f t="shared" si="310"/>
        <v>0</v>
      </c>
      <c r="AK342">
        <v>5752.41</v>
      </c>
      <c r="AL342">
        <v>5752.41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1</v>
      </c>
      <c r="AW342">
        <v>1</v>
      </c>
      <c r="AZ342">
        <v>1</v>
      </c>
      <c r="BA342">
        <v>1</v>
      </c>
      <c r="BB342">
        <v>1</v>
      </c>
      <c r="BC342">
        <v>6.03</v>
      </c>
      <c r="BD342" t="s">
        <v>3</v>
      </c>
      <c r="BE342" t="s">
        <v>3</v>
      </c>
      <c r="BF342" t="s">
        <v>3</v>
      </c>
      <c r="BG342" t="s">
        <v>3</v>
      </c>
      <c r="BH342">
        <v>3</v>
      </c>
      <c r="BI342">
        <v>1</v>
      </c>
      <c r="BJ342" t="s">
        <v>419</v>
      </c>
      <c r="BM342">
        <v>47</v>
      </c>
      <c r="BN342">
        <v>7156650</v>
      </c>
      <c r="BO342" t="s">
        <v>417</v>
      </c>
      <c r="BP342">
        <v>1</v>
      </c>
      <c r="BQ342">
        <v>30</v>
      </c>
      <c r="BR342">
        <v>0</v>
      </c>
      <c r="BS342">
        <v>1</v>
      </c>
      <c r="BT342">
        <v>1</v>
      </c>
      <c r="BU342">
        <v>1</v>
      </c>
      <c r="BV342">
        <v>1</v>
      </c>
      <c r="BW342">
        <v>1</v>
      </c>
      <c r="BX342">
        <v>1</v>
      </c>
      <c r="BY342" t="s">
        <v>3</v>
      </c>
      <c r="BZ342">
        <v>0</v>
      </c>
      <c r="CA342">
        <v>0</v>
      </c>
      <c r="CF342">
        <v>0</v>
      </c>
      <c r="CG342">
        <v>0</v>
      </c>
      <c r="CM342">
        <v>0</v>
      </c>
      <c r="CN342" t="s">
        <v>3</v>
      </c>
      <c r="CO342">
        <v>0</v>
      </c>
      <c r="CP342">
        <f t="shared" si="311"/>
        <v>138.75</v>
      </c>
      <c r="CQ342">
        <f t="shared" si="312"/>
        <v>34687.032299999999</v>
      </c>
      <c r="CR342">
        <f t="shared" si="313"/>
        <v>0</v>
      </c>
      <c r="CS342">
        <f t="shared" si="314"/>
        <v>0</v>
      </c>
      <c r="CT342">
        <f t="shared" si="315"/>
        <v>0</v>
      </c>
      <c r="CU342">
        <f t="shared" si="316"/>
        <v>0</v>
      </c>
      <c r="CV342">
        <f t="shared" si="317"/>
        <v>0</v>
      </c>
      <c r="CW342">
        <f t="shared" si="318"/>
        <v>0</v>
      </c>
      <c r="CX342">
        <f t="shared" si="319"/>
        <v>0</v>
      </c>
      <c r="CY342">
        <f t="shared" si="320"/>
        <v>0</v>
      </c>
      <c r="CZ342">
        <f t="shared" si="321"/>
        <v>0</v>
      </c>
      <c r="DC342" t="s">
        <v>3</v>
      </c>
      <c r="DD342" t="s">
        <v>3</v>
      </c>
      <c r="DE342" t="s">
        <v>3</v>
      </c>
      <c r="DF342" t="s">
        <v>3</v>
      </c>
      <c r="DG342" t="s">
        <v>3</v>
      </c>
      <c r="DH342" t="s">
        <v>3</v>
      </c>
      <c r="DI342" t="s">
        <v>3</v>
      </c>
      <c r="DJ342" t="s">
        <v>3</v>
      </c>
      <c r="DK342" t="s">
        <v>3</v>
      </c>
      <c r="DL342" t="s">
        <v>3</v>
      </c>
      <c r="DM342" t="s">
        <v>3</v>
      </c>
      <c r="DN342">
        <v>85</v>
      </c>
      <c r="DO342">
        <v>70</v>
      </c>
      <c r="DP342">
        <v>1.0469999999999999</v>
      </c>
      <c r="DQ342">
        <v>1.022</v>
      </c>
      <c r="DU342">
        <v>1009</v>
      </c>
      <c r="DV342" t="s">
        <v>29</v>
      </c>
      <c r="DW342" t="s">
        <v>29</v>
      </c>
      <c r="DX342">
        <v>1000</v>
      </c>
      <c r="EE342">
        <v>44846554</v>
      </c>
      <c r="EF342">
        <v>30</v>
      </c>
      <c r="EG342" t="s">
        <v>38</v>
      </c>
      <c r="EH342">
        <v>0</v>
      </c>
      <c r="EI342" t="s">
        <v>3</v>
      </c>
      <c r="EJ342">
        <v>1</v>
      </c>
      <c r="EK342">
        <v>47</v>
      </c>
      <c r="EL342" t="s">
        <v>402</v>
      </c>
      <c r="EM342" t="s">
        <v>403</v>
      </c>
      <c r="EO342" t="s">
        <v>3</v>
      </c>
      <c r="EQ342">
        <v>0</v>
      </c>
      <c r="ER342">
        <v>5752.41</v>
      </c>
      <c r="ES342">
        <v>5752.41</v>
      </c>
      <c r="ET342">
        <v>0</v>
      </c>
      <c r="EU342">
        <v>0</v>
      </c>
      <c r="EV342">
        <v>0</v>
      </c>
      <c r="EW342">
        <v>0</v>
      </c>
      <c r="EX342">
        <v>0</v>
      </c>
      <c r="FQ342">
        <v>0</v>
      </c>
      <c r="FR342">
        <f t="shared" si="322"/>
        <v>0</v>
      </c>
      <c r="FS342">
        <v>0</v>
      </c>
      <c r="FX342">
        <v>85</v>
      </c>
      <c r="FY342">
        <v>70</v>
      </c>
      <c r="GA342" t="s">
        <v>3</v>
      </c>
      <c r="GD342">
        <v>0</v>
      </c>
      <c r="GF342">
        <v>1786208556</v>
      </c>
      <c r="GG342">
        <v>2</v>
      </c>
      <c r="GH342">
        <v>1</v>
      </c>
      <c r="GI342">
        <v>3</v>
      </c>
      <c r="GJ342">
        <v>0</v>
      </c>
      <c r="GK342">
        <f>ROUND(R342*(S12)/100,2)</f>
        <v>0</v>
      </c>
      <c r="GL342">
        <f t="shared" si="323"/>
        <v>0</v>
      </c>
      <c r="GM342">
        <f t="shared" si="324"/>
        <v>138.75</v>
      </c>
      <c r="GN342">
        <f t="shared" si="325"/>
        <v>138.75</v>
      </c>
      <c r="GO342">
        <f t="shared" si="326"/>
        <v>0</v>
      </c>
      <c r="GP342">
        <f t="shared" si="327"/>
        <v>0</v>
      </c>
      <c r="GR342">
        <v>0</v>
      </c>
      <c r="GS342">
        <v>3</v>
      </c>
      <c r="GT342">
        <v>0</v>
      </c>
      <c r="GU342" t="s">
        <v>3</v>
      </c>
      <c r="GV342">
        <f t="shared" si="328"/>
        <v>0</v>
      </c>
      <c r="GW342">
        <v>1</v>
      </c>
      <c r="GX342">
        <f t="shared" si="329"/>
        <v>0</v>
      </c>
      <c r="HA342">
        <v>0</v>
      </c>
      <c r="HB342">
        <v>0</v>
      </c>
      <c r="IK342">
        <v>0</v>
      </c>
    </row>
    <row r="343" spans="1:255" x14ac:dyDescent="0.2">
      <c r="A343" s="2">
        <v>18</v>
      </c>
      <c r="B343" s="2">
        <v>1</v>
      </c>
      <c r="C343" s="2">
        <v>316</v>
      </c>
      <c r="D343" s="2"/>
      <c r="E343" s="2" t="s">
        <v>420</v>
      </c>
      <c r="F343" s="2" t="s">
        <v>421</v>
      </c>
      <c r="G343" s="2" t="s">
        <v>422</v>
      </c>
      <c r="H343" s="2" t="s">
        <v>80</v>
      </c>
      <c r="I343" s="2">
        <f>I337*J343</f>
        <v>0.12180000000000001</v>
      </c>
      <c r="J343" s="2">
        <v>101.50000000000001</v>
      </c>
      <c r="K343" s="2"/>
      <c r="L343" s="2"/>
      <c r="M343" s="2"/>
      <c r="N343" s="2"/>
      <c r="O343" s="2">
        <f t="shared" si="296"/>
        <v>86.61</v>
      </c>
      <c r="P343" s="2">
        <f t="shared" si="297"/>
        <v>86.61</v>
      </c>
      <c r="Q343" s="2">
        <f t="shared" si="298"/>
        <v>0</v>
      </c>
      <c r="R343" s="2">
        <f t="shared" si="299"/>
        <v>0</v>
      </c>
      <c r="S343" s="2">
        <f t="shared" si="300"/>
        <v>0</v>
      </c>
      <c r="T343" s="2">
        <f t="shared" si="301"/>
        <v>0</v>
      </c>
      <c r="U343" s="2">
        <f t="shared" si="302"/>
        <v>0</v>
      </c>
      <c r="V343" s="2">
        <f t="shared" si="303"/>
        <v>0</v>
      </c>
      <c r="W343" s="2">
        <f t="shared" si="304"/>
        <v>0</v>
      </c>
      <c r="X343" s="2">
        <f t="shared" si="305"/>
        <v>0</v>
      </c>
      <c r="Y343" s="2">
        <f t="shared" si="306"/>
        <v>0</v>
      </c>
      <c r="Z343" s="2"/>
      <c r="AA343" s="2">
        <v>45037306</v>
      </c>
      <c r="AB343" s="2">
        <f t="shared" si="307"/>
        <v>711.12</v>
      </c>
      <c r="AC343" s="2">
        <f t="shared" si="308"/>
        <v>711.12</v>
      </c>
      <c r="AD343" s="2">
        <f t="shared" si="332"/>
        <v>0</v>
      </c>
      <c r="AE343" s="2">
        <f t="shared" si="332"/>
        <v>0</v>
      </c>
      <c r="AF343" s="2">
        <f t="shared" si="332"/>
        <v>0</v>
      </c>
      <c r="AG343" s="2">
        <f t="shared" si="309"/>
        <v>0</v>
      </c>
      <c r="AH343" s="2">
        <f t="shared" si="333"/>
        <v>0</v>
      </c>
      <c r="AI343" s="2">
        <f t="shared" si="333"/>
        <v>0</v>
      </c>
      <c r="AJ343" s="2">
        <f t="shared" si="310"/>
        <v>0</v>
      </c>
      <c r="AK343" s="2">
        <v>711.12</v>
      </c>
      <c r="AL343" s="2">
        <v>711.12</v>
      </c>
      <c r="AM343" s="2">
        <v>0</v>
      </c>
      <c r="AN343" s="2">
        <v>0</v>
      </c>
      <c r="AO343" s="2">
        <v>0</v>
      </c>
      <c r="AP343" s="2">
        <v>0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1</v>
      </c>
      <c r="AW343" s="2">
        <v>1</v>
      </c>
      <c r="AX343" s="2"/>
      <c r="AY343" s="2"/>
      <c r="AZ343" s="2">
        <v>1</v>
      </c>
      <c r="BA343" s="2">
        <v>1</v>
      </c>
      <c r="BB343" s="2">
        <v>1</v>
      </c>
      <c r="BC343" s="2">
        <v>1</v>
      </c>
      <c r="BD343" s="2" t="s">
        <v>3</v>
      </c>
      <c r="BE343" s="2" t="s">
        <v>3</v>
      </c>
      <c r="BF343" s="2" t="s">
        <v>3</v>
      </c>
      <c r="BG343" s="2" t="s">
        <v>3</v>
      </c>
      <c r="BH343" s="2">
        <v>3</v>
      </c>
      <c r="BI343" s="2">
        <v>1</v>
      </c>
      <c r="BJ343" s="2" t="s">
        <v>423</v>
      </c>
      <c r="BK343" s="2"/>
      <c r="BL343" s="2"/>
      <c r="BM343" s="2">
        <v>47</v>
      </c>
      <c r="BN343" s="2">
        <v>7156650</v>
      </c>
      <c r="BO343" s="2" t="s">
        <v>3</v>
      </c>
      <c r="BP343" s="2">
        <v>0</v>
      </c>
      <c r="BQ343" s="2">
        <v>30</v>
      </c>
      <c r="BR343" s="2">
        <v>0</v>
      </c>
      <c r="BS343" s="2">
        <v>1</v>
      </c>
      <c r="BT343" s="2">
        <v>1</v>
      </c>
      <c r="BU343" s="2">
        <v>1</v>
      </c>
      <c r="BV343" s="2">
        <v>1</v>
      </c>
      <c r="BW343" s="2">
        <v>1</v>
      </c>
      <c r="BX343" s="2">
        <v>1</v>
      </c>
      <c r="BY343" s="2" t="s">
        <v>3</v>
      </c>
      <c r="BZ343" s="2">
        <v>0</v>
      </c>
      <c r="CA343" s="2">
        <v>0</v>
      </c>
      <c r="CB343" s="2"/>
      <c r="CC343" s="2"/>
      <c r="CD343" s="2"/>
      <c r="CE343" s="2"/>
      <c r="CF343" s="2">
        <v>0</v>
      </c>
      <c r="CG343" s="2">
        <v>0</v>
      </c>
      <c r="CH343" s="2"/>
      <c r="CI343" s="2"/>
      <c r="CJ343" s="2"/>
      <c r="CK343" s="2"/>
      <c r="CL343" s="2"/>
      <c r="CM343" s="2">
        <v>0</v>
      </c>
      <c r="CN343" s="2" t="s">
        <v>3</v>
      </c>
      <c r="CO343" s="2">
        <v>0</v>
      </c>
      <c r="CP343" s="2">
        <f t="shared" si="311"/>
        <v>86.61</v>
      </c>
      <c r="CQ343" s="2">
        <f t="shared" si="312"/>
        <v>711.12</v>
      </c>
      <c r="CR343" s="2">
        <f t="shared" si="313"/>
        <v>0</v>
      </c>
      <c r="CS343" s="2">
        <f t="shared" si="314"/>
        <v>0</v>
      </c>
      <c r="CT343" s="2">
        <f t="shared" si="315"/>
        <v>0</v>
      </c>
      <c r="CU343" s="2">
        <f t="shared" si="316"/>
        <v>0</v>
      </c>
      <c r="CV343" s="2">
        <f t="shared" si="317"/>
        <v>0</v>
      </c>
      <c r="CW343" s="2">
        <f t="shared" si="318"/>
        <v>0</v>
      </c>
      <c r="CX343" s="2">
        <f t="shared" si="319"/>
        <v>0</v>
      </c>
      <c r="CY343" s="2">
        <f t="shared" si="320"/>
        <v>0</v>
      </c>
      <c r="CZ343" s="2">
        <f t="shared" si="321"/>
        <v>0</v>
      </c>
      <c r="DA343" s="2"/>
      <c r="DB343" s="2"/>
      <c r="DC343" s="2" t="s">
        <v>3</v>
      </c>
      <c r="DD343" s="2" t="s">
        <v>3</v>
      </c>
      <c r="DE343" s="2" t="s">
        <v>3</v>
      </c>
      <c r="DF343" s="2" t="s">
        <v>3</v>
      </c>
      <c r="DG343" s="2" t="s">
        <v>3</v>
      </c>
      <c r="DH343" s="2" t="s">
        <v>3</v>
      </c>
      <c r="DI343" s="2" t="s">
        <v>3</v>
      </c>
      <c r="DJ343" s="2" t="s">
        <v>3</v>
      </c>
      <c r="DK343" s="2" t="s">
        <v>3</v>
      </c>
      <c r="DL343" s="2" t="s">
        <v>3</v>
      </c>
      <c r="DM343" s="2" t="s">
        <v>3</v>
      </c>
      <c r="DN343" s="2">
        <v>85</v>
      </c>
      <c r="DO343" s="2">
        <v>70</v>
      </c>
      <c r="DP343" s="2">
        <v>1.0469999999999999</v>
      </c>
      <c r="DQ343" s="2">
        <v>1.022</v>
      </c>
      <c r="DR343" s="2"/>
      <c r="DS343" s="2"/>
      <c r="DT343" s="2"/>
      <c r="DU343" s="2">
        <v>1007</v>
      </c>
      <c r="DV343" s="2" t="s">
        <v>80</v>
      </c>
      <c r="DW343" s="2" t="s">
        <v>80</v>
      </c>
      <c r="DX343" s="2">
        <v>1</v>
      </c>
      <c r="DY343" s="2"/>
      <c r="DZ343" s="2"/>
      <c r="EA343" s="2"/>
      <c r="EB343" s="2"/>
      <c r="EC343" s="2"/>
      <c r="ED343" s="2"/>
      <c r="EE343" s="2">
        <v>44846554</v>
      </c>
      <c r="EF343" s="2">
        <v>30</v>
      </c>
      <c r="EG343" s="2" t="s">
        <v>38</v>
      </c>
      <c r="EH343" s="2">
        <v>0</v>
      </c>
      <c r="EI343" s="2" t="s">
        <v>3</v>
      </c>
      <c r="EJ343" s="2">
        <v>1</v>
      </c>
      <c r="EK343" s="2">
        <v>47</v>
      </c>
      <c r="EL343" s="2" t="s">
        <v>402</v>
      </c>
      <c r="EM343" s="2" t="s">
        <v>403</v>
      </c>
      <c r="EN343" s="2"/>
      <c r="EO343" s="2" t="s">
        <v>3</v>
      </c>
      <c r="EP343" s="2"/>
      <c r="EQ343" s="2">
        <v>0</v>
      </c>
      <c r="ER343" s="2">
        <v>711.12</v>
      </c>
      <c r="ES343" s="2">
        <v>711.12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/>
      <c r="EZ343" s="2"/>
      <c r="FA343" s="2"/>
      <c r="FB343" s="2"/>
      <c r="FC343" s="2"/>
      <c r="FD343" s="2"/>
      <c r="FE343" s="2"/>
      <c r="FF343" s="2"/>
      <c r="FG343" s="2"/>
      <c r="FH343" s="2"/>
      <c r="FI343" s="2"/>
      <c r="FJ343" s="2"/>
      <c r="FK343" s="2"/>
      <c r="FL343" s="2"/>
      <c r="FM343" s="2"/>
      <c r="FN343" s="2"/>
      <c r="FO343" s="2"/>
      <c r="FP343" s="2"/>
      <c r="FQ343" s="2">
        <v>0</v>
      </c>
      <c r="FR343" s="2">
        <f t="shared" si="322"/>
        <v>0</v>
      </c>
      <c r="FS343" s="2">
        <v>0</v>
      </c>
      <c r="FT343" s="2"/>
      <c r="FU343" s="2"/>
      <c r="FV343" s="2"/>
      <c r="FW343" s="2"/>
      <c r="FX343" s="2">
        <v>85</v>
      </c>
      <c r="FY343" s="2">
        <v>70</v>
      </c>
      <c r="FZ343" s="2"/>
      <c r="GA343" s="2" t="s">
        <v>3</v>
      </c>
      <c r="GB343" s="2"/>
      <c r="GC343" s="2"/>
      <c r="GD343" s="2">
        <v>0</v>
      </c>
      <c r="GE343" s="2"/>
      <c r="GF343" s="2">
        <v>1796330771</v>
      </c>
      <c r="GG343" s="2">
        <v>2</v>
      </c>
      <c r="GH343" s="2">
        <v>1</v>
      </c>
      <c r="GI343" s="2">
        <v>3</v>
      </c>
      <c r="GJ343" s="2">
        <v>0</v>
      </c>
      <c r="GK343" s="2">
        <f>ROUND(R343*(R12)/100,2)</f>
        <v>0</v>
      </c>
      <c r="GL343" s="2">
        <f t="shared" si="323"/>
        <v>0</v>
      </c>
      <c r="GM343" s="2">
        <f t="shared" si="324"/>
        <v>86.61</v>
      </c>
      <c r="GN343" s="2">
        <f t="shared" si="325"/>
        <v>86.61</v>
      </c>
      <c r="GO343" s="2">
        <f t="shared" si="326"/>
        <v>0</v>
      </c>
      <c r="GP343" s="2">
        <f t="shared" si="327"/>
        <v>0</v>
      </c>
      <c r="GQ343" s="2"/>
      <c r="GR343" s="2">
        <v>0</v>
      </c>
      <c r="GS343" s="2">
        <v>3</v>
      </c>
      <c r="GT343" s="2">
        <v>0</v>
      </c>
      <c r="GU343" s="2" t="s">
        <v>3</v>
      </c>
      <c r="GV343" s="2">
        <f t="shared" si="328"/>
        <v>0</v>
      </c>
      <c r="GW343" s="2">
        <v>1</v>
      </c>
      <c r="GX343" s="2">
        <f t="shared" si="329"/>
        <v>0</v>
      </c>
      <c r="GY343" s="2"/>
      <c r="GZ343" s="2"/>
      <c r="HA343" s="2">
        <v>0</v>
      </c>
      <c r="HB343" s="2">
        <v>0</v>
      </c>
      <c r="HC343" s="2"/>
      <c r="HD343" s="2"/>
      <c r="HE343" s="2"/>
      <c r="HF343" s="2"/>
      <c r="HG343" s="2"/>
      <c r="HH343" s="2"/>
      <c r="HI343" s="2"/>
      <c r="HJ343" s="2"/>
      <c r="HK343" s="2"/>
      <c r="HL343" s="2"/>
      <c r="HM343" s="2"/>
      <c r="HN343" s="2"/>
      <c r="HO343" s="2"/>
      <c r="HP343" s="2"/>
      <c r="HQ343" s="2"/>
      <c r="HR343" s="2"/>
      <c r="HS343" s="2"/>
      <c r="HT343" s="2"/>
      <c r="HU343" s="2"/>
      <c r="HV343" s="2"/>
      <c r="HW343" s="2"/>
      <c r="HX343" s="2"/>
      <c r="HY343" s="2"/>
      <c r="HZ343" s="2"/>
      <c r="IA343" s="2"/>
      <c r="IB343" s="2"/>
      <c r="IC343" s="2"/>
      <c r="ID343" s="2"/>
      <c r="IE343" s="2"/>
      <c r="IF343" s="2"/>
      <c r="IG343" s="2"/>
      <c r="IH343" s="2"/>
      <c r="II343" s="2"/>
      <c r="IJ343" s="2"/>
      <c r="IK343" s="2">
        <v>0</v>
      </c>
      <c r="IL343" s="2"/>
      <c r="IM343" s="2"/>
      <c r="IN343" s="2"/>
      <c r="IO343" s="2"/>
      <c r="IP343" s="2"/>
      <c r="IQ343" s="2"/>
      <c r="IR343" s="2"/>
      <c r="IS343" s="2"/>
      <c r="IT343" s="2"/>
      <c r="IU343" s="2"/>
    </row>
    <row r="344" spans="1:255" x14ac:dyDescent="0.2">
      <c r="A344">
        <v>18</v>
      </c>
      <c r="B344">
        <v>1</v>
      </c>
      <c r="C344">
        <v>333</v>
      </c>
      <c r="E344" t="s">
        <v>420</v>
      </c>
      <c r="F344" t="s">
        <v>421</v>
      </c>
      <c r="G344" t="s">
        <v>422</v>
      </c>
      <c r="H344" t="s">
        <v>80</v>
      </c>
      <c r="I344">
        <f>I338*J344</f>
        <v>0.12180000000000001</v>
      </c>
      <c r="J344">
        <v>101.50000000000001</v>
      </c>
      <c r="O344">
        <f t="shared" si="296"/>
        <v>470.32</v>
      </c>
      <c r="P344">
        <f t="shared" si="297"/>
        <v>470.32</v>
      </c>
      <c r="Q344">
        <f t="shared" si="298"/>
        <v>0</v>
      </c>
      <c r="R344">
        <f t="shared" si="299"/>
        <v>0</v>
      </c>
      <c r="S344">
        <f t="shared" si="300"/>
        <v>0</v>
      </c>
      <c r="T344">
        <f t="shared" si="301"/>
        <v>0</v>
      </c>
      <c r="U344">
        <f t="shared" si="302"/>
        <v>0</v>
      </c>
      <c r="V344">
        <f t="shared" si="303"/>
        <v>0</v>
      </c>
      <c r="W344">
        <f t="shared" si="304"/>
        <v>0</v>
      </c>
      <c r="X344">
        <f t="shared" si="305"/>
        <v>0</v>
      </c>
      <c r="Y344">
        <f t="shared" si="306"/>
        <v>0</v>
      </c>
      <c r="AA344">
        <v>45037307</v>
      </c>
      <c r="AB344">
        <f t="shared" si="307"/>
        <v>711.12</v>
      </c>
      <c r="AC344">
        <f t="shared" si="308"/>
        <v>711.12</v>
      </c>
      <c r="AD344">
        <f t="shared" si="332"/>
        <v>0</v>
      </c>
      <c r="AE344">
        <f t="shared" si="332"/>
        <v>0</v>
      </c>
      <c r="AF344">
        <f t="shared" si="332"/>
        <v>0</v>
      </c>
      <c r="AG344">
        <f t="shared" si="309"/>
        <v>0</v>
      </c>
      <c r="AH344">
        <f t="shared" si="333"/>
        <v>0</v>
      </c>
      <c r="AI344">
        <f t="shared" si="333"/>
        <v>0</v>
      </c>
      <c r="AJ344">
        <f t="shared" si="310"/>
        <v>0</v>
      </c>
      <c r="AK344">
        <v>711.12</v>
      </c>
      <c r="AL344">
        <v>711.12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  <c r="AS344">
        <v>0</v>
      </c>
      <c r="AT344">
        <v>0</v>
      </c>
      <c r="AU344">
        <v>0</v>
      </c>
      <c r="AV344">
        <v>1</v>
      </c>
      <c r="AW344">
        <v>1</v>
      </c>
      <c r="AZ344">
        <v>1</v>
      </c>
      <c r="BA344">
        <v>1</v>
      </c>
      <c r="BB344">
        <v>1</v>
      </c>
      <c r="BC344">
        <v>5.43</v>
      </c>
      <c r="BD344" t="s">
        <v>3</v>
      </c>
      <c r="BE344" t="s">
        <v>3</v>
      </c>
      <c r="BF344" t="s">
        <v>3</v>
      </c>
      <c r="BG344" t="s">
        <v>3</v>
      </c>
      <c r="BH344">
        <v>3</v>
      </c>
      <c r="BI344">
        <v>1</v>
      </c>
      <c r="BJ344" t="s">
        <v>423</v>
      </c>
      <c r="BM344">
        <v>47</v>
      </c>
      <c r="BN344">
        <v>7156650</v>
      </c>
      <c r="BO344" t="s">
        <v>421</v>
      </c>
      <c r="BP344">
        <v>1</v>
      </c>
      <c r="BQ344">
        <v>30</v>
      </c>
      <c r="BR344">
        <v>0</v>
      </c>
      <c r="BS344">
        <v>1</v>
      </c>
      <c r="BT344">
        <v>1</v>
      </c>
      <c r="BU344">
        <v>1</v>
      </c>
      <c r="BV344">
        <v>1</v>
      </c>
      <c r="BW344">
        <v>1</v>
      </c>
      <c r="BX344">
        <v>1</v>
      </c>
      <c r="BY344" t="s">
        <v>3</v>
      </c>
      <c r="BZ344">
        <v>0</v>
      </c>
      <c r="CA344">
        <v>0</v>
      </c>
      <c r="CF344">
        <v>0</v>
      </c>
      <c r="CG344">
        <v>0</v>
      </c>
      <c r="CM344">
        <v>0</v>
      </c>
      <c r="CN344" t="s">
        <v>3</v>
      </c>
      <c r="CO344">
        <v>0</v>
      </c>
      <c r="CP344">
        <f t="shared" si="311"/>
        <v>470.32</v>
      </c>
      <c r="CQ344">
        <f t="shared" si="312"/>
        <v>3861.3815999999997</v>
      </c>
      <c r="CR344">
        <f t="shared" si="313"/>
        <v>0</v>
      </c>
      <c r="CS344">
        <f t="shared" si="314"/>
        <v>0</v>
      </c>
      <c r="CT344">
        <f t="shared" si="315"/>
        <v>0</v>
      </c>
      <c r="CU344">
        <f t="shared" si="316"/>
        <v>0</v>
      </c>
      <c r="CV344">
        <f t="shared" si="317"/>
        <v>0</v>
      </c>
      <c r="CW344">
        <f t="shared" si="318"/>
        <v>0</v>
      </c>
      <c r="CX344">
        <f t="shared" si="319"/>
        <v>0</v>
      </c>
      <c r="CY344">
        <f t="shared" si="320"/>
        <v>0</v>
      </c>
      <c r="CZ344">
        <f t="shared" si="321"/>
        <v>0</v>
      </c>
      <c r="DC344" t="s">
        <v>3</v>
      </c>
      <c r="DD344" t="s">
        <v>3</v>
      </c>
      <c r="DE344" t="s">
        <v>3</v>
      </c>
      <c r="DF344" t="s">
        <v>3</v>
      </c>
      <c r="DG344" t="s">
        <v>3</v>
      </c>
      <c r="DH344" t="s">
        <v>3</v>
      </c>
      <c r="DI344" t="s">
        <v>3</v>
      </c>
      <c r="DJ344" t="s">
        <v>3</v>
      </c>
      <c r="DK344" t="s">
        <v>3</v>
      </c>
      <c r="DL344" t="s">
        <v>3</v>
      </c>
      <c r="DM344" t="s">
        <v>3</v>
      </c>
      <c r="DN344">
        <v>85</v>
      </c>
      <c r="DO344">
        <v>70</v>
      </c>
      <c r="DP344">
        <v>1.0469999999999999</v>
      </c>
      <c r="DQ344">
        <v>1.022</v>
      </c>
      <c r="DU344">
        <v>1007</v>
      </c>
      <c r="DV344" t="s">
        <v>80</v>
      </c>
      <c r="DW344" t="s">
        <v>80</v>
      </c>
      <c r="DX344">
        <v>1</v>
      </c>
      <c r="EE344">
        <v>44846554</v>
      </c>
      <c r="EF344">
        <v>30</v>
      </c>
      <c r="EG344" t="s">
        <v>38</v>
      </c>
      <c r="EH344">
        <v>0</v>
      </c>
      <c r="EI344" t="s">
        <v>3</v>
      </c>
      <c r="EJ344">
        <v>1</v>
      </c>
      <c r="EK344">
        <v>47</v>
      </c>
      <c r="EL344" t="s">
        <v>402</v>
      </c>
      <c r="EM344" t="s">
        <v>403</v>
      </c>
      <c r="EO344" t="s">
        <v>3</v>
      </c>
      <c r="EQ344">
        <v>0</v>
      </c>
      <c r="ER344">
        <v>711.12</v>
      </c>
      <c r="ES344">
        <v>711.12</v>
      </c>
      <c r="ET344">
        <v>0</v>
      </c>
      <c r="EU344">
        <v>0</v>
      </c>
      <c r="EV344">
        <v>0</v>
      </c>
      <c r="EW344">
        <v>0</v>
      </c>
      <c r="EX344">
        <v>0</v>
      </c>
      <c r="FQ344">
        <v>0</v>
      </c>
      <c r="FR344">
        <f t="shared" si="322"/>
        <v>0</v>
      </c>
      <c r="FS344">
        <v>0</v>
      </c>
      <c r="FX344">
        <v>85</v>
      </c>
      <c r="FY344">
        <v>70</v>
      </c>
      <c r="GA344" t="s">
        <v>3</v>
      </c>
      <c r="GD344">
        <v>0</v>
      </c>
      <c r="GF344">
        <v>1796330771</v>
      </c>
      <c r="GG344">
        <v>2</v>
      </c>
      <c r="GH344">
        <v>1</v>
      </c>
      <c r="GI344">
        <v>3</v>
      </c>
      <c r="GJ344">
        <v>0</v>
      </c>
      <c r="GK344">
        <f>ROUND(R344*(S12)/100,2)</f>
        <v>0</v>
      </c>
      <c r="GL344">
        <f t="shared" si="323"/>
        <v>0</v>
      </c>
      <c r="GM344">
        <f t="shared" si="324"/>
        <v>470.32</v>
      </c>
      <c r="GN344">
        <f t="shared" si="325"/>
        <v>470.32</v>
      </c>
      <c r="GO344">
        <f t="shared" si="326"/>
        <v>0</v>
      </c>
      <c r="GP344">
        <f t="shared" si="327"/>
        <v>0</v>
      </c>
      <c r="GR344">
        <v>0</v>
      </c>
      <c r="GS344">
        <v>3</v>
      </c>
      <c r="GT344">
        <v>0</v>
      </c>
      <c r="GU344" t="s">
        <v>3</v>
      </c>
      <c r="GV344">
        <f t="shared" si="328"/>
        <v>0</v>
      </c>
      <c r="GW344">
        <v>1</v>
      </c>
      <c r="GX344">
        <f t="shared" si="329"/>
        <v>0</v>
      </c>
      <c r="HA344">
        <v>0</v>
      </c>
      <c r="HB344">
        <v>0</v>
      </c>
      <c r="IK344">
        <v>0</v>
      </c>
    </row>
    <row r="345" spans="1:255" x14ac:dyDescent="0.2">
      <c r="A345" s="2">
        <v>17</v>
      </c>
      <c r="B345" s="2">
        <v>1</v>
      </c>
      <c r="C345" s="2">
        <f>ROW(SmtRes!A350)</f>
        <v>350</v>
      </c>
      <c r="D345" s="2">
        <f>ROW(EtalonRes!A339)</f>
        <v>339</v>
      </c>
      <c r="E345" s="2" t="s">
        <v>424</v>
      </c>
      <c r="F345" s="2" t="s">
        <v>425</v>
      </c>
      <c r="G345" s="2" t="s">
        <v>426</v>
      </c>
      <c r="H345" s="2" t="s">
        <v>175</v>
      </c>
      <c r="I345" s="2">
        <v>0.27</v>
      </c>
      <c r="J345" s="2">
        <v>0</v>
      </c>
      <c r="K345" s="2"/>
      <c r="L345" s="2"/>
      <c r="M345" s="2"/>
      <c r="N345" s="2"/>
      <c r="O345" s="2">
        <f t="shared" si="296"/>
        <v>330.9</v>
      </c>
      <c r="P345" s="2">
        <f t="shared" si="297"/>
        <v>21.84</v>
      </c>
      <c r="Q345" s="2">
        <f t="shared" si="298"/>
        <v>161.91999999999999</v>
      </c>
      <c r="R345" s="2">
        <f t="shared" si="299"/>
        <v>45.06</v>
      </c>
      <c r="S345" s="2">
        <f t="shared" si="300"/>
        <v>147.13999999999999</v>
      </c>
      <c r="T345" s="2">
        <f t="shared" si="301"/>
        <v>0</v>
      </c>
      <c r="U345" s="2">
        <f t="shared" si="302"/>
        <v>11.14695</v>
      </c>
      <c r="V345" s="2">
        <f t="shared" si="303"/>
        <v>0</v>
      </c>
      <c r="W345" s="2">
        <f t="shared" si="304"/>
        <v>0</v>
      </c>
      <c r="X345" s="2">
        <f t="shared" si="305"/>
        <v>0</v>
      </c>
      <c r="Y345" s="2">
        <f t="shared" si="306"/>
        <v>0</v>
      </c>
      <c r="Z345" s="2"/>
      <c r="AA345" s="2">
        <v>45037306</v>
      </c>
      <c r="AB345" s="2">
        <f t="shared" si="307"/>
        <v>1225.5744999999999</v>
      </c>
      <c r="AC345" s="2">
        <f t="shared" si="308"/>
        <v>80.900000000000006</v>
      </c>
      <c r="AD345" s="2">
        <f>ROUND(((ET345*1.25)),6)</f>
        <v>599.71249999999998</v>
      </c>
      <c r="AE345" s="2">
        <f>ROUND(((EU345*1.25)),6)</f>
        <v>166.88749999999999</v>
      </c>
      <c r="AF345" s="2">
        <f>ROUND(((EV345*1.15)),6)</f>
        <v>544.96199999999999</v>
      </c>
      <c r="AG345" s="2">
        <f t="shared" si="309"/>
        <v>0</v>
      </c>
      <c r="AH345" s="2">
        <f>((EW345*1.15))</f>
        <v>41.284999999999997</v>
      </c>
      <c r="AI345" s="2">
        <f>((EX345*1.25))</f>
        <v>0</v>
      </c>
      <c r="AJ345" s="2">
        <f t="shared" si="310"/>
        <v>0</v>
      </c>
      <c r="AK345" s="2">
        <v>1034.55</v>
      </c>
      <c r="AL345" s="2">
        <v>80.900000000000006</v>
      </c>
      <c r="AM345" s="2">
        <v>479.77</v>
      </c>
      <c r="AN345" s="2">
        <v>133.51</v>
      </c>
      <c r="AO345" s="2">
        <v>473.88</v>
      </c>
      <c r="AP345" s="2">
        <v>0</v>
      </c>
      <c r="AQ345" s="2">
        <v>35.9</v>
      </c>
      <c r="AR345" s="2">
        <v>0</v>
      </c>
      <c r="AS345" s="2">
        <v>0</v>
      </c>
      <c r="AT345" s="2">
        <v>0</v>
      </c>
      <c r="AU345" s="2">
        <v>0</v>
      </c>
      <c r="AV345" s="2">
        <v>1</v>
      </c>
      <c r="AW345" s="2">
        <v>1</v>
      </c>
      <c r="AX345" s="2"/>
      <c r="AY345" s="2"/>
      <c r="AZ345" s="2">
        <v>1</v>
      </c>
      <c r="BA345" s="2">
        <v>1</v>
      </c>
      <c r="BB345" s="2">
        <v>1</v>
      </c>
      <c r="BC345" s="2">
        <v>1</v>
      </c>
      <c r="BD345" s="2" t="s">
        <v>3</v>
      </c>
      <c r="BE345" s="2" t="s">
        <v>3</v>
      </c>
      <c r="BF345" s="2" t="s">
        <v>3</v>
      </c>
      <c r="BG345" s="2" t="s">
        <v>3</v>
      </c>
      <c r="BH345" s="2">
        <v>0</v>
      </c>
      <c r="BI345" s="2">
        <v>1</v>
      </c>
      <c r="BJ345" s="2" t="s">
        <v>427</v>
      </c>
      <c r="BK345" s="2"/>
      <c r="BL345" s="2"/>
      <c r="BM345" s="2">
        <v>80</v>
      </c>
      <c r="BN345" s="2">
        <v>7156650</v>
      </c>
      <c r="BO345" s="2" t="s">
        <v>3</v>
      </c>
      <c r="BP345" s="2">
        <v>0</v>
      </c>
      <c r="BQ345" s="2">
        <v>30</v>
      </c>
      <c r="BR345" s="2">
        <v>0</v>
      </c>
      <c r="BS345" s="2">
        <v>1</v>
      </c>
      <c r="BT345" s="2">
        <v>1</v>
      </c>
      <c r="BU345" s="2">
        <v>1</v>
      </c>
      <c r="BV345" s="2">
        <v>1</v>
      </c>
      <c r="BW345" s="2">
        <v>1</v>
      </c>
      <c r="BX345" s="2">
        <v>1</v>
      </c>
      <c r="BY345" s="2" t="s">
        <v>3</v>
      </c>
      <c r="BZ345" s="2">
        <v>0</v>
      </c>
      <c r="CA345" s="2">
        <v>0</v>
      </c>
      <c r="CB345" s="2"/>
      <c r="CC345" s="2"/>
      <c r="CD345" s="2"/>
      <c r="CE345" s="2"/>
      <c r="CF345" s="2">
        <v>0</v>
      </c>
      <c r="CG345" s="2">
        <v>0</v>
      </c>
      <c r="CH345" s="2"/>
      <c r="CI345" s="2"/>
      <c r="CJ345" s="2"/>
      <c r="CK345" s="2"/>
      <c r="CL345" s="2"/>
      <c r="CM345" s="2">
        <v>0</v>
      </c>
      <c r="CN345" s="2" t="s">
        <v>3</v>
      </c>
      <c r="CO345" s="2">
        <v>0</v>
      </c>
      <c r="CP345" s="2">
        <f t="shared" si="311"/>
        <v>330.9</v>
      </c>
      <c r="CQ345" s="2">
        <f t="shared" si="312"/>
        <v>80.900000000000006</v>
      </c>
      <c r="CR345" s="2">
        <f t="shared" si="313"/>
        <v>599.71249999999998</v>
      </c>
      <c r="CS345" s="2">
        <f t="shared" si="314"/>
        <v>166.88749999999999</v>
      </c>
      <c r="CT345" s="2">
        <f t="shared" si="315"/>
        <v>544.96199999999999</v>
      </c>
      <c r="CU345" s="2">
        <f t="shared" si="316"/>
        <v>0</v>
      </c>
      <c r="CV345" s="2">
        <f t="shared" si="317"/>
        <v>41.284999999999997</v>
      </c>
      <c r="CW345" s="2">
        <f t="shared" si="318"/>
        <v>0</v>
      </c>
      <c r="CX345" s="2">
        <f t="shared" si="319"/>
        <v>0</v>
      </c>
      <c r="CY345" s="2">
        <f t="shared" si="320"/>
        <v>0</v>
      </c>
      <c r="CZ345" s="2">
        <f t="shared" si="321"/>
        <v>0</v>
      </c>
      <c r="DA345" s="2"/>
      <c r="DB345" s="2"/>
      <c r="DC345" s="2" t="s">
        <v>3</v>
      </c>
      <c r="DD345" s="2" t="s">
        <v>3</v>
      </c>
      <c r="DE345" s="2" t="s">
        <v>36</v>
      </c>
      <c r="DF345" s="2" t="s">
        <v>36</v>
      </c>
      <c r="DG345" s="2" t="s">
        <v>37</v>
      </c>
      <c r="DH345" s="2" t="s">
        <v>3</v>
      </c>
      <c r="DI345" s="2" t="s">
        <v>37</v>
      </c>
      <c r="DJ345" s="2" t="s">
        <v>36</v>
      </c>
      <c r="DK345" s="2" t="s">
        <v>3</v>
      </c>
      <c r="DL345" s="2" t="s">
        <v>3</v>
      </c>
      <c r="DM345" s="2" t="s">
        <v>3</v>
      </c>
      <c r="DN345" s="2">
        <v>85</v>
      </c>
      <c r="DO345" s="2">
        <v>70</v>
      </c>
      <c r="DP345" s="2">
        <v>1.087</v>
      </c>
      <c r="DQ345" s="2">
        <v>1</v>
      </c>
      <c r="DR345" s="2"/>
      <c r="DS345" s="2"/>
      <c r="DT345" s="2"/>
      <c r="DU345" s="2">
        <v>1013</v>
      </c>
      <c r="DV345" s="2" t="s">
        <v>175</v>
      </c>
      <c r="DW345" s="2" t="s">
        <v>175</v>
      </c>
      <c r="DX345" s="2">
        <v>1</v>
      </c>
      <c r="DY345" s="2"/>
      <c r="DZ345" s="2"/>
      <c r="EA345" s="2"/>
      <c r="EB345" s="2"/>
      <c r="EC345" s="2"/>
      <c r="ED345" s="2"/>
      <c r="EE345" s="2">
        <v>44846587</v>
      </c>
      <c r="EF345" s="2">
        <v>30</v>
      </c>
      <c r="EG345" s="2" t="s">
        <v>38</v>
      </c>
      <c r="EH345" s="2">
        <v>0</v>
      </c>
      <c r="EI345" s="2" t="s">
        <v>3</v>
      </c>
      <c r="EJ345" s="2">
        <v>1</v>
      </c>
      <c r="EK345" s="2">
        <v>80</v>
      </c>
      <c r="EL345" s="2" t="s">
        <v>179</v>
      </c>
      <c r="EM345" s="2" t="s">
        <v>180</v>
      </c>
      <c r="EN345" s="2"/>
      <c r="EO345" s="2" t="s">
        <v>3</v>
      </c>
      <c r="EP345" s="2"/>
      <c r="EQ345" s="2">
        <v>131072</v>
      </c>
      <c r="ER345" s="2">
        <v>1034.55</v>
      </c>
      <c r="ES345" s="2">
        <v>80.900000000000006</v>
      </c>
      <c r="ET345" s="2">
        <v>479.77</v>
      </c>
      <c r="EU345" s="2">
        <v>133.51</v>
      </c>
      <c r="EV345" s="2">
        <v>473.88</v>
      </c>
      <c r="EW345" s="2">
        <v>35.9</v>
      </c>
      <c r="EX345" s="2">
        <v>0</v>
      </c>
      <c r="EY345" s="2">
        <v>0</v>
      </c>
      <c r="EZ345" s="2"/>
      <c r="FA345" s="2"/>
      <c r="FB345" s="2"/>
      <c r="FC345" s="2"/>
      <c r="FD345" s="2"/>
      <c r="FE345" s="2"/>
      <c r="FF345" s="2"/>
      <c r="FG345" s="2"/>
      <c r="FH345" s="2"/>
      <c r="FI345" s="2"/>
      <c r="FJ345" s="2"/>
      <c r="FK345" s="2"/>
      <c r="FL345" s="2"/>
      <c r="FM345" s="2"/>
      <c r="FN345" s="2"/>
      <c r="FO345" s="2"/>
      <c r="FP345" s="2"/>
      <c r="FQ345" s="2">
        <v>0</v>
      </c>
      <c r="FR345" s="2">
        <f t="shared" si="322"/>
        <v>0</v>
      </c>
      <c r="FS345" s="2">
        <v>0</v>
      </c>
      <c r="FT345" s="2"/>
      <c r="FU345" s="2"/>
      <c r="FV345" s="2"/>
      <c r="FW345" s="2"/>
      <c r="FX345" s="2">
        <v>85</v>
      </c>
      <c r="FY345" s="2">
        <v>70</v>
      </c>
      <c r="FZ345" s="2"/>
      <c r="GA345" s="2" t="s">
        <v>3</v>
      </c>
      <c r="GB345" s="2"/>
      <c r="GC345" s="2"/>
      <c r="GD345" s="2">
        <v>0</v>
      </c>
      <c r="GE345" s="2"/>
      <c r="GF345" s="2">
        <v>1385473163</v>
      </c>
      <c r="GG345" s="2">
        <v>2</v>
      </c>
      <c r="GH345" s="2">
        <v>1</v>
      </c>
      <c r="GI345" s="2">
        <v>3</v>
      </c>
      <c r="GJ345" s="2">
        <v>0</v>
      </c>
      <c r="GK345" s="2">
        <f>ROUND(R345*(R12)/100,2)</f>
        <v>81.11</v>
      </c>
      <c r="GL345" s="2">
        <f t="shared" si="323"/>
        <v>0</v>
      </c>
      <c r="GM345" s="2">
        <f t="shared" si="324"/>
        <v>412.01</v>
      </c>
      <c r="GN345" s="2">
        <f t="shared" si="325"/>
        <v>412.01</v>
      </c>
      <c r="GO345" s="2">
        <f t="shared" si="326"/>
        <v>0</v>
      </c>
      <c r="GP345" s="2">
        <f t="shared" si="327"/>
        <v>0</v>
      </c>
      <c r="GQ345" s="2"/>
      <c r="GR345" s="2">
        <v>0</v>
      </c>
      <c r="GS345" s="2">
        <v>3</v>
      </c>
      <c r="GT345" s="2">
        <v>0</v>
      </c>
      <c r="GU345" s="2" t="s">
        <v>3</v>
      </c>
      <c r="GV345" s="2">
        <f t="shared" si="328"/>
        <v>0</v>
      </c>
      <c r="GW345" s="2">
        <v>1</v>
      </c>
      <c r="GX345" s="2">
        <f t="shared" si="329"/>
        <v>0</v>
      </c>
      <c r="GY345" s="2"/>
      <c r="GZ345" s="2"/>
      <c r="HA345" s="2">
        <v>0</v>
      </c>
      <c r="HB345" s="2">
        <v>0</v>
      </c>
      <c r="HC345" s="2"/>
      <c r="HD345" s="2"/>
      <c r="HE345" s="2"/>
      <c r="HF345" s="2"/>
      <c r="HG345" s="2"/>
      <c r="HH345" s="2"/>
      <c r="HI345" s="2"/>
      <c r="HJ345" s="2"/>
      <c r="HK345" s="2"/>
      <c r="HL345" s="2"/>
      <c r="HM345" s="2"/>
      <c r="HN345" s="2"/>
      <c r="HO345" s="2"/>
      <c r="HP345" s="2"/>
      <c r="HQ345" s="2"/>
      <c r="HR345" s="2"/>
      <c r="HS345" s="2"/>
      <c r="HT345" s="2"/>
      <c r="HU345" s="2"/>
      <c r="HV345" s="2"/>
      <c r="HW345" s="2"/>
      <c r="HX345" s="2"/>
      <c r="HY345" s="2"/>
      <c r="HZ345" s="2"/>
      <c r="IA345" s="2"/>
      <c r="IB345" s="2"/>
      <c r="IC345" s="2"/>
      <c r="ID345" s="2"/>
      <c r="IE345" s="2"/>
      <c r="IF345" s="2"/>
      <c r="IG345" s="2"/>
      <c r="IH345" s="2"/>
      <c r="II345" s="2"/>
      <c r="IJ345" s="2"/>
      <c r="IK345" s="2">
        <v>0</v>
      </c>
      <c r="IL345" s="2"/>
      <c r="IM345" s="2"/>
      <c r="IN345" s="2"/>
      <c r="IO345" s="2"/>
      <c r="IP345" s="2"/>
      <c r="IQ345" s="2"/>
      <c r="IR345" s="2"/>
      <c r="IS345" s="2"/>
      <c r="IT345" s="2"/>
      <c r="IU345" s="2"/>
    </row>
    <row r="346" spans="1:255" x14ac:dyDescent="0.2">
      <c r="A346">
        <v>17</v>
      </c>
      <c r="B346">
        <v>1</v>
      </c>
      <c r="C346">
        <f>ROW(SmtRes!A364)</f>
        <v>364</v>
      </c>
      <c r="D346">
        <f>ROW(EtalonRes!A350)</f>
        <v>350</v>
      </c>
      <c r="E346" t="s">
        <v>424</v>
      </c>
      <c r="F346" t="s">
        <v>425</v>
      </c>
      <c r="G346" t="s">
        <v>426</v>
      </c>
      <c r="H346" t="s">
        <v>175</v>
      </c>
      <c r="I346">
        <v>0.27</v>
      </c>
      <c r="J346">
        <v>0</v>
      </c>
      <c r="O346">
        <f t="shared" si="296"/>
        <v>4620.75</v>
      </c>
      <c r="P346">
        <f t="shared" si="297"/>
        <v>166.66</v>
      </c>
      <c r="Q346">
        <f t="shared" si="298"/>
        <v>1452.44</v>
      </c>
      <c r="R346">
        <f t="shared" si="299"/>
        <v>919.22</v>
      </c>
      <c r="S346">
        <f t="shared" si="300"/>
        <v>3001.65</v>
      </c>
      <c r="T346">
        <f t="shared" si="301"/>
        <v>0</v>
      </c>
      <c r="U346">
        <f t="shared" si="302"/>
        <v>11.14695</v>
      </c>
      <c r="V346">
        <f t="shared" si="303"/>
        <v>0</v>
      </c>
      <c r="W346">
        <f t="shared" si="304"/>
        <v>0</v>
      </c>
      <c r="X346">
        <f t="shared" si="305"/>
        <v>2041.12</v>
      </c>
      <c r="Y346">
        <f t="shared" si="306"/>
        <v>1230.68</v>
      </c>
      <c r="AA346">
        <v>45037307</v>
      </c>
      <c r="AB346">
        <f t="shared" si="307"/>
        <v>1225.5744999999999</v>
      </c>
      <c r="AC346">
        <f t="shared" si="308"/>
        <v>80.900000000000006</v>
      </c>
      <c r="AD346">
        <f>ROUND(((ET346*1.25)),6)</f>
        <v>599.71249999999998</v>
      </c>
      <c r="AE346">
        <f>ROUND(((EU346*1.25)),6)</f>
        <v>166.88749999999999</v>
      </c>
      <c r="AF346">
        <f>ROUND(((EV346*1.15)),6)</f>
        <v>544.96199999999999</v>
      </c>
      <c r="AG346">
        <f t="shared" si="309"/>
        <v>0</v>
      </c>
      <c r="AH346">
        <f>((EW346*1.15))</f>
        <v>41.284999999999997</v>
      </c>
      <c r="AI346">
        <f>((EX346*1.25))</f>
        <v>0</v>
      </c>
      <c r="AJ346">
        <f t="shared" si="310"/>
        <v>0</v>
      </c>
      <c r="AK346">
        <v>1034.55</v>
      </c>
      <c r="AL346">
        <v>80.900000000000006</v>
      </c>
      <c r="AM346">
        <v>479.77</v>
      </c>
      <c r="AN346">
        <v>133.51</v>
      </c>
      <c r="AO346">
        <v>473.88</v>
      </c>
      <c r="AP346">
        <v>0</v>
      </c>
      <c r="AQ346">
        <v>35.9</v>
      </c>
      <c r="AR346">
        <v>0</v>
      </c>
      <c r="AS346">
        <v>0</v>
      </c>
      <c r="AT346">
        <v>68</v>
      </c>
      <c r="AU346">
        <v>41</v>
      </c>
      <c r="AV346">
        <v>1</v>
      </c>
      <c r="AW346">
        <v>1</v>
      </c>
      <c r="AZ346">
        <v>1</v>
      </c>
      <c r="BA346">
        <v>20.399999999999999</v>
      </c>
      <c r="BB346">
        <v>8.9700000000000006</v>
      </c>
      <c r="BC346">
        <v>7.63</v>
      </c>
      <c r="BD346" t="s">
        <v>3</v>
      </c>
      <c r="BE346" t="s">
        <v>3</v>
      </c>
      <c r="BF346" t="s">
        <v>3</v>
      </c>
      <c r="BG346" t="s">
        <v>3</v>
      </c>
      <c r="BH346">
        <v>0</v>
      </c>
      <c r="BI346">
        <v>1</v>
      </c>
      <c r="BJ346" t="s">
        <v>427</v>
      </c>
      <c r="BM346">
        <v>80</v>
      </c>
      <c r="BN346">
        <v>7156650</v>
      </c>
      <c r="BO346" t="s">
        <v>425</v>
      </c>
      <c r="BP346">
        <v>1</v>
      </c>
      <c r="BQ346">
        <v>30</v>
      </c>
      <c r="BR346">
        <v>0</v>
      </c>
      <c r="BS346">
        <v>20.399999999999999</v>
      </c>
      <c r="BT346">
        <v>1</v>
      </c>
      <c r="BU346">
        <v>1</v>
      </c>
      <c r="BV346">
        <v>1</v>
      </c>
      <c r="BW346">
        <v>1</v>
      </c>
      <c r="BX346">
        <v>1</v>
      </c>
      <c r="BY346" t="s">
        <v>3</v>
      </c>
      <c r="BZ346">
        <v>68</v>
      </c>
      <c r="CA346">
        <v>41</v>
      </c>
      <c r="CF346">
        <v>0</v>
      </c>
      <c r="CG346">
        <v>0</v>
      </c>
      <c r="CM346">
        <v>0</v>
      </c>
      <c r="CN346" t="s">
        <v>3</v>
      </c>
      <c r="CO346">
        <v>0</v>
      </c>
      <c r="CP346">
        <f t="shared" si="311"/>
        <v>4620.75</v>
      </c>
      <c r="CQ346">
        <f t="shared" si="312"/>
        <v>617.26700000000005</v>
      </c>
      <c r="CR346">
        <f t="shared" si="313"/>
        <v>5379.4211249999998</v>
      </c>
      <c r="CS346">
        <f t="shared" si="314"/>
        <v>3404.5049999999997</v>
      </c>
      <c r="CT346">
        <f t="shared" si="315"/>
        <v>11117.224799999998</v>
      </c>
      <c r="CU346">
        <f t="shared" si="316"/>
        <v>0</v>
      </c>
      <c r="CV346">
        <f t="shared" si="317"/>
        <v>41.284999999999997</v>
      </c>
      <c r="CW346">
        <f t="shared" si="318"/>
        <v>0</v>
      </c>
      <c r="CX346">
        <f t="shared" si="319"/>
        <v>0</v>
      </c>
      <c r="CY346">
        <f t="shared" si="320"/>
        <v>2041.1220000000003</v>
      </c>
      <c r="CZ346">
        <f t="shared" si="321"/>
        <v>1230.6765</v>
      </c>
      <c r="DC346" t="s">
        <v>3</v>
      </c>
      <c r="DD346" t="s">
        <v>3</v>
      </c>
      <c r="DE346" t="s">
        <v>36</v>
      </c>
      <c r="DF346" t="s">
        <v>36</v>
      </c>
      <c r="DG346" t="s">
        <v>37</v>
      </c>
      <c r="DH346" t="s">
        <v>3</v>
      </c>
      <c r="DI346" t="s">
        <v>37</v>
      </c>
      <c r="DJ346" t="s">
        <v>36</v>
      </c>
      <c r="DK346" t="s">
        <v>3</v>
      </c>
      <c r="DL346" t="s">
        <v>3</v>
      </c>
      <c r="DM346" t="s">
        <v>3</v>
      </c>
      <c r="DN346">
        <v>85</v>
      </c>
      <c r="DO346">
        <v>70</v>
      </c>
      <c r="DP346">
        <v>1.087</v>
      </c>
      <c r="DQ346">
        <v>1</v>
      </c>
      <c r="DU346">
        <v>1013</v>
      </c>
      <c r="DV346" t="s">
        <v>175</v>
      </c>
      <c r="DW346" t="s">
        <v>175</v>
      </c>
      <c r="DX346">
        <v>1</v>
      </c>
      <c r="EE346">
        <v>44846587</v>
      </c>
      <c r="EF346">
        <v>30</v>
      </c>
      <c r="EG346" t="s">
        <v>38</v>
      </c>
      <c r="EH346">
        <v>0</v>
      </c>
      <c r="EI346" t="s">
        <v>3</v>
      </c>
      <c r="EJ346">
        <v>1</v>
      </c>
      <c r="EK346">
        <v>80</v>
      </c>
      <c r="EL346" t="s">
        <v>179</v>
      </c>
      <c r="EM346" t="s">
        <v>180</v>
      </c>
      <c r="EO346" t="s">
        <v>3</v>
      </c>
      <c r="EQ346">
        <v>131072</v>
      </c>
      <c r="ER346">
        <v>1034.55</v>
      </c>
      <c r="ES346">
        <v>80.900000000000006</v>
      </c>
      <c r="ET346">
        <v>479.77</v>
      </c>
      <c r="EU346">
        <v>133.51</v>
      </c>
      <c r="EV346">
        <v>473.88</v>
      </c>
      <c r="EW346">
        <v>35.9</v>
      </c>
      <c r="EX346">
        <v>0</v>
      </c>
      <c r="EY346">
        <v>0</v>
      </c>
      <c r="FQ346">
        <v>0</v>
      </c>
      <c r="FR346">
        <f t="shared" si="322"/>
        <v>0</v>
      </c>
      <c r="FS346">
        <v>0</v>
      </c>
      <c r="FX346">
        <v>85</v>
      </c>
      <c r="FY346">
        <v>70</v>
      </c>
      <c r="GA346" t="s">
        <v>3</v>
      </c>
      <c r="GD346">
        <v>0</v>
      </c>
      <c r="GF346">
        <v>1385473163</v>
      </c>
      <c r="GG346">
        <v>2</v>
      </c>
      <c r="GH346">
        <v>1</v>
      </c>
      <c r="GI346">
        <v>3</v>
      </c>
      <c r="GJ346">
        <v>0</v>
      </c>
      <c r="GK346">
        <f>ROUND(R346*(S12)/100,2)</f>
        <v>1544.29</v>
      </c>
      <c r="GL346">
        <f t="shared" si="323"/>
        <v>0</v>
      </c>
      <c r="GM346">
        <f t="shared" si="324"/>
        <v>9436.84</v>
      </c>
      <c r="GN346">
        <f t="shared" si="325"/>
        <v>9436.84</v>
      </c>
      <c r="GO346">
        <f t="shared" si="326"/>
        <v>0</v>
      </c>
      <c r="GP346">
        <f t="shared" si="327"/>
        <v>0</v>
      </c>
      <c r="GR346">
        <v>0</v>
      </c>
      <c r="GS346">
        <v>3</v>
      </c>
      <c r="GT346">
        <v>0</v>
      </c>
      <c r="GU346" t="s">
        <v>3</v>
      </c>
      <c r="GV346">
        <f t="shared" si="328"/>
        <v>0</v>
      </c>
      <c r="GW346">
        <v>1</v>
      </c>
      <c r="GX346">
        <f t="shared" si="329"/>
        <v>0</v>
      </c>
      <c r="HA346">
        <v>0</v>
      </c>
      <c r="HB346">
        <v>0</v>
      </c>
      <c r="IK346">
        <v>0</v>
      </c>
    </row>
    <row r="347" spans="1:255" x14ac:dyDescent="0.2">
      <c r="A347" s="2">
        <v>18</v>
      </c>
      <c r="B347" s="2">
        <v>1</v>
      </c>
      <c r="C347" s="2">
        <v>347</v>
      </c>
      <c r="D347" s="2"/>
      <c r="E347" s="2" t="s">
        <v>428</v>
      </c>
      <c r="F347" s="2" t="s">
        <v>429</v>
      </c>
      <c r="G347" s="2" t="s">
        <v>430</v>
      </c>
      <c r="H347" s="2" t="s">
        <v>29</v>
      </c>
      <c r="I347" s="2">
        <f>I345*J347</f>
        <v>2.2741999999999998E-2</v>
      </c>
      <c r="J347" s="2">
        <v>8.4229629629629613E-2</v>
      </c>
      <c r="K347" s="2"/>
      <c r="L347" s="2"/>
      <c r="M347" s="2"/>
      <c r="N347" s="2"/>
      <c r="O347" s="2">
        <f t="shared" si="296"/>
        <v>512.45000000000005</v>
      </c>
      <c r="P347" s="2">
        <f t="shared" si="297"/>
        <v>512.45000000000005</v>
      </c>
      <c r="Q347" s="2">
        <f t="shared" si="298"/>
        <v>0</v>
      </c>
      <c r="R347" s="2">
        <f t="shared" si="299"/>
        <v>0</v>
      </c>
      <c r="S347" s="2">
        <f t="shared" si="300"/>
        <v>0</v>
      </c>
      <c r="T347" s="2">
        <f t="shared" si="301"/>
        <v>0</v>
      </c>
      <c r="U347" s="2">
        <f t="shared" si="302"/>
        <v>0</v>
      </c>
      <c r="V347" s="2">
        <f t="shared" si="303"/>
        <v>0</v>
      </c>
      <c r="W347" s="2">
        <f t="shared" si="304"/>
        <v>0</v>
      </c>
      <c r="X347" s="2">
        <f t="shared" si="305"/>
        <v>0</v>
      </c>
      <c r="Y347" s="2">
        <f t="shared" si="306"/>
        <v>0</v>
      </c>
      <c r="Z347" s="2"/>
      <c r="AA347" s="2">
        <v>45037306</v>
      </c>
      <c r="AB347" s="2">
        <f t="shared" si="307"/>
        <v>22533.279999999999</v>
      </c>
      <c r="AC347" s="2">
        <f t="shared" si="308"/>
        <v>22533.279999999999</v>
      </c>
      <c r="AD347" s="2">
        <f t="shared" ref="AD347:AD356" si="334">ROUND((ET347),6)</f>
        <v>0</v>
      </c>
      <c r="AE347" s="2">
        <f t="shared" ref="AE347:AE356" si="335">ROUND((EU347),6)</f>
        <v>0</v>
      </c>
      <c r="AF347" s="2">
        <f t="shared" ref="AF347:AF356" si="336">ROUND((EV347),6)</f>
        <v>0</v>
      </c>
      <c r="AG347" s="2">
        <f t="shared" si="309"/>
        <v>0</v>
      </c>
      <c r="AH347" s="2">
        <f t="shared" ref="AH347:AH356" si="337">(EW347)</f>
        <v>0</v>
      </c>
      <c r="AI347" s="2">
        <f t="shared" ref="AI347:AI356" si="338">(EX347)</f>
        <v>0</v>
      </c>
      <c r="AJ347" s="2">
        <f t="shared" si="310"/>
        <v>0</v>
      </c>
      <c r="AK347" s="2">
        <v>22533.279999999999</v>
      </c>
      <c r="AL347" s="2">
        <v>22533.279999999999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 s="2">
        <v>0</v>
      </c>
      <c r="AT347" s="2">
        <v>0</v>
      </c>
      <c r="AU347" s="2">
        <v>0</v>
      </c>
      <c r="AV347" s="2">
        <v>1</v>
      </c>
      <c r="AW347" s="2">
        <v>1</v>
      </c>
      <c r="AX347" s="2"/>
      <c r="AY347" s="2"/>
      <c r="AZ347" s="2">
        <v>1</v>
      </c>
      <c r="BA347" s="2">
        <v>1</v>
      </c>
      <c r="BB347" s="2">
        <v>1</v>
      </c>
      <c r="BC347" s="2">
        <v>1</v>
      </c>
      <c r="BD347" s="2" t="s">
        <v>3</v>
      </c>
      <c r="BE347" s="2" t="s">
        <v>3</v>
      </c>
      <c r="BF347" s="2" t="s">
        <v>3</v>
      </c>
      <c r="BG347" s="2" t="s">
        <v>3</v>
      </c>
      <c r="BH347" s="2">
        <v>3</v>
      </c>
      <c r="BI347" s="2">
        <v>1</v>
      </c>
      <c r="BJ347" s="2" t="s">
        <v>431</v>
      </c>
      <c r="BK347" s="2"/>
      <c r="BL347" s="2"/>
      <c r="BM347" s="2">
        <v>80</v>
      </c>
      <c r="BN347" s="2">
        <v>7156650</v>
      </c>
      <c r="BO347" s="2" t="s">
        <v>3</v>
      </c>
      <c r="BP347" s="2">
        <v>0</v>
      </c>
      <c r="BQ347" s="2">
        <v>30</v>
      </c>
      <c r="BR347" s="2">
        <v>0</v>
      </c>
      <c r="BS347" s="2">
        <v>1</v>
      </c>
      <c r="BT347" s="2">
        <v>1</v>
      </c>
      <c r="BU347" s="2">
        <v>1</v>
      </c>
      <c r="BV347" s="2">
        <v>1</v>
      </c>
      <c r="BW347" s="2">
        <v>1</v>
      </c>
      <c r="BX347" s="2">
        <v>1</v>
      </c>
      <c r="BY347" s="2" t="s">
        <v>3</v>
      </c>
      <c r="BZ347" s="2">
        <v>0</v>
      </c>
      <c r="CA347" s="2">
        <v>0</v>
      </c>
      <c r="CB347" s="2"/>
      <c r="CC347" s="2"/>
      <c r="CD347" s="2"/>
      <c r="CE347" s="2"/>
      <c r="CF347" s="2">
        <v>0</v>
      </c>
      <c r="CG347" s="2">
        <v>0</v>
      </c>
      <c r="CH347" s="2"/>
      <c r="CI347" s="2"/>
      <c r="CJ347" s="2"/>
      <c r="CK347" s="2"/>
      <c r="CL347" s="2"/>
      <c r="CM347" s="2">
        <v>0</v>
      </c>
      <c r="CN347" s="2" t="s">
        <v>3</v>
      </c>
      <c r="CO347" s="2">
        <v>0</v>
      </c>
      <c r="CP347" s="2">
        <f t="shared" si="311"/>
        <v>512.45000000000005</v>
      </c>
      <c r="CQ347" s="2">
        <f t="shared" si="312"/>
        <v>22533.279999999999</v>
      </c>
      <c r="CR347" s="2">
        <f t="shared" si="313"/>
        <v>0</v>
      </c>
      <c r="CS347" s="2">
        <f t="shared" si="314"/>
        <v>0</v>
      </c>
      <c r="CT347" s="2">
        <f t="shared" si="315"/>
        <v>0</v>
      </c>
      <c r="CU347" s="2">
        <f t="shared" si="316"/>
        <v>0</v>
      </c>
      <c r="CV347" s="2">
        <f t="shared" si="317"/>
        <v>0</v>
      </c>
      <c r="CW347" s="2">
        <f t="shared" si="318"/>
        <v>0</v>
      </c>
      <c r="CX347" s="2">
        <f t="shared" si="319"/>
        <v>0</v>
      </c>
      <c r="CY347" s="2">
        <f t="shared" si="320"/>
        <v>0</v>
      </c>
      <c r="CZ347" s="2">
        <f t="shared" si="321"/>
        <v>0</v>
      </c>
      <c r="DA347" s="2"/>
      <c r="DB347" s="2"/>
      <c r="DC347" s="2" t="s">
        <v>3</v>
      </c>
      <c r="DD347" s="2" t="s">
        <v>3</v>
      </c>
      <c r="DE347" s="2" t="s">
        <v>3</v>
      </c>
      <c r="DF347" s="2" t="s">
        <v>3</v>
      </c>
      <c r="DG347" s="2" t="s">
        <v>3</v>
      </c>
      <c r="DH347" s="2" t="s">
        <v>3</v>
      </c>
      <c r="DI347" s="2" t="s">
        <v>3</v>
      </c>
      <c r="DJ347" s="2" t="s">
        <v>3</v>
      </c>
      <c r="DK347" s="2" t="s">
        <v>3</v>
      </c>
      <c r="DL347" s="2" t="s">
        <v>3</v>
      </c>
      <c r="DM347" s="2" t="s">
        <v>3</v>
      </c>
      <c r="DN347" s="2">
        <v>85</v>
      </c>
      <c r="DO347" s="2">
        <v>70</v>
      </c>
      <c r="DP347" s="2">
        <v>1.087</v>
      </c>
      <c r="DQ347" s="2">
        <v>1</v>
      </c>
      <c r="DR347" s="2"/>
      <c r="DS347" s="2"/>
      <c r="DT347" s="2"/>
      <c r="DU347" s="2">
        <v>1009</v>
      </c>
      <c r="DV347" s="2" t="s">
        <v>29</v>
      </c>
      <c r="DW347" s="2" t="s">
        <v>29</v>
      </c>
      <c r="DX347" s="2">
        <v>1000</v>
      </c>
      <c r="DY347" s="2"/>
      <c r="DZ347" s="2"/>
      <c r="EA347" s="2"/>
      <c r="EB347" s="2"/>
      <c r="EC347" s="2"/>
      <c r="ED347" s="2"/>
      <c r="EE347" s="2">
        <v>44846587</v>
      </c>
      <c r="EF347" s="2">
        <v>30</v>
      </c>
      <c r="EG347" s="2" t="s">
        <v>38</v>
      </c>
      <c r="EH347" s="2">
        <v>0</v>
      </c>
      <c r="EI347" s="2" t="s">
        <v>3</v>
      </c>
      <c r="EJ347" s="2">
        <v>1</v>
      </c>
      <c r="EK347" s="2">
        <v>80</v>
      </c>
      <c r="EL347" s="2" t="s">
        <v>179</v>
      </c>
      <c r="EM347" s="2" t="s">
        <v>180</v>
      </c>
      <c r="EN347" s="2"/>
      <c r="EO347" s="2" t="s">
        <v>3</v>
      </c>
      <c r="EP347" s="2"/>
      <c r="EQ347" s="2">
        <v>0</v>
      </c>
      <c r="ER347" s="2">
        <v>22533.279999999999</v>
      </c>
      <c r="ES347" s="2">
        <v>22533.279999999999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/>
      <c r="EZ347" s="2"/>
      <c r="FA347" s="2"/>
      <c r="FB347" s="2"/>
      <c r="FC347" s="2"/>
      <c r="FD347" s="2"/>
      <c r="FE347" s="2"/>
      <c r="FF347" s="2"/>
      <c r="FG347" s="2"/>
      <c r="FH347" s="2"/>
      <c r="FI347" s="2"/>
      <c r="FJ347" s="2"/>
      <c r="FK347" s="2"/>
      <c r="FL347" s="2"/>
      <c r="FM347" s="2"/>
      <c r="FN347" s="2"/>
      <c r="FO347" s="2"/>
      <c r="FP347" s="2"/>
      <c r="FQ347" s="2">
        <v>0</v>
      </c>
      <c r="FR347" s="2">
        <f t="shared" si="322"/>
        <v>0</v>
      </c>
      <c r="FS347" s="2">
        <v>0</v>
      </c>
      <c r="FT347" s="2"/>
      <c r="FU347" s="2"/>
      <c r="FV347" s="2"/>
      <c r="FW347" s="2"/>
      <c r="FX347" s="2">
        <v>85</v>
      </c>
      <c r="FY347" s="2">
        <v>70</v>
      </c>
      <c r="FZ347" s="2"/>
      <c r="GA347" s="2" t="s">
        <v>3</v>
      </c>
      <c r="GB347" s="2"/>
      <c r="GC347" s="2"/>
      <c r="GD347" s="2">
        <v>0</v>
      </c>
      <c r="GE347" s="2"/>
      <c r="GF347" s="2">
        <v>1013095188</v>
      </c>
      <c r="GG347" s="2">
        <v>2</v>
      </c>
      <c r="GH347" s="2">
        <v>1</v>
      </c>
      <c r="GI347" s="2">
        <v>3</v>
      </c>
      <c r="GJ347" s="2">
        <v>0</v>
      </c>
      <c r="GK347" s="2">
        <f>ROUND(R347*(R12)/100,2)</f>
        <v>0</v>
      </c>
      <c r="GL347" s="2">
        <f t="shared" si="323"/>
        <v>0</v>
      </c>
      <c r="GM347" s="2">
        <f t="shared" si="324"/>
        <v>512.45000000000005</v>
      </c>
      <c r="GN347" s="2">
        <f t="shared" si="325"/>
        <v>512.45000000000005</v>
      </c>
      <c r="GO347" s="2">
        <f t="shared" si="326"/>
        <v>0</v>
      </c>
      <c r="GP347" s="2">
        <f t="shared" si="327"/>
        <v>0</v>
      </c>
      <c r="GQ347" s="2"/>
      <c r="GR347" s="2">
        <v>0</v>
      </c>
      <c r="GS347" s="2">
        <v>3</v>
      </c>
      <c r="GT347" s="2">
        <v>0</v>
      </c>
      <c r="GU347" s="2" t="s">
        <v>3</v>
      </c>
      <c r="GV347" s="2">
        <f t="shared" si="328"/>
        <v>0</v>
      </c>
      <c r="GW347" s="2">
        <v>1</v>
      </c>
      <c r="GX347" s="2">
        <f t="shared" si="329"/>
        <v>0</v>
      </c>
      <c r="GY347" s="2"/>
      <c r="GZ347" s="2"/>
      <c r="HA347" s="2">
        <v>0</v>
      </c>
      <c r="HB347" s="2">
        <v>0</v>
      </c>
      <c r="HC347" s="2"/>
      <c r="HD347" s="2"/>
      <c r="HE347" s="2"/>
      <c r="HF347" s="2"/>
      <c r="HG347" s="2"/>
      <c r="HH347" s="2"/>
      <c r="HI347" s="2"/>
      <c r="HJ347" s="2"/>
      <c r="HK347" s="2"/>
      <c r="HL347" s="2"/>
      <c r="HM347" s="2"/>
      <c r="HN347" s="2"/>
      <c r="HO347" s="2"/>
      <c r="HP347" s="2"/>
      <c r="HQ347" s="2"/>
      <c r="HR347" s="2"/>
      <c r="HS347" s="2"/>
      <c r="HT347" s="2"/>
      <c r="HU347" s="2"/>
      <c r="HV347" s="2"/>
      <c r="HW347" s="2"/>
      <c r="HX347" s="2"/>
      <c r="HY347" s="2"/>
      <c r="HZ347" s="2"/>
      <c r="IA347" s="2"/>
      <c r="IB347" s="2"/>
      <c r="IC347" s="2"/>
      <c r="ID347" s="2"/>
      <c r="IE347" s="2"/>
      <c r="IF347" s="2"/>
      <c r="IG347" s="2"/>
      <c r="IH347" s="2"/>
      <c r="II347" s="2"/>
      <c r="IJ347" s="2"/>
      <c r="IK347" s="2">
        <v>0</v>
      </c>
      <c r="IL347" s="2"/>
      <c r="IM347" s="2"/>
      <c r="IN347" s="2"/>
      <c r="IO347" s="2"/>
      <c r="IP347" s="2"/>
      <c r="IQ347" s="2"/>
      <c r="IR347" s="2"/>
      <c r="IS347" s="2"/>
      <c r="IT347" s="2"/>
      <c r="IU347" s="2"/>
    </row>
    <row r="348" spans="1:255" x14ac:dyDescent="0.2">
      <c r="A348">
        <v>18</v>
      </c>
      <c r="B348">
        <v>1</v>
      </c>
      <c r="C348">
        <v>361</v>
      </c>
      <c r="E348" t="s">
        <v>428</v>
      </c>
      <c r="F348" t="s">
        <v>429</v>
      </c>
      <c r="G348" t="s">
        <v>430</v>
      </c>
      <c r="H348" t="s">
        <v>29</v>
      </c>
      <c r="I348">
        <f>I346*J348</f>
        <v>2.2741999999999998E-2</v>
      </c>
      <c r="J348">
        <v>8.4229629629629613E-2</v>
      </c>
      <c r="O348">
        <f t="shared" si="296"/>
        <v>2131.8000000000002</v>
      </c>
      <c r="P348">
        <f t="shared" si="297"/>
        <v>2131.8000000000002</v>
      </c>
      <c r="Q348">
        <f t="shared" si="298"/>
        <v>0</v>
      </c>
      <c r="R348">
        <f t="shared" si="299"/>
        <v>0</v>
      </c>
      <c r="S348">
        <f t="shared" si="300"/>
        <v>0</v>
      </c>
      <c r="T348">
        <f t="shared" si="301"/>
        <v>0</v>
      </c>
      <c r="U348">
        <f t="shared" si="302"/>
        <v>0</v>
      </c>
      <c r="V348">
        <f t="shared" si="303"/>
        <v>0</v>
      </c>
      <c r="W348">
        <f t="shared" si="304"/>
        <v>0</v>
      </c>
      <c r="X348">
        <f t="shared" si="305"/>
        <v>0</v>
      </c>
      <c r="Y348">
        <f t="shared" si="306"/>
        <v>0</v>
      </c>
      <c r="AA348">
        <v>45037307</v>
      </c>
      <c r="AB348">
        <f t="shared" si="307"/>
        <v>22533.279999999999</v>
      </c>
      <c r="AC348">
        <f t="shared" si="308"/>
        <v>22533.279999999999</v>
      </c>
      <c r="AD348">
        <f t="shared" si="334"/>
        <v>0</v>
      </c>
      <c r="AE348">
        <f t="shared" si="335"/>
        <v>0</v>
      </c>
      <c r="AF348">
        <f t="shared" si="336"/>
        <v>0</v>
      </c>
      <c r="AG348">
        <f t="shared" si="309"/>
        <v>0</v>
      </c>
      <c r="AH348">
        <f t="shared" si="337"/>
        <v>0</v>
      </c>
      <c r="AI348">
        <f t="shared" si="338"/>
        <v>0</v>
      </c>
      <c r="AJ348">
        <f t="shared" si="310"/>
        <v>0</v>
      </c>
      <c r="AK348">
        <v>22533.279999999999</v>
      </c>
      <c r="AL348">
        <v>22533.279999999999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0</v>
      </c>
      <c r="AU348">
        <v>0</v>
      </c>
      <c r="AV348">
        <v>1</v>
      </c>
      <c r="AW348">
        <v>1</v>
      </c>
      <c r="AZ348">
        <v>1</v>
      </c>
      <c r="BA348">
        <v>1</v>
      </c>
      <c r="BB348">
        <v>1</v>
      </c>
      <c r="BC348">
        <v>4.16</v>
      </c>
      <c r="BD348" t="s">
        <v>3</v>
      </c>
      <c r="BE348" t="s">
        <v>3</v>
      </c>
      <c r="BF348" t="s">
        <v>3</v>
      </c>
      <c r="BG348" t="s">
        <v>3</v>
      </c>
      <c r="BH348">
        <v>3</v>
      </c>
      <c r="BI348">
        <v>1</v>
      </c>
      <c r="BJ348" t="s">
        <v>431</v>
      </c>
      <c r="BM348">
        <v>80</v>
      </c>
      <c r="BN348">
        <v>7156650</v>
      </c>
      <c r="BO348" t="s">
        <v>429</v>
      </c>
      <c r="BP348">
        <v>1</v>
      </c>
      <c r="BQ348">
        <v>30</v>
      </c>
      <c r="BR348">
        <v>0</v>
      </c>
      <c r="BS348">
        <v>1</v>
      </c>
      <c r="BT348">
        <v>1</v>
      </c>
      <c r="BU348">
        <v>1</v>
      </c>
      <c r="BV348">
        <v>1</v>
      </c>
      <c r="BW348">
        <v>1</v>
      </c>
      <c r="BX348">
        <v>1</v>
      </c>
      <c r="BY348" t="s">
        <v>3</v>
      </c>
      <c r="BZ348">
        <v>0</v>
      </c>
      <c r="CA348">
        <v>0</v>
      </c>
      <c r="CF348">
        <v>0</v>
      </c>
      <c r="CG348">
        <v>0</v>
      </c>
      <c r="CM348">
        <v>0</v>
      </c>
      <c r="CN348" t="s">
        <v>3</v>
      </c>
      <c r="CO348">
        <v>0</v>
      </c>
      <c r="CP348">
        <f t="shared" si="311"/>
        <v>2131.8000000000002</v>
      </c>
      <c r="CQ348">
        <f t="shared" si="312"/>
        <v>93738.444799999997</v>
      </c>
      <c r="CR348">
        <f t="shared" si="313"/>
        <v>0</v>
      </c>
      <c r="CS348">
        <f t="shared" si="314"/>
        <v>0</v>
      </c>
      <c r="CT348">
        <f t="shared" si="315"/>
        <v>0</v>
      </c>
      <c r="CU348">
        <f t="shared" si="316"/>
        <v>0</v>
      </c>
      <c r="CV348">
        <f t="shared" si="317"/>
        <v>0</v>
      </c>
      <c r="CW348">
        <f t="shared" si="318"/>
        <v>0</v>
      </c>
      <c r="CX348">
        <f t="shared" si="319"/>
        <v>0</v>
      </c>
      <c r="CY348">
        <f t="shared" si="320"/>
        <v>0</v>
      </c>
      <c r="CZ348">
        <f t="shared" si="321"/>
        <v>0</v>
      </c>
      <c r="DC348" t="s">
        <v>3</v>
      </c>
      <c r="DD348" t="s">
        <v>3</v>
      </c>
      <c r="DE348" t="s">
        <v>3</v>
      </c>
      <c r="DF348" t="s">
        <v>3</v>
      </c>
      <c r="DG348" t="s">
        <v>3</v>
      </c>
      <c r="DH348" t="s">
        <v>3</v>
      </c>
      <c r="DI348" t="s">
        <v>3</v>
      </c>
      <c r="DJ348" t="s">
        <v>3</v>
      </c>
      <c r="DK348" t="s">
        <v>3</v>
      </c>
      <c r="DL348" t="s">
        <v>3</v>
      </c>
      <c r="DM348" t="s">
        <v>3</v>
      </c>
      <c r="DN348">
        <v>85</v>
      </c>
      <c r="DO348">
        <v>70</v>
      </c>
      <c r="DP348">
        <v>1.087</v>
      </c>
      <c r="DQ348">
        <v>1</v>
      </c>
      <c r="DU348">
        <v>1009</v>
      </c>
      <c r="DV348" t="s">
        <v>29</v>
      </c>
      <c r="DW348" t="s">
        <v>29</v>
      </c>
      <c r="DX348">
        <v>1000</v>
      </c>
      <c r="EE348">
        <v>44846587</v>
      </c>
      <c r="EF348">
        <v>30</v>
      </c>
      <c r="EG348" t="s">
        <v>38</v>
      </c>
      <c r="EH348">
        <v>0</v>
      </c>
      <c r="EI348" t="s">
        <v>3</v>
      </c>
      <c r="EJ348">
        <v>1</v>
      </c>
      <c r="EK348">
        <v>80</v>
      </c>
      <c r="EL348" t="s">
        <v>179</v>
      </c>
      <c r="EM348" t="s">
        <v>180</v>
      </c>
      <c r="EO348" t="s">
        <v>3</v>
      </c>
      <c r="EQ348">
        <v>0</v>
      </c>
      <c r="ER348">
        <v>22533.279999999999</v>
      </c>
      <c r="ES348">
        <v>22533.279999999999</v>
      </c>
      <c r="ET348">
        <v>0</v>
      </c>
      <c r="EU348">
        <v>0</v>
      </c>
      <c r="EV348">
        <v>0</v>
      </c>
      <c r="EW348">
        <v>0</v>
      </c>
      <c r="EX348">
        <v>0</v>
      </c>
      <c r="FQ348">
        <v>0</v>
      </c>
      <c r="FR348">
        <f t="shared" si="322"/>
        <v>0</v>
      </c>
      <c r="FS348">
        <v>0</v>
      </c>
      <c r="FX348">
        <v>85</v>
      </c>
      <c r="FY348">
        <v>70</v>
      </c>
      <c r="GA348" t="s">
        <v>3</v>
      </c>
      <c r="GD348">
        <v>0</v>
      </c>
      <c r="GF348">
        <v>1013095188</v>
      </c>
      <c r="GG348">
        <v>2</v>
      </c>
      <c r="GH348">
        <v>1</v>
      </c>
      <c r="GI348">
        <v>3</v>
      </c>
      <c r="GJ348">
        <v>0</v>
      </c>
      <c r="GK348">
        <f>ROUND(R348*(S12)/100,2)</f>
        <v>0</v>
      </c>
      <c r="GL348">
        <f t="shared" si="323"/>
        <v>0</v>
      </c>
      <c r="GM348">
        <f t="shared" si="324"/>
        <v>2131.8000000000002</v>
      </c>
      <c r="GN348">
        <f t="shared" si="325"/>
        <v>2131.8000000000002</v>
      </c>
      <c r="GO348">
        <f t="shared" si="326"/>
        <v>0</v>
      </c>
      <c r="GP348">
        <f t="shared" si="327"/>
        <v>0</v>
      </c>
      <c r="GR348">
        <v>0</v>
      </c>
      <c r="GS348">
        <v>3</v>
      </c>
      <c r="GT348">
        <v>0</v>
      </c>
      <c r="GU348" t="s">
        <v>3</v>
      </c>
      <c r="GV348">
        <f t="shared" si="328"/>
        <v>0</v>
      </c>
      <c r="GW348">
        <v>1</v>
      </c>
      <c r="GX348">
        <f t="shared" si="329"/>
        <v>0</v>
      </c>
      <c r="HA348">
        <v>0</v>
      </c>
      <c r="HB348">
        <v>0</v>
      </c>
      <c r="IK348">
        <v>0</v>
      </c>
    </row>
    <row r="349" spans="1:255" x14ac:dyDescent="0.2">
      <c r="A349" s="2">
        <v>18</v>
      </c>
      <c r="B349" s="2">
        <v>1</v>
      </c>
      <c r="C349" s="2">
        <v>346</v>
      </c>
      <c r="D349" s="2"/>
      <c r="E349" s="2" t="s">
        <v>432</v>
      </c>
      <c r="F349" s="2" t="s">
        <v>433</v>
      </c>
      <c r="G349" s="2" t="s">
        <v>434</v>
      </c>
      <c r="H349" s="2" t="s">
        <v>29</v>
      </c>
      <c r="I349" s="2">
        <f>I345*J349</f>
        <v>0.09</v>
      </c>
      <c r="J349" s="2">
        <v>0.33333333333333331</v>
      </c>
      <c r="K349" s="2"/>
      <c r="L349" s="2"/>
      <c r="M349" s="2"/>
      <c r="N349" s="2"/>
      <c r="O349" s="2">
        <f t="shared" si="296"/>
        <v>1021.95</v>
      </c>
      <c r="P349" s="2">
        <f t="shared" si="297"/>
        <v>1021.95</v>
      </c>
      <c r="Q349" s="2">
        <f t="shared" si="298"/>
        <v>0</v>
      </c>
      <c r="R349" s="2">
        <f t="shared" si="299"/>
        <v>0</v>
      </c>
      <c r="S349" s="2">
        <f t="shared" si="300"/>
        <v>0</v>
      </c>
      <c r="T349" s="2">
        <f t="shared" si="301"/>
        <v>0</v>
      </c>
      <c r="U349" s="2">
        <f t="shared" si="302"/>
        <v>0</v>
      </c>
      <c r="V349" s="2">
        <f t="shared" si="303"/>
        <v>0</v>
      </c>
      <c r="W349" s="2">
        <f t="shared" si="304"/>
        <v>0</v>
      </c>
      <c r="X349" s="2">
        <f t="shared" si="305"/>
        <v>0</v>
      </c>
      <c r="Y349" s="2">
        <f t="shared" si="306"/>
        <v>0</v>
      </c>
      <c r="Z349" s="2"/>
      <c r="AA349" s="2">
        <v>45037306</v>
      </c>
      <c r="AB349" s="2">
        <f t="shared" si="307"/>
        <v>11355</v>
      </c>
      <c r="AC349" s="2">
        <f t="shared" si="308"/>
        <v>11355</v>
      </c>
      <c r="AD349" s="2">
        <f t="shared" si="334"/>
        <v>0</v>
      </c>
      <c r="AE349" s="2">
        <f t="shared" si="335"/>
        <v>0</v>
      </c>
      <c r="AF349" s="2">
        <f t="shared" si="336"/>
        <v>0</v>
      </c>
      <c r="AG349" s="2">
        <f t="shared" si="309"/>
        <v>0</v>
      </c>
      <c r="AH349" s="2">
        <f t="shared" si="337"/>
        <v>0</v>
      </c>
      <c r="AI349" s="2">
        <f t="shared" si="338"/>
        <v>0</v>
      </c>
      <c r="AJ349" s="2">
        <f t="shared" si="310"/>
        <v>0</v>
      </c>
      <c r="AK349" s="2">
        <v>11355</v>
      </c>
      <c r="AL349" s="2">
        <v>11355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1</v>
      </c>
      <c r="AW349" s="2">
        <v>1</v>
      </c>
      <c r="AX349" s="2"/>
      <c r="AY349" s="2"/>
      <c r="AZ349" s="2">
        <v>1</v>
      </c>
      <c r="BA349" s="2">
        <v>1</v>
      </c>
      <c r="BB349" s="2">
        <v>1</v>
      </c>
      <c r="BC349" s="2">
        <v>1</v>
      </c>
      <c r="BD349" s="2" t="s">
        <v>3</v>
      </c>
      <c r="BE349" s="2" t="s">
        <v>3</v>
      </c>
      <c r="BF349" s="2" t="s">
        <v>3</v>
      </c>
      <c r="BG349" s="2" t="s">
        <v>3</v>
      </c>
      <c r="BH349" s="2">
        <v>3</v>
      </c>
      <c r="BI349" s="2">
        <v>1</v>
      </c>
      <c r="BJ349" s="2" t="s">
        <v>435</v>
      </c>
      <c r="BK349" s="2"/>
      <c r="BL349" s="2"/>
      <c r="BM349" s="2">
        <v>80</v>
      </c>
      <c r="BN349" s="2">
        <v>7156650</v>
      </c>
      <c r="BO349" s="2" t="s">
        <v>3</v>
      </c>
      <c r="BP349" s="2">
        <v>0</v>
      </c>
      <c r="BQ349" s="2">
        <v>30</v>
      </c>
      <c r="BR349" s="2">
        <v>0</v>
      </c>
      <c r="BS349" s="2">
        <v>1</v>
      </c>
      <c r="BT349" s="2">
        <v>1</v>
      </c>
      <c r="BU349" s="2">
        <v>1</v>
      </c>
      <c r="BV349" s="2">
        <v>1</v>
      </c>
      <c r="BW349" s="2">
        <v>1</v>
      </c>
      <c r="BX349" s="2">
        <v>1</v>
      </c>
      <c r="BY349" s="2" t="s">
        <v>3</v>
      </c>
      <c r="BZ349" s="2">
        <v>0</v>
      </c>
      <c r="CA349" s="2">
        <v>0</v>
      </c>
      <c r="CB349" s="2"/>
      <c r="CC349" s="2"/>
      <c r="CD349" s="2"/>
      <c r="CE349" s="2"/>
      <c r="CF349" s="2">
        <v>0</v>
      </c>
      <c r="CG349" s="2">
        <v>0</v>
      </c>
      <c r="CH349" s="2"/>
      <c r="CI349" s="2"/>
      <c r="CJ349" s="2"/>
      <c r="CK349" s="2"/>
      <c r="CL349" s="2"/>
      <c r="CM349" s="2">
        <v>0</v>
      </c>
      <c r="CN349" s="2" t="s">
        <v>3</v>
      </c>
      <c r="CO349" s="2">
        <v>0</v>
      </c>
      <c r="CP349" s="2">
        <f t="shared" si="311"/>
        <v>1021.95</v>
      </c>
      <c r="CQ349" s="2">
        <f t="shared" si="312"/>
        <v>11355</v>
      </c>
      <c r="CR349" s="2">
        <f t="shared" si="313"/>
        <v>0</v>
      </c>
      <c r="CS349" s="2">
        <f t="shared" si="314"/>
        <v>0</v>
      </c>
      <c r="CT349" s="2">
        <f t="shared" si="315"/>
        <v>0</v>
      </c>
      <c r="CU349" s="2">
        <f t="shared" si="316"/>
        <v>0</v>
      </c>
      <c r="CV349" s="2">
        <f t="shared" si="317"/>
        <v>0</v>
      </c>
      <c r="CW349" s="2">
        <f t="shared" si="318"/>
        <v>0</v>
      </c>
      <c r="CX349" s="2">
        <f t="shared" si="319"/>
        <v>0</v>
      </c>
      <c r="CY349" s="2">
        <f t="shared" si="320"/>
        <v>0</v>
      </c>
      <c r="CZ349" s="2">
        <f t="shared" si="321"/>
        <v>0</v>
      </c>
      <c r="DA349" s="2"/>
      <c r="DB349" s="2"/>
      <c r="DC349" s="2" t="s">
        <v>3</v>
      </c>
      <c r="DD349" s="2" t="s">
        <v>3</v>
      </c>
      <c r="DE349" s="2" t="s">
        <v>3</v>
      </c>
      <c r="DF349" s="2" t="s">
        <v>3</v>
      </c>
      <c r="DG349" s="2" t="s">
        <v>3</v>
      </c>
      <c r="DH349" s="2" t="s">
        <v>3</v>
      </c>
      <c r="DI349" s="2" t="s">
        <v>3</v>
      </c>
      <c r="DJ349" s="2" t="s">
        <v>3</v>
      </c>
      <c r="DK349" s="2" t="s">
        <v>3</v>
      </c>
      <c r="DL349" s="2" t="s">
        <v>3</v>
      </c>
      <c r="DM349" s="2" t="s">
        <v>3</v>
      </c>
      <c r="DN349" s="2">
        <v>85</v>
      </c>
      <c r="DO349" s="2">
        <v>70</v>
      </c>
      <c r="DP349" s="2">
        <v>1.087</v>
      </c>
      <c r="DQ349" s="2">
        <v>1</v>
      </c>
      <c r="DR349" s="2"/>
      <c r="DS349" s="2"/>
      <c r="DT349" s="2"/>
      <c r="DU349" s="2">
        <v>1009</v>
      </c>
      <c r="DV349" s="2" t="s">
        <v>29</v>
      </c>
      <c r="DW349" s="2" t="s">
        <v>29</v>
      </c>
      <c r="DX349" s="2">
        <v>1000</v>
      </c>
      <c r="DY349" s="2"/>
      <c r="DZ349" s="2"/>
      <c r="EA349" s="2"/>
      <c r="EB349" s="2"/>
      <c r="EC349" s="2"/>
      <c r="ED349" s="2"/>
      <c r="EE349" s="2">
        <v>44846587</v>
      </c>
      <c r="EF349" s="2">
        <v>30</v>
      </c>
      <c r="EG349" s="2" t="s">
        <v>38</v>
      </c>
      <c r="EH349" s="2">
        <v>0</v>
      </c>
      <c r="EI349" s="2" t="s">
        <v>3</v>
      </c>
      <c r="EJ349" s="2">
        <v>1</v>
      </c>
      <c r="EK349" s="2">
        <v>80</v>
      </c>
      <c r="EL349" s="2" t="s">
        <v>179</v>
      </c>
      <c r="EM349" s="2" t="s">
        <v>180</v>
      </c>
      <c r="EN349" s="2"/>
      <c r="EO349" s="2" t="s">
        <v>3</v>
      </c>
      <c r="EP349" s="2"/>
      <c r="EQ349" s="2">
        <v>0</v>
      </c>
      <c r="ER349" s="2">
        <v>11355</v>
      </c>
      <c r="ES349" s="2">
        <v>11355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/>
      <c r="EZ349" s="2"/>
      <c r="FA349" s="2"/>
      <c r="FB349" s="2"/>
      <c r="FC349" s="2"/>
      <c r="FD349" s="2"/>
      <c r="FE349" s="2"/>
      <c r="FF349" s="2"/>
      <c r="FG349" s="2"/>
      <c r="FH349" s="2"/>
      <c r="FI349" s="2"/>
      <c r="FJ349" s="2"/>
      <c r="FK349" s="2"/>
      <c r="FL349" s="2"/>
      <c r="FM349" s="2"/>
      <c r="FN349" s="2"/>
      <c r="FO349" s="2"/>
      <c r="FP349" s="2"/>
      <c r="FQ349" s="2">
        <v>0</v>
      </c>
      <c r="FR349" s="2">
        <f t="shared" si="322"/>
        <v>0</v>
      </c>
      <c r="FS349" s="2">
        <v>0</v>
      </c>
      <c r="FT349" s="2"/>
      <c r="FU349" s="2"/>
      <c r="FV349" s="2"/>
      <c r="FW349" s="2"/>
      <c r="FX349" s="2">
        <v>85</v>
      </c>
      <c r="FY349" s="2">
        <v>70</v>
      </c>
      <c r="FZ349" s="2"/>
      <c r="GA349" s="2" t="s">
        <v>3</v>
      </c>
      <c r="GB349" s="2"/>
      <c r="GC349" s="2"/>
      <c r="GD349" s="2">
        <v>0</v>
      </c>
      <c r="GE349" s="2"/>
      <c r="GF349" s="2">
        <v>1654847958</v>
      </c>
      <c r="GG349" s="2">
        <v>2</v>
      </c>
      <c r="GH349" s="2">
        <v>1</v>
      </c>
      <c r="GI349" s="2">
        <v>3</v>
      </c>
      <c r="GJ349" s="2">
        <v>0</v>
      </c>
      <c r="GK349" s="2">
        <f>ROUND(R349*(R12)/100,2)</f>
        <v>0</v>
      </c>
      <c r="GL349" s="2">
        <f t="shared" si="323"/>
        <v>0</v>
      </c>
      <c r="GM349" s="2">
        <f t="shared" si="324"/>
        <v>1021.95</v>
      </c>
      <c r="GN349" s="2">
        <f t="shared" si="325"/>
        <v>1021.95</v>
      </c>
      <c r="GO349" s="2">
        <f t="shared" si="326"/>
        <v>0</v>
      </c>
      <c r="GP349" s="2">
        <f t="shared" si="327"/>
        <v>0</v>
      </c>
      <c r="GQ349" s="2"/>
      <c r="GR349" s="2">
        <v>0</v>
      </c>
      <c r="GS349" s="2">
        <v>3</v>
      </c>
      <c r="GT349" s="2">
        <v>0</v>
      </c>
      <c r="GU349" s="2" t="s">
        <v>3</v>
      </c>
      <c r="GV349" s="2">
        <f t="shared" si="328"/>
        <v>0</v>
      </c>
      <c r="GW349" s="2">
        <v>1</v>
      </c>
      <c r="GX349" s="2">
        <f t="shared" si="329"/>
        <v>0</v>
      </c>
      <c r="GY349" s="2"/>
      <c r="GZ349" s="2"/>
      <c r="HA349" s="2">
        <v>0</v>
      </c>
      <c r="HB349" s="2">
        <v>0</v>
      </c>
      <c r="HC349" s="2"/>
      <c r="HD349" s="2"/>
      <c r="HE349" s="2"/>
      <c r="HF349" s="2"/>
      <c r="HG349" s="2"/>
      <c r="HH349" s="2"/>
      <c r="HI349" s="2"/>
      <c r="HJ349" s="2"/>
      <c r="HK349" s="2"/>
      <c r="HL349" s="2"/>
      <c r="HM349" s="2"/>
      <c r="HN349" s="2"/>
      <c r="HO349" s="2"/>
      <c r="HP349" s="2"/>
      <c r="HQ349" s="2"/>
      <c r="HR349" s="2"/>
      <c r="HS349" s="2"/>
      <c r="HT349" s="2"/>
      <c r="HU349" s="2"/>
      <c r="HV349" s="2"/>
      <c r="HW349" s="2"/>
      <c r="HX349" s="2"/>
      <c r="HY349" s="2"/>
      <c r="HZ349" s="2"/>
      <c r="IA349" s="2"/>
      <c r="IB349" s="2"/>
      <c r="IC349" s="2"/>
      <c r="ID349" s="2"/>
      <c r="IE349" s="2"/>
      <c r="IF349" s="2"/>
      <c r="IG349" s="2"/>
      <c r="IH349" s="2"/>
      <c r="II349" s="2"/>
      <c r="IJ349" s="2"/>
      <c r="IK349" s="2">
        <v>0</v>
      </c>
      <c r="IL349" s="2"/>
      <c r="IM349" s="2"/>
      <c r="IN349" s="2"/>
      <c r="IO349" s="2"/>
      <c r="IP349" s="2"/>
      <c r="IQ349" s="2"/>
      <c r="IR349" s="2"/>
      <c r="IS349" s="2"/>
      <c r="IT349" s="2"/>
      <c r="IU349" s="2"/>
    </row>
    <row r="350" spans="1:255" x14ac:dyDescent="0.2">
      <c r="A350">
        <v>18</v>
      </c>
      <c r="B350">
        <v>1</v>
      </c>
      <c r="C350">
        <v>360</v>
      </c>
      <c r="E350" t="s">
        <v>432</v>
      </c>
      <c r="F350" t="s">
        <v>433</v>
      </c>
      <c r="G350" t="s">
        <v>434</v>
      </c>
      <c r="H350" t="s">
        <v>29</v>
      </c>
      <c r="I350">
        <f>I346*J350</f>
        <v>0.09</v>
      </c>
      <c r="J350">
        <v>0.33333333333333331</v>
      </c>
      <c r="O350">
        <f t="shared" si="296"/>
        <v>3188.48</v>
      </c>
      <c r="P350">
        <f t="shared" si="297"/>
        <v>3188.48</v>
      </c>
      <c r="Q350">
        <f t="shared" si="298"/>
        <v>0</v>
      </c>
      <c r="R350">
        <f t="shared" si="299"/>
        <v>0</v>
      </c>
      <c r="S350">
        <f t="shared" si="300"/>
        <v>0</v>
      </c>
      <c r="T350">
        <f t="shared" si="301"/>
        <v>0</v>
      </c>
      <c r="U350">
        <f t="shared" si="302"/>
        <v>0</v>
      </c>
      <c r="V350">
        <f t="shared" si="303"/>
        <v>0</v>
      </c>
      <c r="W350">
        <f t="shared" si="304"/>
        <v>0</v>
      </c>
      <c r="X350">
        <f t="shared" si="305"/>
        <v>0</v>
      </c>
      <c r="Y350">
        <f t="shared" si="306"/>
        <v>0</v>
      </c>
      <c r="AA350">
        <v>45037307</v>
      </c>
      <c r="AB350">
        <f t="shared" si="307"/>
        <v>11355</v>
      </c>
      <c r="AC350">
        <f t="shared" si="308"/>
        <v>11355</v>
      </c>
      <c r="AD350">
        <f t="shared" si="334"/>
        <v>0</v>
      </c>
      <c r="AE350">
        <f t="shared" si="335"/>
        <v>0</v>
      </c>
      <c r="AF350">
        <f t="shared" si="336"/>
        <v>0</v>
      </c>
      <c r="AG350">
        <f t="shared" si="309"/>
        <v>0</v>
      </c>
      <c r="AH350">
        <f t="shared" si="337"/>
        <v>0</v>
      </c>
      <c r="AI350">
        <f t="shared" si="338"/>
        <v>0</v>
      </c>
      <c r="AJ350">
        <f t="shared" si="310"/>
        <v>0</v>
      </c>
      <c r="AK350">
        <v>11355</v>
      </c>
      <c r="AL350">
        <v>11355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0</v>
      </c>
      <c r="AU350">
        <v>0</v>
      </c>
      <c r="AV350">
        <v>1</v>
      </c>
      <c r="AW350">
        <v>1</v>
      </c>
      <c r="AZ350">
        <v>1</v>
      </c>
      <c r="BA350">
        <v>1</v>
      </c>
      <c r="BB350">
        <v>1</v>
      </c>
      <c r="BC350">
        <v>3.12</v>
      </c>
      <c r="BD350" t="s">
        <v>3</v>
      </c>
      <c r="BE350" t="s">
        <v>3</v>
      </c>
      <c r="BF350" t="s">
        <v>3</v>
      </c>
      <c r="BG350" t="s">
        <v>3</v>
      </c>
      <c r="BH350">
        <v>3</v>
      </c>
      <c r="BI350">
        <v>1</v>
      </c>
      <c r="BJ350" t="s">
        <v>435</v>
      </c>
      <c r="BM350">
        <v>80</v>
      </c>
      <c r="BN350">
        <v>7156650</v>
      </c>
      <c r="BO350" t="s">
        <v>433</v>
      </c>
      <c r="BP350">
        <v>1</v>
      </c>
      <c r="BQ350">
        <v>30</v>
      </c>
      <c r="BR350">
        <v>0</v>
      </c>
      <c r="BS350">
        <v>1</v>
      </c>
      <c r="BT350">
        <v>1</v>
      </c>
      <c r="BU350">
        <v>1</v>
      </c>
      <c r="BV350">
        <v>1</v>
      </c>
      <c r="BW350">
        <v>1</v>
      </c>
      <c r="BX350">
        <v>1</v>
      </c>
      <c r="BY350" t="s">
        <v>3</v>
      </c>
      <c r="BZ350">
        <v>0</v>
      </c>
      <c r="CA350">
        <v>0</v>
      </c>
      <c r="CF350">
        <v>0</v>
      </c>
      <c r="CG350">
        <v>0</v>
      </c>
      <c r="CM350">
        <v>0</v>
      </c>
      <c r="CN350" t="s">
        <v>3</v>
      </c>
      <c r="CO350">
        <v>0</v>
      </c>
      <c r="CP350">
        <f t="shared" si="311"/>
        <v>3188.48</v>
      </c>
      <c r="CQ350">
        <f t="shared" si="312"/>
        <v>35427.599999999999</v>
      </c>
      <c r="CR350">
        <f t="shared" si="313"/>
        <v>0</v>
      </c>
      <c r="CS350">
        <f t="shared" si="314"/>
        <v>0</v>
      </c>
      <c r="CT350">
        <f t="shared" si="315"/>
        <v>0</v>
      </c>
      <c r="CU350">
        <f t="shared" si="316"/>
        <v>0</v>
      </c>
      <c r="CV350">
        <f t="shared" si="317"/>
        <v>0</v>
      </c>
      <c r="CW350">
        <f t="shared" si="318"/>
        <v>0</v>
      </c>
      <c r="CX350">
        <f t="shared" si="319"/>
        <v>0</v>
      </c>
      <c r="CY350">
        <f t="shared" si="320"/>
        <v>0</v>
      </c>
      <c r="CZ350">
        <f t="shared" si="321"/>
        <v>0</v>
      </c>
      <c r="DC350" t="s">
        <v>3</v>
      </c>
      <c r="DD350" t="s">
        <v>3</v>
      </c>
      <c r="DE350" t="s">
        <v>3</v>
      </c>
      <c r="DF350" t="s">
        <v>3</v>
      </c>
      <c r="DG350" t="s">
        <v>3</v>
      </c>
      <c r="DH350" t="s">
        <v>3</v>
      </c>
      <c r="DI350" t="s">
        <v>3</v>
      </c>
      <c r="DJ350" t="s">
        <v>3</v>
      </c>
      <c r="DK350" t="s">
        <v>3</v>
      </c>
      <c r="DL350" t="s">
        <v>3</v>
      </c>
      <c r="DM350" t="s">
        <v>3</v>
      </c>
      <c r="DN350">
        <v>85</v>
      </c>
      <c r="DO350">
        <v>70</v>
      </c>
      <c r="DP350">
        <v>1.087</v>
      </c>
      <c r="DQ350">
        <v>1</v>
      </c>
      <c r="DU350">
        <v>1009</v>
      </c>
      <c r="DV350" t="s">
        <v>29</v>
      </c>
      <c r="DW350" t="s">
        <v>29</v>
      </c>
      <c r="DX350">
        <v>1000</v>
      </c>
      <c r="EE350">
        <v>44846587</v>
      </c>
      <c r="EF350">
        <v>30</v>
      </c>
      <c r="EG350" t="s">
        <v>38</v>
      </c>
      <c r="EH350">
        <v>0</v>
      </c>
      <c r="EI350" t="s">
        <v>3</v>
      </c>
      <c r="EJ350">
        <v>1</v>
      </c>
      <c r="EK350">
        <v>80</v>
      </c>
      <c r="EL350" t="s">
        <v>179</v>
      </c>
      <c r="EM350" t="s">
        <v>180</v>
      </c>
      <c r="EO350" t="s">
        <v>3</v>
      </c>
      <c r="EQ350">
        <v>0</v>
      </c>
      <c r="ER350">
        <v>11355</v>
      </c>
      <c r="ES350">
        <v>11355</v>
      </c>
      <c r="ET350">
        <v>0</v>
      </c>
      <c r="EU350">
        <v>0</v>
      </c>
      <c r="EV350">
        <v>0</v>
      </c>
      <c r="EW350">
        <v>0</v>
      </c>
      <c r="EX350">
        <v>0</v>
      </c>
      <c r="FQ350">
        <v>0</v>
      </c>
      <c r="FR350">
        <f t="shared" si="322"/>
        <v>0</v>
      </c>
      <c r="FS350">
        <v>0</v>
      </c>
      <c r="FX350">
        <v>85</v>
      </c>
      <c r="FY350">
        <v>70</v>
      </c>
      <c r="GA350" t="s">
        <v>3</v>
      </c>
      <c r="GD350">
        <v>0</v>
      </c>
      <c r="GF350">
        <v>1654847958</v>
      </c>
      <c r="GG350">
        <v>2</v>
      </c>
      <c r="GH350">
        <v>1</v>
      </c>
      <c r="GI350">
        <v>3</v>
      </c>
      <c r="GJ350">
        <v>0</v>
      </c>
      <c r="GK350">
        <f>ROUND(R350*(S12)/100,2)</f>
        <v>0</v>
      </c>
      <c r="GL350">
        <f t="shared" si="323"/>
        <v>0</v>
      </c>
      <c r="GM350">
        <f t="shared" si="324"/>
        <v>3188.48</v>
      </c>
      <c r="GN350">
        <f t="shared" si="325"/>
        <v>3188.48</v>
      </c>
      <c r="GO350">
        <f t="shared" si="326"/>
        <v>0</v>
      </c>
      <c r="GP350">
        <f t="shared" si="327"/>
        <v>0</v>
      </c>
      <c r="GR350">
        <v>0</v>
      </c>
      <c r="GS350">
        <v>3</v>
      </c>
      <c r="GT350">
        <v>0</v>
      </c>
      <c r="GU350" t="s">
        <v>3</v>
      </c>
      <c r="GV350">
        <f t="shared" si="328"/>
        <v>0</v>
      </c>
      <c r="GW350">
        <v>1</v>
      </c>
      <c r="GX350">
        <f t="shared" si="329"/>
        <v>0</v>
      </c>
      <c r="HA350">
        <v>0</v>
      </c>
      <c r="HB350">
        <v>0</v>
      </c>
      <c r="IK350">
        <v>0</v>
      </c>
    </row>
    <row r="351" spans="1:255" x14ac:dyDescent="0.2">
      <c r="A351" s="2">
        <v>18</v>
      </c>
      <c r="B351" s="2">
        <v>1</v>
      </c>
      <c r="C351" s="2">
        <v>344</v>
      </c>
      <c r="D351" s="2"/>
      <c r="E351" s="2" t="s">
        <v>436</v>
      </c>
      <c r="F351" s="2" t="s">
        <v>437</v>
      </c>
      <c r="G351" s="2" t="s">
        <v>438</v>
      </c>
      <c r="H351" s="2" t="s">
        <v>29</v>
      </c>
      <c r="I351" s="2">
        <f>I345*J351</f>
        <v>0.08</v>
      </c>
      <c r="J351" s="2">
        <v>0.29629629629629628</v>
      </c>
      <c r="K351" s="2"/>
      <c r="L351" s="2"/>
      <c r="M351" s="2"/>
      <c r="N351" s="2"/>
      <c r="O351" s="2">
        <f t="shared" si="296"/>
        <v>713.17</v>
      </c>
      <c r="P351" s="2">
        <f t="shared" si="297"/>
        <v>713.17</v>
      </c>
      <c r="Q351" s="2">
        <f t="shared" si="298"/>
        <v>0</v>
      </c>
      <c r="R351" s="2">
        <f t="shared" si="299"/>
        <v>0</v>
      </c>
      <c r="S351" s="2">
        <f t="shared" si="300"/>
        <v>0</v>
      </c>
      <c r="T351" s="2">
        <f t="shared" si="301"/>
        <v>0</v>
      </c>
      <c r="U351" s="2">
        <f t="shared" si="302"/>
        <v>0</v>
      </c>
      <c r="V351" s="2">
        <f t="shared" si="303"/>
        <v>0</v>
      </c>
      <c r="W351" s="2">
        <f t="shared" si="304"/>
        <v>0</v>
      </c>
      <c r="X351" s="2">
        <f t="shared" si="305"/>
        <v>0</v>
      </c>
      <c r="Y351" s="2">
        <f t="shared" si="306"/>
        <v>0</v>
      </c>
      <c r="Z351" s="2"/>
      <c r="AA351" s="2">
        <v>45037306</v>
      </c>
      <c r="AB351" s="2">
        <f t="shared" si="307"/>
        <v>8914.6</v>
      </c>
      <c r="AC351" s="2">
        <f t="shared" si="308"/>
        <v>8914.6</v>
      </c>
      <c r="AD351" s="2">
        <f t="shared" si="334"/>
        <v>0</v>
      </c>
      <c r="AE351" s="2">
        <f t="shared" si="335"/>
        <v>0</v>
      </c>
      <c r="AF351" s="2">
        <f t="shared" si="336"/>
        <v>0</v>
      </c>
      <c r="AG351" s="2">
        <f t="shared" si="309"/>
        <v>0</v>
      </c>
      <c r="AH351" s="2">
        <f t="shared" si="337"/>
        <v>0</v>
      </c>
      <c r="AI351" s="2">
        <f t="shared" si="338"/>
        <v>0</v>
      </c>
      <c r="AJ351" s="2">
        <f t="shared" si="310"/>
        <v>0</v>
      </c>
      <c r="AK351" s="2">
        <v>8914.6</v>
      </c>
      <c r="AL351" s="2">
        <v>8914.6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1</v>
      </c>
      <c r="AW351" s="2">
        <v>1</v>
      </c>
      <c r="AX351" s="2"/>
      <c r="AY351" s="2"/>
      <c r="AZ351" s="2">
        <v>1</v>
      </c>
      <c r="BA351" s="2">
        <v>1</v>
      </c>
      <c r="BB351" s="2">
        <v>1</v>
      </c>
      <c r="BC351" s="2">
        <v>1</v>
      </c>
      <c r="BD351" s="2" t="s">
        <v>3</v>
      </c>
      <c r="BE351" s="2" t="s">
        <v>3</v>
      </c>
      <c r="BF351" s="2" t="s">
        <v>3</v>
      </c>
      <c r="BG351" s="2" t="s">
        <v>3</v>
      </c>
      <c r="BH351" s="2">
        <v>3</v>
      </c>
      <c r="BI351" s="2">
        <v>1</v>
      </c>
      <c r="BJ351" s="2" t="s">
        <v>439</v>
      </c>
      <c r="BK351" s="2"/>
      <c r="BL351" s="2"/>
      <c r="BM351" s="2">
        <v>80</v>
      </c>
      <c r="BN351" s="2">
        <v>7156650</v>
      </c>
      <c r="BO351" s="2" t="s">
        <v>3</v>
      </c>
      <c r="BP351" s="2">
        <v>0</v>
      </c>
      <c r="BQ351" s="2">
        <v>30</v>
      </c>
      <c r="BR351" s="2">
        <v>0</v>
      </c>
      <c r="BS351" s="2">
        <v>1</v>
      </c>
      <c r="BT351" s="2">
        <v>1</v>
      </c>
      <c r="BU351" s="2">
        <v>1</v>
      </c>
      <c r="BV351" s="2">
        <v>1</v>
      </c>
      <c r="BW351" s="2">
        <v>1</v>
      </c>
      <c r="BX351" s="2">
        <v>1</v>
      </c>
      <c r="BY351" s="2" t="s">
        <v>3</v>
      </c>
      <c r="BZ351" s="2">
        <v>0</v>
      </c>
      <c r="CA351" s="2">
        <v>0</v>
      </c>
      <c r="CB351" s="2"/>
      <c r="CC351" s="2"/>
      <c r="CD351" s="2"/>
      <c r="CE351" s="2"/>
      <c r="CF351" s="2">
        <v>0</v>
      </c>
      <c r="CG351" s="2">
        <v>0</v>
      </c>
      <c r="CH351" s="2"/>
      <c r="CI351" s="2"/>
      <c r="CJ351" s="2"/>
      <c r="CK351" s="2"/>
      <c r="CL351" s="2"/>
      <c r="CM351" s="2">
        <v>0</v>
      </c>
      <c r="CN351" s="2" t="s">
        <v>3</v>
      </c>
      <c r="CO351" s="2">
        <v>0</v>
      </c>
      <c r="CP351" s="2">
        <f t="shared" si="311"/>
        <v>713.17</v>
      </c>
      <c r="CQ351" s="2">
        <f t="shared" si="312"/>
        <v>8914.6</v>
      </c>
      <c r="CR351" s="2">
        <f t="shared" si="313"/>
        <v>0</v>
      </c>
      <c r="CS351" s="2">
        <f t="shared" si="314"/>
        <v>0</v>
      </c>
      <c r="CT351" s="2">
        <f t="shared" si="315"/>
        <v>0</v>
      </c>
      <c r="CU351" s="2">
        <f t="shared" si="316"/>
        <v>0</v>
      </c>
      <c r="CV351" s="2">
        <f t="shared" si="317"/>
        <v>0</v>
      </c>
      <c r="CW351" s="2">
        <f t="shared" si="318"/>
        <v>0</v>
      </c>
      <c r="CX351" s="2">
        <f t="shared" si="319"/>
        <v>0</v>
      </c>
      <c r="CY351" s="2">
        <f t="shared" si="320"/>
        <v>0</v>
      </c>
      <c r="CZ351" s="2">
        <f t="shared" si="321"/>
        <v>0</v>
      </c>
      <c r="DA351" s="2"/>
      <c r="DB351" s="2"/>
      <c r="DC351" s="2" t="s">
        <v>3</v>
      </c>
      <c r="DD351" s="2" t="s">
        <v>3</v>
      </c>
      <c r="DE351" s="2" t="s">
        <v>3</v>
      </c>
      <c r="DF351" s="2" t="s">
        <v>3</v>
      </c>
      <c r="DG351" s="2" t="s">
        <v>3</v>
      </c>
      <c r="DH351" s="2" t="s">
        <v>3</v>
      </c>
      <c r="DI351" s="2" t="s">
        <v>3</v>
      </c>
      <c r="DJ351" s="2" t="s">
        <v>3</v>
      </c>
      <c r="DK351" s="2" t="s">
        <v>3</v>
      </c>
      <c r="DL351" s="2" t="s">
        <v>3</v>
      </c>
      <c r="DM351" s="2" t="s">
        <v>3</v>
      </c>
      <c r="DN351" s="2">
        <v>85</v>
      </c>
      <c r="DO351" s="2">
        <v>70</v>
      </c>
      <c r="DP351" s="2">
        <v>1.087</v>
      </c>
      <c r="DQ351" s="2">
        <v>1</v>
      </c>
      <c r="DR351" s="2"/>
      <c r="DS351" s="2"/>
      <c r="DT351" s="2"/>
      <c r="DU351" s="2">
        <v>1009</v>
      </c>
      <c r="DV351" s="2" t="s">
        <v>29</v>
      </c>
      <c r="DW351" s="2" t="s">
        <v>29</v>
      </c>
      <c r="DX351" s="2">
        <v>1000</v>
      </c>
      <c r="DY351" s="2"/>
      <c r="DZ351" s="2"/>
      <c r="EA351" s="2"/>
      <c r="EB351" s="2"/>
      <c r="EC351" s="2"/>
      <c r="ED351" s="2"/>
      <c r="EE351" s="2">
        <v>44846587</v>
      </c>
      <c r="EF351" s="2">
        <v>30</v>
      </c>
      <c r="EG351" s="2" t="s">
        <v>38</v>
      </c>
      <c r="EH351" s="2">
        <v>0</v>
      </c>
      <c r="EI351" s="2" t="s">
        <v>3</v>
      </c>
      <c r="EJ351" s="2">
        <v>1</v>
      </c>
      <c r="EK351" s="2">
        <v>80</v>
      </c>
      <c r="EL351" s="2" t="s">
        <v>179</v>
      </c>
      <c r="EM351" s="2" t="s">
        <v>180</v>
      </c>
      <c r="EN351" s="2"/>
      <c r="EO351" s="2" t="s">
        <v>3</v>
      </c>
      <c r="EP351" s="2"/>
      <c r="EQ351" s="2">
        <v>0</v>
      </c>
      <c r="ER351" s="2">
        <v>8914.6</v>
      </c>
      <c r="ES351" s="2">
        <v>8914.6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/>
      <c r="EZ351" s="2"/>
      <c r="FA351" s="2"/>
      <c r="FB351" s="2"/>
      <c r="FC351" s="2"/>
      <c r="FD351" s="2"/>
      <c r="FE351" s="2"/>
      <c r="FF351" s="2"/>
      <c r="FG351" s="2"/>
      <c r="FH351" s="2"/>
      <c r="FI351" s="2"/>
      <c r="FJ351" s="2"/>
      <c r="FK351" s="2"/>
      <c r="FL351" s="2"/>
      <c r="FM351" s="2"/>
      <c r="FN351" s="2"/>
      <c r="FO351" s="2"/>
      <c r="FP351" s="2"/>
      <c r="FQ351" s="2">
        <v>0</v>
      </c>
      <c r="FR351" s="2">
        <f t="shared" si="322"/>
        <v>0</v>
      </c>
      <c r="FS351" s="2">
        <v>0</v>
      </c>
      <c r="FT351" s="2"/>
      <c r="FU351" s="2"/>
      <c r="FV351" s="2"/>
      <c r="FW351" s="2"/>
      <c r="FX351" s="2">
        <v>85</v>
      </c>
      <c r="FY351" s="2">
        <v>70</v>
      </c>
      <c r="FZ351" s="2"/>
      <c r="GA351" s="2" t="s">
        <v>3</v>
      </c>
      <c r="GB351" s="2"/>
      <c r="GC351" s="2"/>
      <c r="GD351" s="2">
        <v>0</v>
      </c>
      <c r="GE351" s="2"/>
      <c r="GF351" s="2">
        <v>-776206429</v>
      </c>
      <c r="GG351" s="2">
        <v>2</v>
      </c>
      <c r="GH351" s="2">
        <v>1</v>
      </c>
      <c r="GI351" s="2">
        <v>3</v>
      </c>
      <c r="GJ351" s="2">
        <v>0</v>
      </c>
      <c r="GK351" s="2">
        <f>ROUND(R351*(R12)/100,2)</f>
        <v>0</v>
      </c>
      <c r="GL351" s="2">
        <f t="shared" si="323"/>
        <v>0</v>
      </c>
      <c r="GM351" s="2">
        <f t="shared" si="324"/>
        <v>713.17</v>
      </c>
      <c r="GN351" s="2">
        <f t="shared" si="325"/>
        <v>713.17</v>
      </c>
      <c r="GO351" s="2">
        <f t="shared" si="326"/>
        <v>0</v>
      </c>
      <c r="GP351" s="2">
        <f t="shared" si="327"/>
        <v>0</v>
      </c>
      <c r="GQ351" s="2"/>
      <c r="GR351" s="2">
        <v>0</v>
      </c>
      <c r="GS351" s="2">
        <v>3</v>
      </c>
      <c r="GT351" s="2">
        <v>0</v>
      </c>
      <c r="GU351" s="2" t="s">
        <v>3</v>
      </c>
      <c r="GV351" s="2">
        <f t="shared" si="328"/>
        <v>0</v>
      </c>
      <c r="GW351" s="2">
        <v>1</v>
      </c>
      <c r="GX351" s="2">
        <f t="shared" si="329"/>
        <v>0</v>
      </c>
      <c r="GY351" s="2"/>
      <c r="GZ351" s="2"/>
      <c r="HA351" s="2">
        <v>0</v>
      </c>
      <c r="HB351" s="2">
        <v>0</v>
      </c>
      <c r="HC351" s="2"/>
      <c r="HD351" s="2"/>
      <c r="HE351" s="2"/>
      <c r="HF351" s="2"/>
      <c r="HG351" s="2"/>
      <c r="HH351" s="2"/>
      <c r="HI351" s="2"/>
      <c r="HJ351" s="2"/>
      <c r="HK351" s="2"/>
      <c r="HL351" s="2"/>
      <c r="HM351" s="2"/>
      <c r="HN351" s="2"/>
      <c r="HO351" s="2"/>
      <c r="HP351" s="2"/>
      <c r="HQ351" s="2"/>
      <c r="HR351" s="2"/>
      <c r="HS351" s="2"/>
      <c r="HT351" s="2"/>
      <c r="HU351" s="2"/>
      <c r="HV351" s="2"/>
      <c r="HW351" s="2"/>
      <c r="HX351" s="2"/>
      <c r="HY351" s="2"/>
      <c r="HZ351" s="2"/>
      <c r="IA351" s="2"/>
      <c r="IB351" s="2"/>
      <c r="IC351" s="2"/>
      <c r="ID351" s="2"/>
      <c r="IE351" s="2"/>
      <c r="IF351" s="2"/>
      <c r="IG351" s="2"/>
      <c r="IH351" s="2"/>
      <c r="II351" s="2"/>
      <c r="IJ351" s="2"/>
      <c r="IK351" s="2">
        <v>0</v>
      </c>
      <c r="IL351" s="2"/>
      <c r="IM351" s="2"/>
      <c r="IN351" s="2"/>
      <c r="IO351" s="2"/>
      <c r="IP351" s="2"/>
      <c r="IQ351" s="2"/>
      <c r="IR351" s="2"/>
      <c r="IS351" s="2"/>
      <c r="IT351" s="2"/>
      <c r="IU351" s="2"/>
    </row>
    <row r="352" spans="1:255" x14ac:dyDescent="0.2">
      <c r="A352">
        <v>18</v>
      </c>
      <c r="B352">
        <v>1</v>
      </c>
      <c r="C352">
        <v>358</v>
      </c>
      <c r="E352" t="s">
        <v>436</v>
      </c>
      <c r="F352" t="s">
        <v>437</v>
      </c>
      <c r="G352" t="s">
        <v>438</v>
      </c>
      <c r="H352" t="s">
        <v>29</v>
      </c>
      <c r="I352">
        <f>I346*J352</f>
        <v>0.08</v>
      </c>
      <c r="J352">
        <v>0.29629629629629628</v>
      </c>
      <c r="O352">
        <f t="shared" si="296"/>
        <v>1954.08</v>
      </c>
      <c r="P352">
        <f t="shared" si="297"/>
        <v>1954.08</v>
      </c>
      <c r="Q352">
        <f t="shared" si="298"/>
        <v>0</v>
      </c>
      <c r="R352">
        <f t="shared" si="299"/>
        <v>0</v>
      </c>
      <c r="S352">
        <f t="shared" si="300"/>
        <v>0</v>
      </c>
      <c r="T352">
        <f t="shared" si="301"/>
        <v>0</v>
      </c>
      <c r="U352">
        <f t="shared" si="302"/>
        <v>0</v>
      </c>
      <c r="V352">
        <f t="shared" si="303"/>
        <v>0</v>
      </c>
      <c r="W352">
        <f t="shared" si="304"/>
        <v>0</v>
      </c>
      <c r="X352">
        <f t="shared" si="305"/>
        <v>0</v>
      </c>
      <c r="Y352">
        <f t="shared" si="306"/>
        <v>0</v>
      </c>
      <c r="AA352">
        <v>45037307</v>
      </c>
      <c r="AB352">
        <f t="shared" si="307"/>
        <v>8914.6</v>
      </c>
      <c r="AC352">
        <f t="shared" si="308"/>
        <v>8914.6</v>
      </c>
      <c r="AD352">
        <f t="shared" si="334"/>
        <v>0</v>
      </c>
      <c r="AE352">
        <f t="shared" si="335"/>
        <v>0</v>
      </c>
      <c r="AF352">
        <f t="shared" si="336"/>
        <v>0</v>
      </c>
      <c r="AG352">
        <f t="shared" si="309"/>
        <v>0</v>
      </c>
      <c r="AH352">
        <f t="shared" si="337"/>
        <v>0</v>
      </c>
      <c r="AI352">
        <f t="shared" si="338"/>
        <v>0</v>
      </c>
      <c r="AJ352">
        <f t="shared" si="310"/>
        <v>0</v>
      </c>
      <c r="AK352">
        <v>8914.6</v>
      </c>
      <c r="AL352">
        <v>8914.6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0</v>
      </c>
      <c r="AU352">
        <v>0</v>
      </c>
      <c r="AV352">
        <v>1</v>
      </c>
      <c r="AW352">
        <v>1</v>
      </c>
      <c r="AZ352">
        <v>1</v>
      </c>
      <c r="BA352">
        <v>1</v>
      </c>
      <c r="BB352">
        <v>1</v>
      </c>
      <c r="BC352">
        <v>2.74</v>
      </c>
      <c r="BD352" t="s">
        <v>3</v>
      </c>
      <c r="BE352" t="s">
        <v>3</v>
      </c>
      <c r="BF352" t="s">
        <v>3</v>
      </c>
      <c r="BG352" t="s">
        <v>3</v>
      </c>
      <c r="BH352">
        <v>3</v>
      </c>
      <c r="BI352">
        <v>1</v>
      </c>
      <c r="BJ352" t="s">
        <v>439</v>
      </c>
      <c r="BM352">
        <v>80</v>
      </c>
      <c r="BN352">
        <v>7156650</v>
      </c>
      <c r="BO352" t="s">
        <v>437</v>
      </c>
      <c r="BP352">
        <v>1</v>
      </c>
      <c r="BQ352">
        <v>30</v>
      </c>
      <c r="BR352">
        <v>0</v>
      </c>
      <c r="BS352">
        <v>1</v>
      </c>
      <c r="BT352">
        <v>1</v>
      </c>
      <c r="BU352">
        <v>1</v>
      </c>
      <c r="BV352">
        <v>1</v>
      </c>
      <c r="BW352">
        <v>1</v>
      </c>
      <c r="BX352">
        <v>1</v>
      </c>
      <c r="BY352" t="s">
        <v>3</v>
      </c>
      <c r="BZ352">
        <v>0</v>
      </c>
      <c r="CA352">
        <v>0</v>
      </c>
      <c r="CF352">
        <v>0</v>
      </c>
      <c r="CG352">
        <v>0</v>
      </c>
      <c r="CM352">
        <v>0</v>
      </c>
      <c r="CN352" t="s">
        <v>3</v>
      </c>
      <c r="CO352">
        <v>0</v>
      </c>
      <c r="CP352">
        <f t="shared" si="311"/>
        <v>1954.08</v>
      </c>
      <c r="CQ352">
        <f t="shared" si="312"/>
        <v>24426.004000000004</v>
      </c>
      <c r="CR352">
        <f t="shared" si="313"/>
        <v>0</v>
      </c>
      <c r="CS352">
        <f t="shared" si="314"/>
        <v>0</v>
      </c>
      <c r="CT352">
        <f t="shared" si="315"/>
        <v>0</v>
      </c>
      <c r="CU352">
        <f t="shared" si="316"/>
        <v>0</v>
      </c>
      <c r="CV352">
        <f t="shared" si="317"/>
        <v>0</v>
      </c>
      <c r="CW352">
        <f t="shared" si="318"/>
        <v>0</v>
      </c>
      <c r="CX352">
        <f t="shared" si="319"/>
        <v>0</v>
      </c>
      <c r="CY352">
        <f t="shared" si="320"/>
        <v>0</v>
      </c>
      <c r="CZ352">
        <f t="shared" si="321"/>
        <v>0</v>
      </c>
      <c r="DC352" t="s">
        <v>3</v>
      </c>
      <c r="DD352" t="s">
        <v>3</v>
      </c>
      <c r="DE352" t="s">
        <v>3</v>
      </c>
      <c r="DF352" t="s">
        <v>3</v>
      </c>
      <c r="DG352" t="s">
        <v>3</v>
      </c>
      <c r="DH352" t="s">
        <v>3</v>
      </c>
      <c r="DI352" t="s">
        <v>3</v>
      </c>
      <c r="DJ352" t="s">
        <v>3</v>
      </c>
      <c r="DK352" t="s">
        <v>3</v>
      </c>
      <c r="DL352" t="s">
        <v>3</v>
      </c>
      <c r="DM352" t="s">
        <v>3</v>
      </c>
      <c r="DN352">
        <v>85</v>
      </c>
      <c r="DO352">
        <v>70</v>
      </c>
      <c r="DP352">
        <v>1.087</v>
      </c>
      <c r="DQ352">
        <v>1</v>
      </c>
      <c r="DU352">
        <v>1009</v>
      </c>
      <c r="DV352" t="s">
        <v>29</v>
      </c>
      <c r="DW352" t="s">
        <v>29</v>
      </c>
      <c r="DX352">
        <v>1000</v>
      </c>
      <c r="EE352">
        <v>44846587</v>
      </c>
      <c r="EF352">
        <v>30</v>
      </c>
      <c r="EG352" t="s">
        <v>38</v>
      </c>
      <c r="EH352">
        <v>0</v>
      </c>
      <c r="EI352" t="s">
        <v>3</v>
      </c>
      <c r="EJ352">
        <v>1</v>
      </c>
      <c r="EK352">
        <v>80</v>
      </c>
      <c r="EL352" t="s">
        <v>179</v>
      </c>
      <c r="EM352" t="s">
        <v>180</v>
      </c>
      <c r="EO352" t="s">
        <v>3</v>
      </c>
      <c r="EQ352">
        <v>0</v>
      </c>
      <c r="ER352">
        <v>8914.6</v>
      </c>
      <c r="ES352">
        <v>8914.6</v>
      </c>
      <c r="ET352">
        <v>0</v>
      </c>
      <c r="EU352">
        <v>0</v>
      </c>
      <c r="EV352">
        <v>0</v>
      </c>
      <c r="EW352">
        <v>0</v>
      </c>
      <c r="EX352">
        <v>0</v>
      </c>
      <c r="FQ352">
        <v>0</v>
      </c>
      <c r="FR352">
        <f t="shared" si="322"/>
        <v>0</v>
      </c>
      <c r="FS352">
        <v>0</v>
      </c>
      <c r="FX352">
        <v>85</v>
      </c>
      <c r="FY352">
        <v>70</v>
      </c>
      <c r="GA352" t="s">
        <v>3</v>
      </c>
      <c r="GD352">
        <v>0</v>
      </c>
      <c r="GF352">
        <v>-776206429</v>
      </c>
      <c r="GG352">
        <v>2</v>
      </c>
      <c r="GH352">
        <v>1</v>
      </c>
      <c r="GI352">
        <v>3</v>
      </c>
      <c r="GJ352">
        <v>0</v>
      </c>
      <c r="GK352">
        <f>ROUND(R352*(S12)/100,2)</f>
        <v>0</v>
      </c>
      <c r="GL352">
        <f t="shared" si="323"/>
        <v>0</v>
      </c>
      <c r="GM352">
        <f t="shared" si="324"/>
        <v>1954.08</v>
      </c>
      <c r="GN352">
        <f t="shared" si="325"/>
        <v>1954.08</v>
      </c>
      <c r="GO352">
        <f t="shared" si="326"/>
        <v>0</v>
      </c>
      <c r="GP352">
        <f t="shared" si="327"/>
        <v>0</v>
      </c>
      <c r="GR352">
        <v>0</v>
      </c>
      <c r="GS352">
        <v>3</v>
      </c>
      <c r="GT352">
        <v>0</v>
      </c>
      <c r="GU352" t="s">
        <v>3</v>
      </c>
      <c r="GV352">
        <f t="shared" si="328"/>
        <v>0</v>
      </c>
      <c r="GW352">
        <v>1</v>
      </c>
      <c r="GX352">
        <f t="shared" si="329"/>
        <v>0</v>
      </c>
      <c r="HA352">
        <v>0</v>
      </c>
      <c r="HB352">
        <v>0</v>
      </c>
      <c r="IK352">
        <v>0</v>
      </c>
    </row>
    <row r="353" spans="1:255" x14ac:dyDescent="0.2">
      <c r="A353" s="2">
        <v>18</v>
      </c>
      <c r="B353" s="2">
        <v>1</v>
      </c>
      <c r="C353" s="2">
        <v>343</v>
      </c>
      <c r="D353" s="2"/>
      <c r="E353" s="2" t="s">
        <v>440</v>
      </c>
      <c r="F353" s="2" t="s">
        <v>441</v>
      </c>
      <c r="G353" s="2" t="s">
        <v>442</v>
      </c>
      <c r="H353" s="2" t="s">
        <v>29</v>
      </c>
      <c r="I353" s="2">
        <f>I345*J353</f>
        <v>0.02</v>
      </c>
      <c r="J353" s="2">
        <v>7.407407407407407E-2</v>
      </c>
      <c r="K353" s="2"/>
      <c r="L353" s="2"/>
      <c r="M353" s="2"/>
      <c r="N353" s="2"/>
      <c r="O353" s="2">
        <f t="shared" si="296"/>
        <v>141.5</v>
      </c>
      <c r="P353" s="2">
        <f t="shared" si="297"/>
        <v>141.5</v>
      </c>
      <c r="Q353" s="2">
        <f t="shared" si="298"/>
        <v>0</v>
      </c>
      <c r="R353" s="2">
        <f t="shared" si="299"/>
        <v>0</v>
      </c>
      <c r="S353" s="2">
        <f t="shared" si="300"/>
        <v>0</v>
      </c>
      <c r="T353" s="2">
        <f t="shared" si="301"/>
        <v>0</v>
      </c>
      <c r="U353" s="2">
        <f t="shared" si="302"/>
        <v>0</v>
      </c>
      <c r="V353" s="2">
        <f t="shared" si="303"/>
        <v>0</v>
      </c>
      <c r="W353" s="2">
        <f t="shared" si="304"/>
        <v>0</v>
      </c>
      <c r="X353" s="2">
        <f t="shared" si="305"/>
        <v>0</v>
      </c>
      <c r="Y353" s="2">
        <f t="shared" si="306"/>
        <v>0</v>
      </c>
      <c r="Z353" s="2"/>
      <c r="AA353" s="2">
        <v>45037306</v>
      </c>
      <c r="AB353" s="2">
        <f t="shared" si="307"/>
        <v>7075.07</v>
      </c>
      <c r="AC353" s="2">
        <f t="shared" si="308"/>
        <v>7075.07</v>
      </c>
      <c r="AD353" s="2">
        <f t="shared" si="334"/>
        <v>0</v>
      </c>
      <c r="AE353" s="2">
        <f t="shared" si="335"/>
        <v>0</v>
      </c>
      <c r="AF353" s="2">
        <f t="shared" si="336"/>
        <v>0</v>
      </c>
      <c r="AG353" s="2">
        <f t="shared" si="309"/>
        <v>0</v>
      </c>
      <c r="AH353" s="2">
        <f t="shared" si="337"/>
        <v>0</v>
      </c>
      <c r="AI353" s="2">
        <f t="shared" si="338"/>
        <v>0</v>
      </c>
      <c r="AJ353" s="2">
        <f t="shared" si="310"/>
        <v>0</v>
      </c>
      <c r="AK353" s="2">
        <v>7075.07</v>
      </c>
      <c r="AL353" s="2">
        <v>7075.07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1</v>
      </c>
      <c r="AW353" s="2">
        <v>1</v>
      </c>
      <c r="AX353" s="2"/>
      <c r="AY353" s="2"/>
      <c r="AZ353" s="2">
        <v>1</v>
      </c>
      <c r="BA353" s="2">
        <v>1</v>
      </c>
      <c r="BB353" s="2">
        <v>1</v>
      </c>
      <c r="BC353" s="2">
        <v>1</v>
      </c>
      <c r="BD353" s="2" t="s">
        <v>3</v>
      </c>
      <c r="BE353" s="2" t="s">
        <v>3</v>
      </c>
      <c r="BF353" s="2" t="s">
        <v>3</v>
      </c>
      <c r="BG353" s="2" t="s">
        <v>3</v>
      </c>
      <c r="BH353" s="2">
        <v>3</v>
      </c>
      <c r="BI353" s="2">
        <v>1</v>
      </c>
      <c r="BJ353" s="2" t="s">
        <v>443</v>
      </c>
      <c r="BK353" s="2"/>
      <c r="BL353" s="2"/>
      <c r="BM353" s="2">
        <v>80</v>
      </c>
      <c r="BN353" s="2">
        <v>7156650</v>
      </c>
      <c r="BO353" s="2" t="s">
        <v>3</v>
      </c>
      <c r="BP353" s="2">
        <v>0</v>
      </c>
      <c r="BQ353" s="2">
        <v>30</v>
      </c>
      <c r="BR353" s="2">
        <v>0</v>
      </c>
      <c r="BS353" s="2">
        <v>1</v>
      </c>
      <c r="BT353" s="2">
        <v>1</v>
      </c>
      <c r="BU353" s="2">
        <v>1</v>
      </c>
      <c r="BV353" s="2">
        <v>1</v>
      </c>
      <c r="BW353" s="2">
        <v>1</v>
      </c>
      <c r="BX353" s="2">
        <v>1</v>
      </c>
      <c r="BY353" s="2" t="s">
        <v>3</v>
      </c>
      <c r="BZ353" s="2">
        <v>0</v>
      </c>
      <c r="CA353" s="2">
        <v>0</v>
      </c>
      <c r="CB353" s="2"/>
      <c r="CC353" s="2"/>
      <c r="CD353" s="2"/>
      <c r="CE353" s="2"/>
      <c r="CF353" s="2">
        <v>0</v>
      </c>
      <c r="CG353" s="2">
        <v>0</v>
      </c>
      <c r="CH353" s="2"/>
      <c r="CI353" s="2"/>
      <c r="CJ353" s="2"/>
      <c r="CK353" s="2"/>
      <c r="CL353" s="2"/>
      <c r="CM353" s="2">
        <v>0</v>
      </c>
      <c r="CN353" s="2" t="s">
        <v>3</v>
      </c>
      <c r="CO353" s="2">
        <v>0</v>
      </c>
      <c r="CP353" s="2">
        <f t="shared" si="311"/>
        <v>141.5</v>
      </c>
      <c r="CQ353" s="2">
        <f t="shared" si="312"/>
        <v>7075.07</v>
      </c>
      <c r="CR353" s="2">
        <f t="shared" si="313"/>
        <v>0</v>
      </c>
      <c r="CS353" s="2">
        <f t="shared" si="314"/>
        <v>0</v>
      </c>
      <c r="CT353" s="2">
        <f t="shared" si="315"/>
        <v>0</v>
      </c>
      <c r="CU353" s="2">
        <f t="shared" si="316"/>
        <v>0</v>
      </c>
      <c r="CV353" s="2">
        <f t="shared" si="317"/>
        <v>0</v>
      </c>
      <c r="CW353" s="2">
        <f t="shared" si="318"/>
        <v>0</v>
      </c>
      <c r="CX353" s="2">
        <f t="shared" si="319"/>
        <v>0</v>
      </c>
      <c r="CY353" s="2">
        <f t="shared" si="320"/>
        <v>0</v>
      </c>
      <c r="CZ353" s="2">
        <f t="shared" si="321"/>
        <v>0</v>
      </c>
      <c r="DA353" s="2"/>
      <c r="DB353" s="2"/>
      <c r="DC353" s="2" t="s">
        <v>3</v>
      </c>
      <c r="DD353" s="2" t="s">
        <v>3</v>
      </c>
      <c r="DE353" s="2" t="s">
        <v>3</v>
      </c>
      <c r="DF353" s="2" t="s">
        <v>3</v>
      </c>
      <c r="DG353" s="2" t="s">
        <v>3</v>
      </c>
      <c r="DH353" s="2" t="s">
        <v>3</v>
      </c>
      <c r="DI353" s="2" t="s">
        <v>3</v>
      </c>
      <c r="DJ353" s="2" t="s">
        <v>3</v>
      </c>
      <c r="DK353" s="2" t="s">
        <v>3</v>
      </c>
      <c r="DL353" s="2" t="s">
        <v>3</v>
      </c>
      <c r="DM353" s="2" t="s">
        <v>3</v>
      </c>
      <c r="DN353" s="2">
        <v>85</v>
      </c>
      <c r="DO353" s="2">
        <v>70</v>
      </c>
      <c r="DP353" s="2">
        <v>1.087</v>
      </c>
      <c r="DQ353" s="2">
        <v>1</v>
      </c>
      <c r="DR353" s="2"/>
      <c r="DS353" s="2"/>
      <c r="DT353" s="2"/>
      <c r="DU353" s="2">
        <v>1009</v>
      </c>
      <c r="DV353" s="2" t="s">
        <v>29</v>
      </c>
      <c r="DW353" s="2" t="s">
        <v>29</v>
      </c>
      <c r="DX353" s="2">
        <v>1000</v>
      </c>
      <c r="DY353" s="2"/>
      <c r="DZ353" s="2"/>
      <c r="EA353" s="2"/>
      <c r="EB353" s="2"/>
      <c r="EC353" s="2"/>
      <c r="ED353" s="2"/>
      <c r="EE353" s="2">
        <v>44846587</v>
      </c>
      <c r="EF353" s="2">
        <v>30</v>
      </c>
      <c r="EG353" s="2" t="s">
        <v>38</v>
      </c>
      <c r="EH353" s="2">
        <v>0</v>
      </c>
      <c r="EI353" s="2" t="s">
        <v>3</v>
      </c>
      <c r="EJ353" s="2">
        <v>1</v>
      </c>
      <c r="EK353" s="2">
        <v>80</v>
      </c>
      <c r="EL353" s="2" t="s">
        <v>179</v>
      </c>
      <c r="EM353" s="2" t="s">
        <v>180</v>
      </c>
      <c r="EN353" s="2"/>
      <c r="EO353" s="2" t="s">
        <v>3</v>
      </c>
      <c r="EP353" s="2"/>
      <c r="EQ353" s="2">
        <v>0</v>
      </c>
      <c r="ER353" s="2">
        <v>7075.07</v>
      </c>
      <c r="ES353" s="2">
        <v>7075.07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/>
      <c r="EZ353" s="2"/>
      <c r="FA353" s="2"/>
      <c r="FB353" s="2"/>
      <c r="FC353" s="2"/>
      <c r="FD353" s="2"/>
      <c r="FE353" s="2"/>
      <c r="FF353" s="2"/>
      <c r="FG353" s="2"/>
      <c r="FH353" s="2"/>
      <c r="FI353" s="2"/>
      <c r="FJ353" s="2"/>
      <c r="FK353" s="2"/>
      <c r="FL353" s="2"/>
      <c r="FM353" s="2"/>
      <c r="FN353" s="2"/>
      <c r="FO353" s="2"/>
      <c r="FP353" s="2"/>
      <c r="FQ353" s="2">
        <v>0</v>
      </c>
      <c r="FR353" s="2">
        <f t="shared" si="322"/>
        <v>0</v>
      </c>
      <c r="FS353" s="2">
        <v>0</v>
      </c>
      <c r="FT353" s="2"/>
      <c r="FU353" s="2"/>
      <c r="FV353" s="2"/>
      <c r="FW353" s="2"/>
      <c r="FX353" s="2">
        <v>85</v>
      </c>
      <c r="FY353" s="2">
        <v>70</v>
      </c>
      <c r="FZ353" s="2"/>
      <c r="GA353" s="2" t="s">
        <v>3</v>
      </c>
      <c r="GB353" s="2"/>
      <c r="GC353" s="2"/>
      <c r="GD353" s="2">
        <v>0</v>
      </c>
      <c r="GE353" s="2"/>
      <c r="GF353" s="2">
        <v>-1406854911</v>
      </c>
      <c r="GG353" s="2">
        <v>2</v>
      </c>
      <c r="GH353" s="2">
        <v>1</v>
      </c>
      <c r="GI353" s="2">
        <v>3</v>
      </c>
      <c r="GJ353" s="2">
        <v>0</v>
      </c>
      <c r="GK353" s="2">
        <f>ROUND(R353*(R12)/100,2)</f>
        <v>0</v>
      </c>
      <c r="GL353" s="2">
        <f t="shared" si="323"/>
        <v>0</v>
      </c>
      <c r="GM353" s="2">
        <f t="shared" si="324"/>
        <v>141.5</v>
      </c>
      <c r="GN353" s="2">
        <f t="shared" si="325"/>
        <v>141.5</v>
      </c>
      <c r="GO353" s="2">
        <f t="shared" si="326"/>
        <v>0</v>
      </c>
      <c r="GP353" s="2">
        <f t="shared" si="327"/>
        <v>0</v>
      </c>
      <c r="GQ353" s="2"/>
      <c r="GR353" s="2">
        <v>0</v>
      </c>
      <c r="GS353" s="2">
        <v>3</v>
      </c>
      <c r="GT353" s="2">
        <v>0</v>
      </c>
      <c r="GU353" s="2" t="s">
        <v>3</v>
      </c>
      <c r="GV353" s="2">
        <f t="shared" si="328"/>
        <v>0</v>
      </c>
      <c r="GW353" s="2">
        <v>1</v>
      </c>
      <c r="GX353" s="2">
        <f t="shared" si="329"/>
        <v>0</v>
      </c>
      <c r="GY353" s="2"/>
      <c r="GZ353" s="2"/>
      <c r="HA353" s="2">
        <v>0</v>
      </c>
      <c r="HB353" s="2">
        <v>0</v>
      </c>
      <c r="HC353" s="2"/>
      <c r="HD353" s="2"/>
      <c r="HE353" s="2"/>
      <c r="HF353" s="2"/>
      <c r="HG353" s="2"/>
      <c r="HH353" s="2"/>
      <c r="HI353" s="2"/>
      <c r="HJ353" s="2"/>
      <c r="HK353" s="2"/>
      <c r="HL353" s="2"/>
      <c r="HM353" s="2"/>
      <c r="HN353" s="2"/>
      <c r="HO353" s="2"/>
      <c r="HP353" s="2"/>
      <c r="HQ353" s="2"/>
      <c r="HR353" s="2"/>
      <c r="HS353" s="2"/>
      <c r="HT353" s="2"/>
      <c r="HU353" s="2"/>
      <c r="HV353" s="2"/>
      <c r="HW353" s="2"/>
      <c r="HX353" s="2"/>
      <c r="HY353" s="2"/>
      <c r="HZ353" s="2"/>
      <c r="IA353" s="2"/>
      <c r="IB353" s="2"/>
      <c r="IC353" s="2"/>
      <c r="ID353" s="2"/>
      <c r="IE353" s="2"/>
      <c r="IF353" s="2"/>
      <c r="IG353" s="2"/>
      <c r="IH353" s="2"/>
      <c r="II353" s="2"/>
      <c r="IJ353" s="2"/>
      <c r="IK353" s="2">
        <v>0</v>
      </c>
      <c r="IL353" s="2"/>
      <c r="IM353" s="2"/>
      <c r="IN353" s="2"/>
      <c r="IO353" s="2"/>
      <c r="IP353" s="2"/>
      <c r="IQ353" s="2"/>
      <c r="IR353" s="2"/>
      <c r="IS353" s="2"/>
      <c r="IT353" s="2"/>
      <c r="IU353" s="2"/>
    </row>
    <row r="354" spans="1:255" x14ac:dyDescent="0.2">
      <c r="A354">
        <v>18</v>
      </c>
      <c r="B354">
        <v>1</v>
      </c>
      <c r="C354">
        <v>357</v>
      </c>
      <c r="E354" t="s">
        <v>440</v>
      </c>
      <c r="F354" t="s">
        <v>441</v>
      </c>
      <c r="G354" t="s">
        <v>442</v>
      </c>
      <c r="H354" t="s">
        <v>29</v>
      </c>
      <c r="I354">
        <f>I346*J354</f>
        <v>0.02</v>
      </c>
      <c r="J354">
        <v>7.407407407407407E-2</v>
      </c>
      <c r="O354">
        <f t="shared" si="296"/>
        <v>793.82</v>
      </c>
      <c r="P354">
        <f t="shared" si="297"/>
        <v>793.82</v>
      </c>
      <c r="Q354">
        <f t="shared" si="298"/>
        <v>0</v>
      </c>
      <c r="R354">
        <f t="shared" si="299"/>
        <v>0</v>
      </c>
      <c r="S354">
        <f t="shared" si="300"/>
        <v>0</v>
      </c>
      <c r="T354">
        <f t="shared" si="301"/>
        <v>0</v>
      </c>
      <c r="U354">
        <f t="shared" si="302"/>
        <v>0</v>
      </c>
      <c r="V354">
        <f t="shared" si="303"/>
        <v>0</v>
      </c>
      <c r="W354">
        <f t="shared" si="304"/>
        <v>0</v>
      </c>
      <c r="X354">
        <f t="shared" si="305"/>
        <v>0</v>
      </c>
      <c r="Y354">
        <f t="shared" si="306"/>
        <v>0</v>
      </c>
      <c r="AA354">
        <v>45037307</v>
      </c>
      <c r="AB354">
        <f t="shared" si="307"/>
        <v>7075.07</v>
      </c>
      <c r="AC354">
        <f t="shared" si="308"/>
        <v>7075.07</v>
      </c>
      <c r="AD354">
        <f t="shared" si="334"/>
        <v>0</v>
      </c>
      <c r="AE354">
        <f t="shared" si="335"/>
        <v>0</v>
      </c>
      <c r="AF354">
        <f t="shared" si="336"/>
        <v>0</v>
      </c>
      <c r="AG354">
        <f t="shared" si="309"/>
        <v>0</v>
      </c>
      <c r="AH354">
        <f t="shared" si="337"/>
        <v>0</v>
      </c>
      <c r="AI354">
        <f t="shared" si="338"/>
        <v>0</v>
      </c>
      <c r="AJ354">
        <f t="shared" si="310"/>
        <v>0</v>
      </c>
      <c r="AK354">
        <v>7075.07</v>
      </c>
      <c r="AL354">
        <v>7075.07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0</v>
      </c>
      <c r="AU354">
        <v>0</v>
      </c>
      <c r="AV354">
        <v>1</v>
      </c>
      <c r="AW354">
        <v>1</v>
      </c>
      <c r="AZ354">
        <v>1</v>
      </c>
      <c r="BA354">
        <v>1</v>
      </c>
      <c r="BB354">
        <v>1</v>
      </c>
      <c r="BC354">
        <v>5.61</v>
      </c>
      <c r="BD354" t="s">
        <v>3</v>
      </c>
      <c r="BE354" t="s">
        <v>3</v>
      </c>
      <c r="BF354" t="s">
        <v>3</v>
      </c>
      <c r="BG354" t="s">
        <v>3</v>
      </c>
      <c r="BH354">
        <v>3</v>
      </c>
      <c r="BI354">
        <v>1</v>
      </c>
      <c r="BJ354" t="s">
        <v>443</v>
      </c>
      <c r="BM354">
        <v>80</v>
      </c>
      <c r="BN354">
        <v>7156650</v>
      </c>
      <c r="BO354" t="s">
        <v>441</v>
      </c>
      <c r="BP354">
        <v>1</v>
      </c>
      <c r="BQ354">
        <v>30</v>
      </c>
      <c r="BR354">
        <v>0</v>
      </c>
      <c r="BS354">
        <v>1</v>
      </c>
      <c r="BT354">
        <v>1</v>
      </c>
      <c r="BU354">
        <v>1</v>
      </c>
      <c r="BV354">
        <v>1</v>
      </c>
      <c r="BW354">
        <v>1</v>
      </c>
      <c r="BX354">
        <v>1</v>
      </c>
      <c r="BY354" t="s">
        <v>3</v>
      </c>
      <c r="BZ354">
        <v>0</v>
      </c>
      <c r="CA354">
        <v>0</v>
      </c>
      <c r="CF354">
        <v>0</v>
      </c>
      <c r="CG354">
        <v>0</v>
      </c>
      <c r="CM354">
        <v>0</v>
      </c>
      <c r="CN354" t="s">
        <v>3</v>
      </c>
      <c r="CO354">
        <v>0</v>
      </c>
      <c r="CP354">
        <f t="shared" si="311"/>
        <v>793.82</v>
      </c>
      <c r="CQ354">
        <f t="shared" si="312"/>
        <v>39691.142700000004</v>
      </c>
      <c r="CR354">
        <f t="shared" si="313"/>
        <v>0</v>
      </c>
      <c r="CS354">
        <f t="shared" si="314"/>
        <v>0</v>
      </c>
      <c r="CT354">
        <f t="shared" si="315"/>
        <v>0</v>
      </c>
      <c r="CU354">
        <f t="shared" si="316"/>
        <v>0</v>
      </c>
      <c r="CV354">
        <f t="shared" si="317"/>
        <v>0</v>
      </c>
      <c r="CW354">
        <f t="shared" si="318"/>
        <v>0</v>
      </c>
      <c r="CX354">
        <f t="shared" si="319"/>
        <v>0</v>
      </c>
      <c r="CY354">
        <f t="shared" si="320"/>
        <v>0</v>
      </c>
      <c r="CZ354">
        <f t="shared" si="321"/>
        <v>0</v>
      </c>
      <c r="DC354" t="s">
        <v>3</v>
      </c>
      <c r="DD354" t="s">
        <v>3</v>
      </c>
      <c r="DE354" t="s">
        <v>3</v>
      </c>
      <c r="DF354" t="s">
        <v>3</v>
      </c>
      <c r="DG354" t="s">
        <v>3</v>
      </c>
      <c r="DH354" t="s">
        <v>3</v>
      </c>
      <c r="DI354" t="s">
        <v>3</v>
      </c>
      <c r="DJ354" t="s">
        <v>3</v>
      </c>
      <c r="DK354" t="s">
        <v>3</v>
      </c>
      <c r="DL354" t="s">
        <v>3</v>
      </c>
      <c r="DM354" t="s">
        <v>3</v>
      </c>
      <c r="DN354">
        <v>85</v>
      </c>
      <c r="DO354">
        <v>70</v>
      </c>
      <c r="DP354">
        <v>1.087</v>
      </c>
      <c r="DQ354">
        <v>1</v>
      </c>
      <c r="DU354">
        <v>1009</v>
      </c>
      <c r="DV354" t="s">
        <v>29</v>
      </c>
      <c r="DW354" t="s">
        <v>29</v>
      </c>
      <c r="DX354">
        <v>1000</v>
      </c>
      <c r="EE354">
        <v>44846587</v>
      </c>
      <c r="EF354">
        <v>30</v>
      </c>
      <c r="EG354" t="s">
        <v>38</v>
      </c>
      <c r="EH354">
        <v>0</v>
      </c>
      <c r="EI354" t="s">
        <v>3</v>
      </c>
      <c r="EJ354">
        <v>1</v>
      </c>
      <c r="EK354">
        <v>80</v>
      </c>
      <c r="EL354" t="s">
        <v>179</v>
      </c>
      <c r="EM354" t="s">
        <v>180</v>
      </c>
      <c r="EO354" t="s">
        <v>3</v>
      </c>
      <c r="EQ354">
        <v>0</v>
      </c>
      <c r="ER354">
        <v>7075.07</v>
      </c>
      <c r="ES354">
        <v>7075.07</v>
      </c>
      <c r="ET354">
        <v>0</v>
      </c>
      <c r="EU354">
        <v>0</v>
      </c>
      <c r="EV354">
        <v>0</v>
      </c>
      <c r="EW354">
        <v>0</v>
      </c>
      <c r="EX354">
        <v>0</v>
      </c>
      <c r="FQ354">
        <v>0</v>
      </c>
      <c r="FR354">
        <f t="shared" si="322"/>
        <v>0</v>
      </c>
      <c r="FS354">
        <v>0</v>
      </c>
      <c r="FX354">
        <v>85</v>
      </c>
      <c r="FY354">
        <v>70</v>
      </c>
      <c r="GA354" t="s">
        <v>3</v>
      </c>
      <c r="GD354">
        <v>0</v>
      </c>
      <c r="GF354">
        <v>-1406854911</v>
      </c>
      <c r="GG354">
        <v>2</v>
      </c>
      <c r="GH354">
        <v>1</v>
      </c>
      <c r="GI354">
        <v>3</v>
      </c>
      <c r="GJ354">
        <v>0</v>
      </c>
      <c r="GK354">
        <f>ROUND(R354*(S12)/100,2)</f>
        <v>0</v>
      </c>
      <c r="GL354">
        <f t="shared" si="323"/>
        <v>0</v>
      </c>
      <c r="GM354">
        <f t="shared" si="324"/>
        <v>793.82</v>
      </c>
      <c r="GN354">
        <f t="shared" si="325"/>
        <v>793.82</v>
      </c>
      <c r="GO354">
        <f t="shared" si="326"/>
        <v>0</v>
      </c>
      <c r="GP354">
        <f t="shared" si="327"/>
        <v>0</v>
      </c>
      <c r="GR354">
        <v>0</v>
      </c>
      <c r="GS354">
        <v>3</v>
      </c>
      <c r="GT354">
        <v>0</v>
      </c>
      <c r="GU354" t="s">
        <v>3</v>
      </c>
      <c r="GV354">
        <f t="shared" si="328"/>
        <v>0</v>
      </c>
      <c r="GW354">
        <v>1</v>
      </c>
      <c r="GX354">
        <f t="shared" si="329"/>
        <v>0</v>
      </c>
      <c r="HA354">
        <v>0</v>
      </c>
      <c r="HB354">
        <v>0</v>
      </c>
      <c r="IK354">
        <v>0</v>
      </c>
    </row>
    <row r="355" spans="1:255" x14ac:dyDescent="0.2">
      <c r="A355" s="2">
        <v>18</v>
      </c>
      <c r="B355" s="2">
        <v>1</v>
      </c>
      <c r="C355" s="2">
        <v>348</v>
      </c>
      <c r="D355" s="2"/>
      <c r="E355" s="2" t="s">
        <v>444</v>
      </c>
      <c r="F355" s="2" t="s">
        <v>445</v>
      </c>
      <c r="G355" s="2" t="s">
        <v>446</v>
      </c>
      <c r="H355" s="2" t="s">
        <v>29</v>
      </c>
      <c r="I355" s="2">
        <f>I345*J355</f>
        <v>0.08</v>
      </c>
      <c r="J355" s="2">
        <v>0.29629629629629628</v>
      </c>
      <c r="K355" s="2"/>
      <c r="L355" s="2"/>
      <c r="M355" s="2"/>
      <c r="N355" s="2"/>
      <c r="O355" s="2">
        <f t="shared" si="296"/>
        <v>1361.71</v>
      </c>
      <c r="P355" s="2">
        <f t="shared" si="297"/>
        <v>1361.71</v>
      </c>
      <c r="Q355" s="2">
        <f t="shared" si="298"/>
        <v>0</v>
      </c>
      <c r="R355" s="2">
        <f t="shared" si="299"/>
        <v>0</v>
      </c>
      <c r="S355" s="2">
        <f t="shared" si="300"/>
        <v>0</v>
      </c>
      <c r="T355" s="2">
        <f t="shared" si="301"/>
        <v>0</v>
      </c>
      <c r="U355" s="2">
        <f t="shared" si="302"/>
        <v>0</v>
      </c>
      <c r="V355" s="2">
        <f t="shared" si="303"/>
        <v>0</v>
      </c>
      <c r="W355" s="2">
        <f t="shared" si="304"/>
        <v>0</v>
      </c>
      <c r="X355" s="2">
        <f t="shared" si="305"/>
        <v>0</v>
      </c>
      <c r="Y355" s="2">
        <f t="shared" si="306"/>
        <v>0</v>
      </c>
      <c r="Z355" s="2"/>
      <c r="AA355" s="2">
        <v>45037306</v>
      </c>
      <c r="AB355" s="2">
        <f t="shared" si="307"/>
        <v>17021.419999999998</v>
      </c>
      <c r="AC355" s="2">
        <f t="shared" si="308"/>
        <v>17021.419999999998</v>
      </c>
      <c r="AD355" s="2">
        <f t="shared" si="334"/>
        <v>0</v>
      </c>
      <c r="AE355" s="2">
        <f t="shared" si="335"/>
        <v>0</v>
      </c>
      <c r="AF355" s="2">
        <f t="shared" si="336"/>
        <v>0</v>
      </c>
      <c r="AG355" s="2">
        <f t="shared" si="309"/>
        <v>0</v>
      </c>
      <c r="AH355" s="2">
        <f t="shared" si="337"/>
        <v>0</v>
      </c>
      <c r="AI355" s="2">
        <f t="shared" si="338"/>
        <v>0</v>
      </c>
      <c r="AJ355" s="2">
        <f t="shared" si="310"/>
        <v>0</v>
      </c>
      <c r="AK355" s="2">
        <v>17021.419999999998</v>
      </c>
      <c r="AL355" s="2">
        <v>17021.419999999998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1</v>
      </c>
      <c r="AW355" s="2">
        <v>1</v>
      </c>
      <c r="AX355" s="2"/>
      <c r="AY355" s="2"/>
      <c r="AZ355" s="2">
        <v>1</v>
      </c>
      <c r="BA355" s="2">
        <v>1</v>
      </c>
      <c r="BB355" s="2">
        <v>1</v>
      </c>
      <c r="BC355" s="2">
        <v>1</v>
      </c>
      <c r="BD355" s="2" t="s">
        <v>3</v>
      </c>
      <c r="BE355" s="2" t="s">
        <v>3</v>
      </c>
      <c r="BF355" s="2" t="s">
        <v>3</v>
      </c>
      <c r="BG355" s="2" t="s">
        <v>3</v>
      </c>
      <c r="BH355" s="2">
        <v>3</v>
      </c>
      <c r="BI355" s="2">
        <v>1</v>
      </c>
      <c r="BJ355" s="2" t="s">
        <v>447</v>
      </c>
      <c r="BK355" s="2"/>
      <c r="BL355" s="2"/>
      <c r="BM355" s="2">
        <v>80</v>
      </c>
      <c r="BN355" s="2">
        <v>7156650</v>
      </c>
      <c r="BO355" s="2" t="s">
        <v>3</v>
      </c>
      <c r="BP355" s="2">
        <v>0</v>
      </c>
      <c r="BQ355" s="2">
        <v>30</v>
      </c>
      <c r="BR355" s="2">
        <v>0</v>
      </c>
      <c r="BS355" s="2">
        <v>1</v>
      </c>
      <c r="BT355" s="2">
        <v>1</v>
      </c>
      <c r="BU355" s="2">
        <v>1</v>
      </c>
      <c r="BV355" s="2">
        <v>1</v>
      </c>
      <c r="BW355" s="2">
        <v>1</v>
      </c>
      <c r="BX355" s="2">
        <v>1</v>
      </c>
      <c r="BY355" s="2" t="s">
        <v>3</v>
      </c>
      <c r="BZ355" s="2">
        <v>0</v>
      </c>
      <c r="CA355" s="2">
        <v>0</v>
      </c>
      <c r="CB355" s="2"/>
      <c r="CC355" s="2"/>
      <c r="CD355" s="2"/>
      <c r="CE355" s="2"/>
      <c r="CF355" s="2">
        <v>0</v>
      </c>
      <c r="CG355" s="2">
        <v>0</v>
      </c>
      <c r="CH355" s="2"/>
      <c r="CI355" s="2"/>
      <c r="CJ355" s="2"/>
      <c r="CK355" s="2"/>
      <c r="CL355" s="2"/>
      <c r="CM355" s="2">
        <v>0</v>
      </c>
      <c r="CN355" s="2" t="s">
        <v>3</v>
      </c>
      <c r="CO355" s="2">
        <v>0</v>
      </c>
      <c r="CP355" s="2">
        <f t="shared" si="311"/>
        <v>1361.71</v>
      </c>
      <c r="CQ355" s="2">
        <f t="shared" si="312"/>
        <v>17021.419999999998</v>
      </c>
      <c r="CR355" s="2">
        <f t="shared" si="313"/>
        <v>0</v>
      </c>
      <c r="CS355" s="2">
        <f t="shared" si="314"/>
        <v>0</v>
      </c>
      <c r="CT355" s="2">
        <f t="shared" si="315"/>
        <v>0</v>
      </c>
      <c r="CU355" s="2">
        <f t="shared" si="316"/>
        <v>0</v>
      </c>
      <c r="CV355" s="2">
        <f t="shared" si="317"/>
        <v>0</v>
      </c>
      <c r="CW355" s="2">
        <f t="shared" si="318"/>
        <v>0</v>
      </c>
      <c r="CX355" s="2">
        <f t="shared" si="319"/>
        <v>0</v>
      </c>
      <c r="CY355" s="2">
        <f t="shared" si="320"/>
        <v>0</v>
      </c>
      <c r="CZ355" s="2">
        <f t="shared" si="321"/>
        <v>0</v>
      </c>
      <c r="DA355" s="2"/>
      <c r="DB355" s="2"/>
      <c r="DC355" s="2" t="s">
        <v>3</v>
      </c>
      <c r="DD355" s="2" t="s">
        <v>3</v>
      </c>
      <c r="DE355" s="2" t="s">
        <v>3</v>
      </c>
      <c r="DF355" s="2" t="s">
        <v>3</v>
      </c>
      <c r="DG355" s="2" t="s">
        <v>3</v>
      </c>
      <c r="DH355" s="2" t="s">
        <v>3</v>
      </c>
      <c r="DI355" s="2" t="s">
        <v>3</v>
      </c>
      <c r="DJ355" s="2" t="s">
        <v>3</v>
      </c>
      <c r="DK355" s="2" t="s">
        <v>3</v>
      </c>
      <c r="DL355" s="2" t="s">
        <v>3</v>
      </c>
      <c r="DM355" s="2" t="s">
        <v>3</v>
      </c>
      <c r="DN355" s="2">
        <v>85</v>
      </c>
      <c r="DO355" s="2">
        <v>70</v>
      </c>
      <c r="DP355" s="2">
        <v>1.087</v>
      </c>
      <c r="DQ355" s="2">
        <v>1</v>
      </c>
      <c r="DR355" s="2"/>
      <c r="DS355" s="2"/>
      <c r="DT355" s="2"/>
      <c r="DU355" s="2">
        <v>1009</v>
      </c>
      <c r="DV355" s="2" t="s">
        <v>29</v>
      </c>
      <c r="DW355" s="2" t="s">
        <v>29</v>
      </c>
      <c r="DX355" s="2">
        <v>1000</v>
      </c>
      <c r="DY355" s="2"/>
      <c r="DZ355" s="2"/>
      <c r="EA355" s="2"/>
      <c r="EB355" s="2"/>
      <c r="EC355" s="2"/>
      <c r="ED355" s="2"/>
      <c r="EE355" s="2">
        <v>44846587</v>
      </c>
      <c r="EF355" s="2">
        <v>30</v>
      </c>
      <c r="EG355" s="2" t="s">
        <v>38</v>
      </c>
      <c r="EH355" s="2">
        <v>0</v>
      </c>
      <c r="EI355" s="2" t="s">
        <v>3</v>
      </c>
      <c r="EJ355" s="2">
        <v>1</v>
      </c>
      <c r="EK355" s="2">
        <v>80</v>
      </c>
      <c r="EL355" s="2" t="s">
        <v>179</v>
      </c>
      <c r="EM355" s="2" t="s">
        <v>180</v>
      </c>
      <c r="EN355" s="2"/>
      <c r="EO355" s="2" t="s">
        <v>3</v>
      </c>
      <c r="EP355" s="2"/>
      <c r="EQ355" s="2">
        <v>0</v>
      </c>
      <c r="ER355" s="2">
        <v>17021.419999999998</v>
      </c>
      <c r="ES355" s="2">
        <v>17021.419999999998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/>
      <c r="EZ355" s="2"/>
      <c r="FA355" s="2"/>
      <c r="FB355" s="2"/>
      <c r="FC355" s="2"/>
      <c r="FD355" s="2"/>
      <c r="FE355" s="2"/>
      <c r="FF355" s="2"/>
      <c r="FG355" s="2"/>
      <c r="FH355" s="2"/>
      <c r="FI355" s="2"/>
      <c r="FJ355" s="2"/>
      <c r="FK355" s="2"/>
      <c r="FL355" s="2"/>
      <c r="FM355" s="2"/>
      <c r="FN355" s="2"/>
      <c r="FO355" s="2"/>
      <c r="FP355" s="2"/>
      <c r="FQ355" s="2">
        <v>0</v>
      </c>
      <c r="FR355" s="2">
        <f t="shared" si="322"/>
        <v>0</v>
      </c>
      <c r="FS355" s="2">
        <v>0</v>
      </c>
      <c r="FT355" s="2"/>
      <c r="FU355" s="2"/>
      <c r="FV355" s="2"/>
      <c r="FW355" s="2"/>
      <c r="FX355" s="2">
        <v>85</v>
      </c>
      <c r="FY355" s="2">
        <v>70</v>
      </c>
      <c r="FZ355" s="2"/>
      <c r="GA355" s="2" t="s">
        <v>3</v>
      </c>
      <c r="GB355" s="2"/>
      <c r="GC355" s="2"/>
      <c r="GD355" s="2">
        <v>0</v>
      </c>
      <c r="GE355" s="2"/>
      <c r="GF355" s="2">
        <v>-390362327</v>
      </c>
      <c r="GG355" s="2">
        <v>2</v>
      </c>
      <c r="GH355" s="2">
        <v>1</v>
      </c>
      <c r="GI355" s="2">
        <v>3</v>
      </c>
      <c r="GJ355" s="2">
        <v>0</v>
      </c>
      <c r="GK355" s="2">
        <f>ROUND(R355*(R12)/100,2)</f>
        <v>0</v>
      </c>
      <c r="GL355" s="2">
        <f t="shared" si="323"/>
        <v>0</v>
      </c>
      <c r="GM355" s="2">
        <f t="shared" si="324"/>
        <v>1361.71</v>
      </c>
      <c r="GN355" s="2">
        <f t="shared" si="325"/>
        <v>1361.71</v>
      </c>
      <c r="GO355" s="2">
        <f t="shared" si="326"/>
        <v>0</v>
      </c>
      <c r="GP355" s="2">
        <f t="shared" si="327"/>
        <v>0</v>
      </c>
      <c r="GQ355" s="2"/>
      <c r="GR355" s="2">
        <v>0</v>
      </c>
      <c r="GS355" s="2">
        <v>3</v>
      </c>
      <c r="GT355" s="2">
        <v>0</v>
      </c>
      <c r="GU355" s="2" t="s">
        <v>3</v>
      </c>
      <c r="GV355" s="2">
        <f t="shared" si="328"/>
        <v>0</v>
      </c>
      <c r="GW355" s="2">
        <v>1</v>
      </c>
      <c r="GX355" s="2">
        <f t="shared" si="329"/>
        <v>0</v>
      </c>
      <c r="GY355" s="2"/>
      <c r="GZ355" s="2"/>
      <c r="HA355" s="2">
        <v>0</v>
      </c>
      <c r="HB355" s="2">
        <v>0</v>
      </c>
      <c r="HC355" s="2"/>
      <c r="HD355" s="2"/>
      <c r="HE355" s="2"/>
      <c r="HF355" s="2"/>
      <c r="HG355" s="2"/>
      <c r="HH355" s="2"/>
      <c r="HI355" s="2"/>
      <c r="HJ355" s="2"/>
      <c r="HK355" s="2"/>
      <c r="HL355" s="2"/>
      <c r="HM355" s="2"/>
      <c r="HN355" s="2"/>
      <c r="HO355" s="2"/>
      <c r="HP355" s="2"/>
      <c r="HQ355" s="2"/>
      <c r="HR355" s="2"/>
      <c r="HS355" s="2"/>
      <c r="HT355" s="2"/>
      <c r="HU355" s="2"/>
      <c r="HV355" s="2"/>
      <c r="HW355" s="2"/>
      <c r="HX355" s="2"/>
      <c r="HY355" s="2"/>
      <c r="HZ355" s="2"/>
      <c r="IA355" s="2"/>
      <c r="IB355" s="2"/>
      <c r="IC355" s="2"/>
      <c r="ID355" s="2"/>
      <c r="IE355" s="2"/>
      <c r="IF355" s="2"/>
      <c r="IG355" s="2"/>
      <c r="IH355" s="2"/>
      <c r="II355" s="2"/>
      <c r="IJ355" s="2"/>
      <c r="IK355" s="2">
        <v>0</v>
      </c>
      <c r="IL355" s="2"/>
      <c r="IM355" s="2"/>
      <c r="IN355" s="2"/>
      <c r="IO355" s="2"/>
      <c r="IP355" s="2"/>
      <c r="IQ355" s="2"/>
      <c r="IR355" s="2"/>
      <c r="IS355" s="2"/>
      <c r="IT355" s="2"/>
      <c r="IU355" s="2"/>
    </row>
    <row r="356" spans="1:255" x14ac:dyDescent="0.2">
      <c r="A356">
        <v>18</v>
      </c>
      <c r="B356">
        <v>1</v>
      </c>
      <c r="C356">
        <v>362</v>
      </c>
      <c r="E356" t="s">
        <v>444</v>
      </c>
      <c r="F356" t="s">
        <v>445</v>
      </c>
      <c r="G356" t="s">
        <v>446</v>
      </c>
      <c r="H356" t="s">
        <v>29</v>
      </c>
      <c r="I356">
        <f>I346*J356</f>
        <v>0.08</v>
      </c>
      <c r="J356">
        <v>0.29629629629629628</v>
      </c>
      <c r="O356">
        <f t="shared" si="296"/>
        <v>6999.21</v>
      </c>
      <c r="P356">
        <f t="shared" si="297"/>
        <v>6999.21</v>
      </c>
      <c r="Q356">
        <f t="shared" si="298"/>
        <v>0</v>
      </c>
      <c r="R356">
        <f t="shared" si="299"/>
        <v>0</v>
      </c>
      <c r="S356">
        <f t="shared" si="300"/>
        <v>0</v>
      </c>
      <c r="T356">
        <f t="shared" si="301"/>
        <v>0</v>
      </c>
      <c r="U356">
        <f t="shared" si="302"/>
        <v>0</v>
      </c>
      <c r="V356">
        <f t="shared" si="303"/>
        <v>0</v>
      </c>
      <c r="W356">
        <f t="shared" si="304"/>
        <v>0</v>
      </c>
      <c r="X356">
        <f t="shared" si="305"/>
        <v>0</v>
      </c>
      <c r="Y356">
        <f t="shared" si="306"/>
        <v>0</v>
      </c>
      <c r="AA356">
        <v>45037307</v>
      </c>
      <c r="AB356">
        <f t="shared" si="307"/>
        <v>17021.419999999998</v>
      </c>
      <c r="AC356">
        <f t="shared" si="308"/>
        <v>17021.419999999998</v>
      </c>
      <c r="AD356">
        <f t="shared" si="334"/>
        <v>0</v>
      </c>
      <c r="AE356">
        <f t="shared" si="335"/>
        <v>0</v>
      </c>
      <c r="AF356">
        <f t="shared" si="336"/>
        <v>0</v>
      </c>
      <c r="AG356">
        <f t="shared" si="309"/>
        <v>0</v>
      </c>
      <c r="AH356">
        <f t="shared" si="337"/>
        <v>0</v>
      </c>
      <c r="AI356">
        <f t="shared" si="338"/>
        <v>0</v>
      </c>
      <c r="AJ356">
        <f t="shared" si="310"/>
        <v>0</v>
      </c>
      <c r="AK356">
        <v>17021.419999999998</v>
      </c>
      <c r="AL356">
        <v>17021.419999999998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0</v>
      </c>
      <c r="AU356">
        <v>0</v>
      </c>
      <c r="AV356">
        <v>1</v>
      </c>
      <c r="AW356">
        <v>1</v>
      </c>
      <c r="AZ356">
        <v>1</v>
      </c>
      <c r="BA356">
        <v>1</v>
      </c>
      <c r="BB356">
        <v>1</v>
      </c>
      <c r="BC356">
        <v>5.14</v>
      </c>
      <c r="BD356" t="s">
        <v>3</v>
      </c>
      <c r="BE356" t="s">
        <v>3</v>
      </c>
      <c r="BF356" t="s">
        <v>3</v>
      </c>
      <c r="BG356" t="s">
        <v>3</v>
      </c>
      <c r="BH356">
        <v>3</v>
      </c>
      <c r="BI356">
        <v>1</v>
      </c>
      <c r="BJ356" t="s">
        <v>447</v>
      </c>
      <c r="BM356">
        <v>80</v>
      </c>
      <c r="BN356">
        <v>7156650</v>
      </c>
      <c r="BO356" t="s">
        <v>445</v>
      </c>
      <c r="BP356">
        <v>1</v>
      </c>
      <c r="BQ356">
        <v>30</v>
      </c>
      <c r="BR356">
        <v>0</v>
      </c>
      <c r="BS356">
        <v>1</v>
      </c>
      <c r="BT356">
        <v>1</v>
      </c>
      <c r="BU356">
        <v>1</v>
      </c>
      <c r="BV356">
        <v>1</v>
      </c>
      <c r="BW356">
        <v>1</v>
      </c>
      <c r="BX356">
        <v>1</v>
      </c>
      <c r="BY356" t="s">
        <v>3</v>
      </c>
      <c r="BZ356">
        <v>0</v>
      </c>
      <c r="CA356">
        <v>0</v>
      </c>
      <c r="CF356">
        <v>0</v>
      </c>
      <c r="CG356">
        <v>0</v>
      </c>
      <c r="CM356">
        <v>0</v>
      </c>
      <c r="CN356" t="s">
        <v>3</v>
      </c>
      <c r="CO356">
        <v>0</v>
      </c>
      <c r="CP356">
        <f t="shared" si="311"/>
        <v>6999.21</v>
      </c>
      <c r="CQ356">
        <f t="shared" si="312"/>
        <v>87490.098799999992</v>
      </c>
      <c r="CR356">
        <f t="shared" si="313"/>
        <v>0</v>
      </c>
      <c r="CS356">
        <f t="shared" si="314"/>
        <v>0</v>
      </c>
      <c r="CT356">
        <f t="shared" si="315"/>
        <v>0</v>
      </c>
      <c r="CU356">
        <f t="shared" si="316"/>
        <v>0</v>
      </c>
      <c r="CV356">
        <f t="shared" si="317"/>
        <v>0</v>
      </c>
      <c r="CW356">
        <f t="shared" si="318"/>
        <v>0</v>
      </c>
      <c r="CX356">
        <f t="shared" si="319"/>
        <v>0</v>
      </c>
      <c r="CY356">
        <f t="shared" si="320"/>
        <v>0</v>
      </c>
      <c r="CZ356">
        <f t="shared" si="321"/>
        <v>0</v>
      </c>
      <c r="DC356" t="s">
        <v>3</v>
      </c>
      <c r="DD356" t="s">
        <v>3</v>
      </c>
      <c r="DE356" t="s">
        <v>3</v>
      </c>
      <c r="DF356" t="s">
        <v>3</v>
      </c>
      <c r="DG356" t="s">
        <v>3</v>
      </c>
      <c r="DH356" t="s">
        <v>3</v>
      </c>
      <c r="DI356" t="s">
        <v>3</v>
      </c>
      <c r="DJ356" t="s">
        <v>3</v>
      </c>
      <c r="DK356" t="s">
        <v>3</v>
      </c>
      <c r="DL356" t="s">
        <v>3</v>
      </c>
      <c r="DM356" t="s">
        <v>3</v>
      </c>
      <c r="DN356">
        <v>85</v>
      </c>
      <c r="DO356">
        <v>70</v>
      </c>
      <c r="DP356">
        <v>1.087</v>
      </c>
      <c r="DQ356">
        <v>1</v>
      </c>
      <c r="DU356">
        <v>1009</v>
      </c>
      <c r="DV356" t="s">
        <v>29</v>
      </c>
      <c r="DW356" t="s">
        <v>29</v>
      </c>
      <c r="DX356">
        <v>1000</v>
      </c>
      <c r="EE356">
        <v>44846587</v>
      </c>
      <c r="EF356">
        <v>30</v>
      </c>
      <c r="EG356" t="s">
        <v>38</v>
      </c>
      <c r="EH356">
        <v>0</v>
      </c>
      <c r="EI356" t="s">
        <v>3</v>
      </c>
      <c r="EJ356">
        <v>1</v>
      </c>
      <c r="EK356">
        <v>80</v>
      </c>
      <c r="EL356" t="s">
        <v>179</v>
      </c>
      <c r="EM356" t="s">
        <v>180</v>
      </c>
      <c r="EO356" t="s">
        <v>3</v>
      </c>
      <c r="EQ356">
        <v>0</v>
      </c>
      <c r="ER356">
        <v>17021.419999999998</v>
      </c>
      <c r="ES356">
        <v>17021.419999999998</v>
      </c>
      <c r="ET356">
        <v>0</v>
      </c>
      <c r="EU356">
        <v>0</v>
      </c>
      <c r="EV356">
        <v>0</v>
      </c>
      <c r="EW356">
        <v>0</v>
      </c>
      <c r="EX356">
        <v>0</v>
      </c>
      <c r="FQ356">
        <v>0</v>
      </c>
      <c r="FR356">
        <f t="shared" si="322"/>
        <v>0</v>
      </c>
      <c r="FS356">
        <v>0</v>
      </c>
      <c r="FX356">
        <v>85</v>
      </c>
      <c r="FY356">
        <v>70</v>
      </c>
      <c r="GA356" t="s">
        <v>3</v>
      </c>
      <c r="GD356">
        <v>0</v>
      </c>
      <c r="GF356">
        <v>-390362327</v>
      </c>
      <c r="GG356">
        <v>2</v>
      </c>
      <c r="GH356">
        <v>1</v>
      </c>
      <c r="GI356">
        <v>3</v>
      </c>
      <c r="GJ356">
        <v>0</v>
      </c>
      <c r="GK356">
        <f>ROUND(R356*(S12)/100,2)</f>
        <v>0</v>
      </c>
      <c r="GL356">
        <f t="shared" si="323"/>
        <v>0</v>
      </c>
      <c r="GM356">
        <f t="shared" si="324"/>
        <v>6999.21</v>
      </c>
      <c r="GN356">
        <f t="shared" si="325"/>
        <v>6999.21</v>
      </c>
      <c r="GO356">
        <f t="shared" si="326"/>
        <v>0</v>
      </c>
      <c r="GP356">
        <f t="shared" si="327"/>
        <v>0</v>
      </c>
      <c r="GR356">
        <v>0</v>
      </c>
      <c r="GS356">
        <v>3</v>
      </c>
      <c r="GT356">
        <v>0</v>
      </c>
      <c r="GU356" t="s">
        <v>3</v>
      </c>
      <c r="GV356">
        <f t="shared" si="328"/>
        <v>0</v>
      </c>
      <c r="GW356">
        <v>1</v>
      </c>
      <c r="GX356">
        <f t="shared" si="329"/>
        <v>0</v>
      </c>
      <c r="HA356">
        <v>0</v>
      </c>
      <c r="HB356">
        <v>0</v>
      </c>
      <c r="IK356">
        <v>0</v>
      </c>
    </row>
    <row r="358" spans="1:255" x14ac:dyDescent="0.2">
      <c r="A358" s="3">
        <v>51</v>
      </c>
      <c r="B358" s="3">
        <f>B325</f>
        <v>1</v>
      </c>
      <c r="C358" s="3">
        <f>A325</f>
        <v>5</v>
      </c>
      <c r="D358" s="3">
        <f>ROW(A325)</f>
        <v>325</v>
      </c>
      <c r="E358" s="3"/>
      <c r="F358" s="3" t="str">
        <f>IF(F325&lt;&gt;"",F325,"")</f>
        <v>Новый подраздел</v>
      </c>
      <c r="G358" s="3" t="str">
        <f>IF(G325&lt;&gt;"",G325,"")</f>
        <v>Конструктивные решения</v>
      </c>
      <c r="H358" s="3">
        <v>0</v>
      </c>
      <c r="I358" s="3"/>
      <c r="J358" s="3"/>
      <c r="K358" s="3"/>
      <c r="L358" s="3"/>
      <c r="M358" s="3"/>
      <c r="N358" s="3"/>
      <c r="O358" s="3">
        <f t="shared" ref="O358:T358" si="339">ROUND(AB358,2)</f>
        <v>4289.95</v>
      </c>
      <c r="P358" s="3">
        <f t="shared" si="339"/>
        <v>3972.31</v>
      </c>
      <c r="Q358" s="3">
        <f t="shared" si="339"/>
        <v>165.95</v>
      </c>
      <c r="R358" s="3">
        <f t="shared" si="339"/>
        <v>45.64</v>
      </c>
      <c r="S358" s="3">
        <f t="shared" si="339"/>
        <v>151.69</v>
      </c>
      <c r="T358" s="3">
        <f t="shared" si="339"/>
        <v>0</v>
      </c>
      <c r="U358" s="3">
        <f>AH358</f>
        <v>11.56785</v>
      </c>
      <c r="V358" s="3">
        <f>AI358</f>
        <v>0</v>
      </c>
      <c r="W358" s="3">
        <f>ROUND(AJ358,2)</f>
        <v>0</v>
      </c>
      <c r="X358" s="3">
        <f>ROUND(AK358,2)</f>
        <v>0</v>
      </c>
      <c r="Y358" s="3">
        <f>ROUND(AL358,2)</f>
        <v>0</v>
      </c>
      <c r="Z358" s="3"/>
      <c r="AA358" s="3"/>
      <c r="AB358" s="3">
        <f>ROUND(SUMIF(AA329:AA356,"=45037306",O329:O356),2)</f>
        <v>4289.95</v>
      </c>
      <c r="AC358" s="3">
        <f>ROUND(SUMIF(AA329:AA356,"=45037306",P329:P356),2)</f>
        <v>3972.31</v>
      </c>
      <c r="AD358" s="3">
        <f>ROUND(SUMIF(AA329:AA356,"=45037306",Q329:Q356),2)</f>
        <v>165.95</v>
      </c>
      <c r="AE358" s="3">
        <f>ROUND(SUMIF(AA329:AA356,"=45037306",R329:R356),2)</f>
        <v>45.64</v>
      </c>
      <c r="AF358" s="3">
        <f>ROUND(SUMIF(AA329:AA356,"=45037306",S329:S356),2)</f>
        <v>151.69</v>
      </c>
      <c r="AG358" s="3">
        <f>ROUND(SUMIF(AA329:AA356,"=45037306",T329:T356),2)</f>
        <v>0</v>
      </c>
      <c r="AH358" s="3">
        <f>SUMIF(AA329:AA356,"=45037306",U329:U356)</f>
        <v>11.56785</v>
      </c>
      <c r="AI358" s="3">
        <f>SUMIF(AA329:AA356,"=45037306",V329:V356)</f>
        <v>0</v>
      </c>
      <c r="AJ358" s="3">
        <f>ROUND(SUMIF(AA329:AA356,"=45037306",W329:W356),2)</f>
        <v>0</v>
      </c>
      <c r="AK358" s="3">
        <f>ROUND(SUMIF(AA329:AA356,"=45037306",X329:X356),2)</f>
        <v>0</v>
      </c>
      <c r="AL358" s="3">
        <f>ROUND(SUMIF(AA329:AA356,"=45037306",Y329:Y356),2)</f>
        <v>0</v>
      </c>
      <c r="AM358" s="3"/>
      <c r="AN358" s="3"/>
      <c r="AO358" s="3">
        <f t="shared" ref="AO358:BC358" si="340">ROUND(BX358,2)</f>
        <v>0</v>
      </c>
      <c r="AP358" s="3">
        <f t="shared" si="340"/>
        <v>0</v>
      </c>
      <c r="AQ358" s="3">
        <f t="shared" si="340"/>
        <v>0</v>
      </c>
      <c r="AR358" s="3">
        <f t="shared" si="340"/>
        <v>4372.1000000000004</v>
      </c>
      <c r="AS358" s="3">
        <f t="shared" si="340"/>
        <v>4372.1000000000004</v>
      </c>
      <c r="AT358" s="3">
        <f t="shared" si="340"/>
        <v>0</v>
      </c>
      <c r="AU358" s="3">
        <f t="shared" si="340"/>
        <v>0</v>
      </c>
      <c r="AV358" s="3">
        <f t="shared" si="340"/>
        <v>3972.31</v>
      </c>
      <c r="AW358" s="3">
        <f t="shared" si="340"/>
        <v>3972.31</v>
      </c>
      <c r="AX358" s="3">
        <f t="shared" si="340"/>
        <v>0</v>
      </c>
      <c r="AY358" s="3">
        <f t="shared" si="340"/>
        <v>3972.31</v>
      </c>
      <c r="AZ358" s="3">
        <f t="shared" si="340"/>
        <v>0</v>
      </c>
      <c r="BA358" s="3">
        <f t="shared" si="340"/>
        <v>0</v>
      </c>
      <c r="BB358" s="3">
        <f t="shared" si="340"/>
        <v>0</v>
      </c>
      <c r="BC358" s="3">
        <f t="shared" si="340"/>
        <v>0</v>
      </c>
      <c r="BD358" s="3"/>
      <c r="BE358" s="3"/>
      <c r="BF358" s="3"/>
      <c r="BG358" s="3"/>
      <c r="BH358" s="3"/>
      <c r="BI358" s="3"/>
      <c r="BJ358" s="3"/>
      <c r="BK358" s="3"/>
      <c r="BL358" s="3"/>
      <c r="BM358" s="3"/>
      <c r="BN358" s="3"/>
      <c r="BO358" s="3"/>
      <c r="BP358" s="3"/>
      <c r="BQ358" s="3"/>
      <c r="BR358" s="3"/>
      <c r="BS358" s="3"/>
      <c r="BT358" s="3"/>
      <c r="BU358" s="3"/>
      <c r="BV358" s="3"/>
      <c r="BW358" s="3"/>
      <c r="BX358" s="3">
        <f>ROUND(SUMIF(AA329:AA356,"=45037306",FQ329:FQ356),2)</f>
        <v>0</v>
      </c>
      <c r="BY358" s="3">
        <f>ROUND(SUMIF(AA329:AA356,"=45037306",FR329:FR356),2)</f>
        <v>0</v>
      </c>
      <c r="BZ358" s="3">
        <f>ROUND(SUMIF(AA329:AA356,"=45037306",GL329:GL356),2)</f>
        <v>0</v>
      </c>
      <c r="CA358" s="3">
        <f>ROUND(SUMIF(AA329:AA356,"=45037306",GM329:GM356),2)</f>
        <v>4372.1000000000004</v>
      </c>
      <c r="CB358" s="3">
        <f>ROUND(SUMIF(AA329:AA356,"=45037306",GN329:GN356),2)</f>
        <v>4372.1000000000004</v>
      </c>
      <c r="CC358" s="3">
        <f>ROUND(SUMIF(AA329:AA356,"=45037306",GO329:GO356),2)</f>
        <v>0</v>
      </c>
      <c r="CD358" s="3">
        <f>ROUND(SUMIF(AA329:AA356,"=45037306",GP329:GP356),2)</f>
        <v>0</v>
      </c>
      <c r="CE358" s="3">
        <f>AC358-BX358</f>
        <v>3972.31</v>
      </c>
      <c r="CF358" s="3">
        <f>AC358-BY358</f>
        <v>3972.31</v>
      </c>
      <c r="CG358" s="3">
        <f>BX358-BZ358</f>
        <v>0</v>
      </c>
      <c r="CH358" s="3">
        <f>AC358-BX358-BY358+BZ358</f>
        <v>3972.31</v>
      </c>
      <c r="CI358" s="3">
        <f>BY358-BZ358</f>
        <v>0</v>
      </c>
      <c r="CJ358" s="3">
        <f>ROUND(SUMIF(AA329:AA356,"=45037306",GX329:GX356),2)</f>
        <v>0</v>
      </c>
      <c r="CK358" s="3">
        <f>ROUND(SUMIF(AA329:AA356,"=45037306",GY329:GY356),2)</f>
        <v>0</v>
      </c>
      <c r="CL358" s="3">
        <f>ROUND(SUMIF(AA329:AA356,"=45037306",GZ329:GZ356),2)</f>
        <v>0</v>
      </c>
      <c r="CM358" s="3"/>
      <c r="CN358" s="3"/>
      <c r="CO358" s="3"/>
      <c r="CP358" s="3"/>
      <c r="CQ358" s="3"/>
      <c r="CR358" s="3"/>
      <c r="CS358" s="3"/>
      <c r="CT358" s="3"/>
      <c r="CU358" s="3"/>
      <c r="CV358" s="3"/>
      <c r="CW358" s="3"/>
      <c r="CX358" s="3"/>
      <c r="CY358" s="3"/>
      <c r="CZ358" s="3"/>
      <c r="DA358" s="3"/>
      <c r="DB358" s="3"/>
      <c r="DC358" s="3"/>
      <c r="DD358" s="3"/>
      <c r="DE358" s="3"/>
      <c r="DF358" s="3"/>
      <c r="DG358" s="4">
        <f t="shared" ref="DG358:DL358" si="341">ROUND(DT358,2)</f>
        <v>20929.29</v>
      </c>
      <c r="DH358" s="4">
        <f t="shared" si="341"/>
        <v>16350.29</v>
      </c>
      <c r="DI358" s="4">
        <f t="shared" si="341"/>
        <v>1484.46</v>
      </c>
      <c r="DJ358" s="4">
        <f t="shared" si="341"/>
        <v>931.01</v>
      </c>
      <c r="DK358" s="4">
        <f t="shared" si="341"/>
        <v>3094.54</v>
      </c>
      <c r="DL358" s="4">
        <f t="shared" si="341"/>
        <v>0</v>
      </c>
      <c r="DM358" s="4">
        <f>DZ358</f>
        <v>11.56785</v>
      </c>
      <c r="DN358" s="4">
        <f>EA358</f>
        <v>0</v>
      </c>
      <c r="DO358" s="4">
        <f>ROUND(EB358,2)</f>
        <v>0</v>
      </c>
      <c r="DP358" s="4">
        <f>ROUND(EC358,2)</f>
        <v>2108.98</v>
      </c>
      <c r="DQ358" s="4">
        <f>ROUND(ED358,2)</f>
        <v>1268.76</v>
      </c>
      <c r="DR358" s="4"/>
      <c r="DS358" s="4"/>
      <c r="DT358" s="4">
        <f>ROUND(SUMIF(AA329:AA356,"=45037307",O329:O356),2)</f>
        <v>20929.29</v>
      </c>
      <c r="DU358" s="4">
        <f>ROUND(SUMIF(AA329:AA356,"=45037307",P329:P356),2)</f>
        <v>16350.29</v>
      </c>
      <c r="DV358" s="4">
        <f>ROUND(SUMIF(AA329:AA356,"=45037307",Q329:Q356),2)</f>
        <v>1484.46</v>
      </c>
      <c r="DW358" s="4">
        <f>ROUND(SUMIF(AA329:AA356,"=45037307",R329:R356),2)</f>
        <v>931.01</v>
      </c>
      <c r="DX358" s="4">
        <f>ROUND(SUMIF(AA329:AA356,"=45037307",S329:S356),2)</f>
        <v>3094.54</v>
      </c>
      <c r="DY358" s="4">
        <f>ROUND(SUMIF(AA329:AA356,"=45037307",T329:T356),2)</f>
        <v>0</v>
      </c>
      <c r="DZ358" s="4">
        <f>SUMIF(AA329:AA356,"=45037307",U329:U356)</f>
        <v>11.56785</v>
      </c>
      <c r="EA358" s="4">
        <f>SUMIF(AA329:AA356,"=45037307",V329:V356)</f>
        <v>0</v>
      </c>
      <c r="EB358" s="4">
        <f>ROUND(SUMIF(AA329:AA356,"=45037307",W329:W356),2)</f>
        <v>0</v>
      </c>
      <c r="EC358" s="4">
        <f>ROUND(SUMIF(AA329:AA356,"=45037307",X329:X356),2)</f>
        <v>2108.98</v>
      </c>
      <c r="ED358" s="4">
        <f>ROUND(SUMIF(AA329:AA356,"=45037307",Y329:Y356),2)</f>
        <v>1268.76</v>
      </c>
      <c r="EE358" s="4"/>
      <c r="EF358" s="4"/>
      <c r="EG358" s="4">
        <f t="shared" ref="EG358:EU358" si="342">ROUND(FP358,2)</f>
        <v>0</v>
      </c>
      <c r="EH358" s="4">
        <f t="shared" si="342"/>
        <v>0</v>
      </c>
      <c r="EI358" s="4">
        <f t="shared" si="342"/>
        <v>0</v>
      </c>
      <c r="EJ358" s="4">
        <f t="shared" si="342"/>
        <v>25871.13</v>
      </c>
      <c r="EK358" s="4">
        <f t="shared" si="342"/>
        <v>25871.13</v>
      </c>
      <c r="EL358" s="4">
        <f t="shared" si="342"/>
        <v>0</v>
      </c>
      <c r="EM358" s="4">
        <f t="shared" si="342"/>
        <v>0</v>
      </c>
      <c r="EN358" s="4">
        <f t="shared" si="342"/>
        <v>16350.29</v>
      </c>
      <c r="EO358" s="4">
        <f t="shared" si="342"/>
        <v>16350.29</v>
      </c>
      <c r="EP358" s="4">
        <f t="shared" si="342"/>
        <v>0</v>
      </c>
      <c r="EQ358" s="4">
        <f t="shared" si="342"/>
        <v>16350.29</v>
      </c>
      <c r="ER358" s="4">
        <f t="shared" si="342"/>
        <v>0</v>
      </c>
      <c r="ES358" s="4">
        <f t="shared" si="342"/>
        <v>0</v>
      </c>
      <c r="ET358" s="4">
        <f t="shared" si="342"/>
        <v>0</v>
      </c>
      <c r="EU358" s="4">
        <f t="shared" si="342"/>
        <v>0</v>
      </c>
      <c r="EV358" s="4"/>
      <c r="EW358" s="4"/>
      <c r="EX358" s="4"/>
      <c r="EY358" s="4"/>
      <c r="EZ358" s="4"/>
      <c r="FA358" s="4"/>
      <c r="FB358" s="4"/>
      <c r="FC358" s="4"/>
      <c r="FD358" s="4"/>
      <c r="FE358" s="4"/>
      <c r="FF358" s="4"/>
      <c r="FG358" s="4"/>
      <c r="FH358" s="4"/>
      <c r="FI358" s="4"/>
      <c r="FJ358" s="4"/>
      <c r="FK358" s="4"/>
      <c r="FL358" s="4"/>
      <c r="FM358" s="4"/>
      <c r="FN358" s="4"/>
      <c r="FO358" s="4"/>
      <c r="FP358" s="4">
        <f>ROUND(SUMIF(AA329:AA356,"=45037307",FQ329:FQ356),2)</f>
        <v>0</v>
      </c>
      <c r="FQ358" s="4">
        <f>ROUND(SUMIF(AA329:AA356,"=45037307",FR329:FR356),2)</f>
        <v>0</v>
      </c>
      <c r="FR358" s="4">
        <f>ROUND(SUMIF(AA329:AA356,"=45037307",GL329:GL356),2)</f>
        <v>0</v>
      </c>
      <c r="FS358" s="4">
        <f>ROUND(SUMIF(AA329:AA356,"=45037307",GM329:GM356),2)</f>
        <v>25871.13</v>
      </c>
      <c r="FT358" s="4">
        <f>ROUND(SUMIF(AA329:AA356,"=45037307",GN329:GN356),2)</f>
        <v>25871.13</v>
      </c>
      <c r="FU358" s="4">
        <f>ROUND(SUMIF(AA329:AA356,"=45037307",GO329:GO356),2)</f>
        <v>0</v>
      </c>
      <c r="FV358" s="4">
        <f>ROUND(SUMIF(AA329:AA356,"=45037307",GP329:GP356),2)</f>
        <v>0</v>
      </c>
      <c r="FW358" s="4">
        <f>DU358-FP358</f>
        <v>16350.29</v>
      </c>
      <c r="FX358" s="4">
        <f>DU358-FQ358</f>
        <v>16350.29</v>
      </c>
      <c r="FY358" s="4">
        <f>FP358-FR358</f>
        <v>0</v>
      </c>
      <c r="FZ358" s="4">
        <f>DU358-FP358-FQ358+FR358</f>
        <v>16350.29</v>
      </c>
      <c r="GA358" s="4">
        <f>FQ358-FR358</f>
        <v>0</v>
      </c>
      <c r="GB358" s="4">
        <f>ROUND(SUMIF(AA329:AA356,"=45037307",GX329:GX356),2)</f>
        <v>0</v>
      </c>
      <c r="GC358" s="4">
        <f>ROUND(SUMIF(AA329:AA356,"=45037307",GY329:GY356),2)</f>
        <v>0</v>
      </c>
      <c r="GD358" s="4">
        <f>ROUND(SUMIF(AA329:AA356,"=45037307",GZ329:GZ356),2)</f>
        <v>0</v>
      </c>
      <c r="GE358" s="4"/>
      <c r="GF358" s="4"/>
      <c r="GG358" s="4"/>
      <c r="GH358" s="4"/>
      <c r="GI358" s="4"/>
      <c r="GJ358" s="4"/>
      <c r="GK358" s="4"/>
      <c r="GL358" s="4"/>
      <c r="GM358" s="4"/>
      <c r="GN358" s="4"/>
      <c r="GO358" s="4"/>
      <c r="GP358" s="4"/>
      <c r="GQ358" s="4"/>
      <c r="GR358" s="4"/>
      <c r="GS358" s="4"/>
      <c r="GT358" s="4"/>
      <c r="GU358" s="4"/>
      <c r="GV358" s="4"/>
      <c r="GW358" s="4"/>
      <c r="GX358" s="4">
        <v>0</v>
      </c>
    </row>
    <row r="360" spans="1:255" x14ac:dyDescent="0.2">
      <c r="A360" s="5">
        <v>50</v>
      </c>
      <c r="B360" s="5">
        <v>0</v>
      </c>
      <c r="C360" s="5">
        <v>0</v>
      </c>
      <c r="D360" s="5">
        <v>1</v>
      </c>
      <c r="E360" s="5">
        <v>201</v>
      </c>
      <c r="F360" s="5">
        <f>ROUND(Source!O358,O360)</f>
        <v>4289.95</v>
      </c>
      <c r="G360" s="5" t="s">
        <v>117</v>
      </c>
      <c r="H360" s="5" t="s">
        <v>118</v>
      </c>
      <c r="I360" s="5"/>
      <c r="J360" s="5"/>
      <c r="K360" s="5">
        <v>201</v>
      </c>
      <c r="L360" s="5">
        <v>1</v>
      </c>
      <c r="M360" s="5">
        <v>3</v>
      </c>
      <c r="N360" s="5" t="s">
        <v>3</v>
      </c>
      <c r="O360" s="5">
        <v>2</v>
      </c>
      <c r="P360" s="5">
        <f>ROUND(Source!DG358,O360)</f>
        <v>20929.29</v>
      </c>
      <c r="Q360" s="5"/>
      <c r="R360" s="5"/>
      <c r="S360" s="5"/>
      <c r="T360" s="5"/>
      <c r="U360" s="5"/>
      <c r="V360" s="5"/>
      <c r="W360" s="5"/>
    </row>
    <row r="361" spans="1:255" x14ac:dyDescent="0.2">
      <c r="A361" s="5">
        <v>50</v>
      </c>
      <c r="B361" s="5">
        <v>0</v>
      </c>
      <c r="C361" s="5">
        <v>0</v>
      </c>
      <c r="D361" s="5">
        <v>1</v>
      </c>
      <c r="E361" s="5">
        <v>202</v>
      </c>
      <c r="F361" s="5">
        <f>ROUND(Source!P358,O361)</f>
        <v>3972.31</v>
      </c>
      <c r="G361" s="5" t="s">
        <v>119</v>
      </c>
      <c r="H361" s="5" t="s">
        <v>120</v>
      </c>
      <c r="I361" s="5"/>
      <c r="J361" s="5"/>
      <c r="K361" s="5">
        <v>202</v>
      </c>
      <c r="L361" s="5">
        <v>2</v>
      </c>
      <c r="M361" s="5">
        <v>3</v>
      </c>
      <c r="N361" s="5" t="s">
        <v>3</v>
      </c>
      <c r="O361" s="5">
        <v>2</v>
      </c>
      <c r="P361" s="5">
        <f>ROUND(Source!DH358,O361)</f>
        <v>16350.29</v>
      </c>
      <c r="Q361" s="5"/>
      <c r="R361" s="5"/>
      <c r="S361" s="5"/>
      <c r="T361" s="5"/>
      <c r="U361" s="5"/>
      <c r="V361" s="5"/>
      <c r="W361" s="5"/>
    </row>
    <row r="362" spans="1:255" x14ac:dyDescent="0.2">
      <c r="A362" s="5">
        <v>50</v>
      </c>
      <c r="B362" s="5">
        <v>0</v>
      </c>
      <c r="C362" s="5">
        <v>0</v>
      </c>
      <c r="D362" s="5">
        <v>1</v>
      </c>
      <c r="E362" s="5">
        <v>227</v>
      </c>
      <c r="F362" s="5">
        <f>ROUND(Source!AO358,O362)</f>
        <v>0</v>
      </c>
      <c r="G362" s="5" t="s">
        <v>121</v>
      </c>
      <c r="H362" s="5" t="s">
        <v>122</v>
      </c>
      <c r="I362" s="5"/>
      <c r="J362" s="5"/>
      <c r="K362" s="5">
        <v>222</v>
      </c>
      <c r="L362" s="5">
        <v>3</v>
      </c>
      <c r="M362" s="5">
        <v>3</v>
      </c>
      <c r="N362" s="5" t="s">
        <v>3</v>
      </c>
      <c r="O362" s="5">
        <v>2</v>
      </c>
      <c r="P362" s="5">
        <f>ROUND(Source!EG358,O362)</f>
        <v>0</v>
      </c>
      <c r="Q362" s="5"/>
      <c r="R362" s="5"/>
      <c r="S362" s="5"/>
      <c r="T362" s="5"/>
      <c r="U362" s="5"/>
      <c r="V362" s="5"/>
      <c r="W362" s="5"/>
    </row>
    <row r="363" spans="1:255" x14ac:dyDescent="0.2">
      <c r="A363" s="5">
        <v>50</v>
      </c>
      <c r="B363" s="5">
        <v>0</v>
      </c>
      <c r="C363" s="5">
        <v>0</v>
      </c>
      <c r="D363" s="5">
        <v>1</v>
      </c>
      <c r="E363" s="5">
        <v>225</v>
      </c>
      <c r="F363" s="5">
        <f>ROUND(Source!AV358,O363)</f>
        <v>3972.31</v>
      </c>
      <c r="G363" s="5" t="s">
        <v>123</v>
      </c>
      <c r="H363" s="5" t="s">
        <v>124</v>
      </c>
      <c r="I363" s="5"/>
      <c r="J363" s="5"/>
      <c r="K363" s="5">
        <v>225</v>
      </c>
      <c r="L363" s="5">
        <v>4</v>
      </c>
      <c r="M363" s="5">
        <v>3</v>
      </c>
      <c r="N363" s="5" t="s">
        <v>3</v>
      </c>
      <c r="O363" s="5">
        <v>2</v>
      </c>
      <c r="P363" s="5">
        <f>ROUND(Source!EN358,O363)</f>
        <v>16350.29</v>
      </c>
      <c r="Q363" s="5"/>
      <c r="R363" s="5"/>
      <c r="S363" s="5"/>
      <c r="T363" s="5"/>
      <c r="U363" s="5"/>
      <c r="V363" s="5"/>
      <c r="W363" s="5"/>
    </row>
    <row r="364" spans="1:255" x14ac:dyDescent="0.2">
      <c r="A364" s="5">
        <v>50</v>
      </c>
      <c r="B364" s="5">
        <v>0</v>
      </c>
      <c r="C364" s="5">
        <v>0</v>
      </c>
      <c r="D364" s="5">
        <v>1</v>
      </c>
      <c r="E364" s="5">
        <v>226</v>
      </c>
      <c r="F364" s="5">
        <f>ROUND(Source!AW358,O364)</f>
        <v>3972.31</v>
      </c>
      <c r="G364" s="5" t="s">
        <v>125</v>
      </c>
      <c r="H364" s="5" t="s">
        <v>126</v>
      </c>
      <c r="I364" s="5"/>
      <c r="J364" s="5"/>
      <c r="K364" s="5">
        <v>226</v>
      </c>
      <c r="L364" s="5">
        <v>5</v>
      </c>
      <c r="M364" s="5">
        <v>3</v>
      </c>
      <c r="N364" s="5" t="s">
        <v>3</v>
      </c>
      <c r="O364" s="5">
        <v>2</v>
      </c>
      <c r="P364" s="5">
        <f>ROUND(Source!EO358,O364)</f>
        <v>16350.29</v>
      </c>
      <c r="Q364" s="5"/>
      <c r="R364" s="5"/>
      <c r="S364" s="5"/>
      <c r="T364" s="5"/>
      <c r="U364" s="5"/>
      <c r="V364" s="5"/>
      <c r="W364" s="5"/>
    </row>
    <row r="365" spans="1:255" x14ac:dyDescent="0.2">
      <c r="A365" s="5">
        <v>50</v>
      </c>
      <c r="B365" s="5">
        <v>0</v>
      </c>
      <c r="C365" s="5">
        <v>0</v>
      </c>
      <c r="D365" s="5">
        <v>1</v>
      </c>
      <c r="E365" s="5">
        <v>0</v>
      </c>
      <c r="F365" s="5">
        <f>ROUND(Source!AX358,O365)</f>
        <v>0</v>
      </c>
      <c r="G365" s="5" t="s">
        <v>127</v>
      </c>
      <c r="H365" s="5" t="s">
        <v>128</v>
      </c>
      <c r="I365" s="5"/>
      <c r="J365" s="5"/>
      <c r="K365" s="5">
        <v>227</v>
      </c>
      <c r="L365" s="5">
        <v>6</v>
      </c>
      <c r="M365" s="5">
        <v>3</v>
      </c>
      <c r="N365" s="5" t="s">
        <v>3</v>
      </c>
      <c r="O365" s="5">
        <v>2</v>
      </c>
      <c r="P365" s="5">
        <f>ROUND(Source!EP358,O365)</f>
        <v>0</v>
      </c>
      <c r="Q365" s="5"/>
      <c r="R365" s="5"/>
      <c r="S365" s="5"/>
      <c r="T365" s="5"/>
      <c r="U365" s="5"/>
      <c r="V365" s="5"/>
      <c r="W365" s="5"/>
    </row>
    <row r="366" spans="1:255" x14ac:dyDescent="0.2">
      <c r="A366" s="5">
        <v>50</v>
      </c>
      <c r="B366" s="5">
        <v>0</v>
      </c>
      <c r="C366" s="5">
        <v>0</v>
      </c>
      <c r="D366" s="5">
        <v>1</v>
      </c>
      <c r="E366" s="5">
        <v>228</v>
      </c>
      <c r="F366" s="5">
        <f>ROUND(Source!AY358,O366)</f>
        <v>3972.31</v>
      </c>
      <c r="G366" s="5" t="s">
        <v>129</v>
      </c>
      <c r="H366" s="5" t="s">
        <v>130</v>
      </c>
      <c r="I366" s="5"/>
      <c r="J366" s="5"/>
      <c r="K366" s="5">
        <v>228</v>
      </c>
      <c r="L366" s="5">
        <v>7</v>
      </c>
      <c r="M366" s="5">
        <v>3</v>
      </c>
      <c r="N366" s="5" t="s">
        <v>3</v>
      </c>
      <c r="O366" s="5">
        <v>2</v>
      </c>
      <c r="P366" s="5">
        <f>ROUND(Source!EQ358,O366)</f>
        <v>16350.29</v>
      </c>
      <c r="Q366" s="5"/>
      <c r="R366" s="5"/>
      <c r="S366" s="5"/>
      <c r="T366" s="5"/>
      <c r="U366" s="5"/>
      <c r="V366" s="5"/>
      <c r="W366" s="5"/>
    </row>
    <row r="367" spans="1:255" x14ac:dyDescent="0.2">
      <c r="A367" s="5">
        <v>50</v>
      </c>
      <c r="B367" s="5">
        <v>0</v>
      </c>
      <c r="C367" s="5">
        <v>0</v>
      </c>
      <c r="D367" s="5">
        <v>1</v>
      </c>
      <c r="E367" s="5">
        <v>216</v>
      </c>
      <c r="F367" s="5">
        <f>ROUND(Source!AP358,O367)</f>
        <v>0</v>
      </c>
      <c r="G367" s="5" t="s">
        <v>131</v>
      </c>
      <c r="H367" s="5" t="s">
        <v>132</v>
      </c>
      <c r="I367" s="5"/>
      <c r="J367" s="5"/>
      <c r="K367" s="5">
        <v>216</v>
      </c>
      <c r="L367" s="5">
        <v>8</v>
      </c>
      <c r="M367" s="5">
        <v>3</v>
      </c>
      <c r="N367" s="5" t="s">
        <v>3</v>
      </c>
      <c r="O367" s="5">
        <v>2</v>
      </c>
      <c r="P367" s="5">
        <f>ROUND(Source!EH358,O367)</f>
        <v>0</v>
      </c>
      <c r="Q367" s="5"/>
      <c r="R367" s="5"/>
      <c r="S367" s="5"/>
      <c r="T367" s="5"/>
      <c r="U367" s="5"/>
      <c r="V367" s="5"/>
      <c r="W367" s="5"/>
    </row>
    <row r="368" spans="1:255" x14ac:dyDescent="0.2">
      <c r="A368" s="5">
        <v>50</v>
      </c>
      <c r="B368" s="5">
        <v>0</v>
      </c>
      <c r="C368" s="5">
        <v>0</v>
      </c>
      <c r="D368" s="5">
        <v>1</v>
      </c>
      <c r="E368" s="5">
        <v>223</v>
      </c>
      <c r="F368" s="5">
        <f>ROUND(Source!AQ358,O368)</f>
        <v>0</v>
      </c>
      <c r="G368" s="5" t="s">
        <v>133</v>
      </c>
      <c r="H368" s="5" t="s">
        <v>134</v>
      </c>
      <c r="I368" s="5"/>
      <c r="J368" s="5"/>
      <c r="K368" s="5">
        <v>223</v>
      </c>
      <c r="L368" s="5">
        <v>9</v>
      </c>
      <c r="M368" s="5">
        <v>3</v>
      </c>
      <c r="N368" s="5" t="s">
        <v>3</v>
      </c>
      <c r="O368" s="5">
        <v>2</v>
      </c>
      <c r="P368" s="5">
        <f>ROUND(Source!EI358,O368)</f>
        <v>0</v>
      </c>
      <c r="Q368" s="5"/>
      <c r="R368" s="5"/>
      <c r="S368" s="5"/>
      <c r="T368" s="5"/>
      <c r="U368" s="5"/>
      <c r="V368" s="5"/>
      <c r="W368" s="5"/>
    </row>
    <row r="369" spans="1:23" x14ac:dyDescent="0.2">
      <c r="A369" s="5">
        <v>50</v>
      </c>
      <c r="B369" s="5">
        <v>0</v>
      </c>
      <c r="C369" s="5">
        <v>0</v>
      </c>
      <c r="D369" s="5">
        <v>1</v>
      </c>
      <c r="E369" s="5">
        <v>229</v>
      </c>
      <c r="F369" s="5">
        <f>ROUND(Source!AZ358,O369)</f>
        <v>0</v>
      </c>
      <c r="G369" s="5" t="s">
        <v>135</v>
      </c>
      <c r="H369" s="5" t="s">
        <v>136</v>
      </c>
      <c r="I369" s="5"/>
      <c r="J369" s="5"/>
      <c r="K369" s="5">
        <v>229</v>
      </c>
      <c r="L369" s="5">
        <v>10</v>
      </c>
      <c r="M369" s="5">
        <v>3</v>
      </c>
      <c r="N369" s="5" t="s">
        <v>3</v>
      </c>
      <c r="O369" s="5">
        <v>2</v>
      </c>
      <c r="P369" s="5">
        <f>ROUND(Source!ER358,O369)</f>
        <v>0</v>
      </c>
      <c r="Q369" s="5"/>
      <c r="R369" s="5"/>
      <c r="S369" s="5"/>
      <c r="T369" s="5"/>
      <c r="U369" s="5"/>
      <c r="V369" s="5"/>
      <c r="W369" s="5"/>
    </row>
    <row r="370" spans="1:23" x14ac:dyDescent="0.2">
      <c r="A370" s="5">
        <v>50</v>
      </c>
      <c r="B370" s="5">
        <v>0</v>
      </c>
      <c r="C370" s="5">
        <v>0</v>
      </c>
      <c r="D370" s="5">
        <v>1</v>
      </c>
      <c r="E370" s="5">
        <v>203</v>
      </c>
      <c r="F370" s="5">
        <f>ROUND(Source!Q358,O370)</f>
        <v>165.95</v>
      </c>
      <c r="G370" s="5" t="s">
        <v>137</v>
      </c>
      <c r="H370" s="5" t="s">
        <v>138</v>
      </c>
      <c r="I370" s="5"/>
      <c r="J370" s="5"/>
      <c r="K370" s="5">
        <v>203</v>
      </c>
      <c r="L370" s="5">
        <v>11</v>
      </c>
      <c r="M370" s="5">
        <v>3</v>
      </c>
      <c r="N370" s="5" t="s">
        <v>3</v>
      </c>
      <c r="O370" s="5">
        <v>2</v>
      </c>
      <c r="P370" s="5">
        <f>ROUND(Source!DI358,O370)</f>
        <v>1484.46</v>
      </c>
      <c r="Q370" s="5"/>
      <c r="R370" s="5"/>
      <c r="S370" s="5"/>
      <c r="T370" s="5"/>
      <c r="U370" s="5"/>
      <c r="V370" s="5"/>
      <c r="W370" s="5"/>
    </row>
    <row r="371" spans="1:23" x14ac:dyDescent="0.2">
      <c r="A371" s="5">
        <v>50</v>
      </c>
      <c r="B371" s="5">
        <v>0</v>
      </c>
      <c r="C371" s="5">
        <v>0</v>
      </c>
      <c r="D371" s="5">
        <v>1</v>
      </c>
      <c r="E371" s="5">
        <v>231</v>
      </c>
      <c r="F371" s="5">
        <f>ROUND(Source!BB358,O371)</f>
        <v>0</v>
      </c>
      <c r="G371" s="5" t="s">
        <v>139</v>
      </c>
      <c r="H371" s="5" t="s">
        <v>140</v>
      </c>
      <c r="I371" s="5"/>
      <c r="J371" s="5"/>
      <c r="K371" s="5">
        <v>231</v>
      </c>
      <c r="L371" s="5">
        <v>12</v>
      </c>
      <c r="M371" s="5">
        <v>3</v>
      </c>
      <c r="N371" s="5" t="s">
        <v>3</v>
      </c>
      <c r="O371" s="5">
        <v>2</v>
      </c>
      <c r="P371" s="5">
        <f>ROUND(Source!ET358,O371)</f>
        <v>0</v>
      </c>
      <c r="Q371" s="5"/>
      <c r="R371" s="5"/>
      <c r="S371" s="5"/>
      <c r="T371" s="5"/>
      <c r="U371" s="5"/>
      <c r="V371" s="5"/>
      <c r="W371" s="5"/>
    </row>
    <row r="372" spans="1:23" x14ac:dyDescent="0.2">
      <c r="A372" s="5">
        <v>50</v>
      </c>
      <c r="B372" s="5">
        <v>0</v>
      </c>
      <c r="C372" s="5">
        <v>0</v>
      </c>
      <c r="D372" s="5">
        <v>1</v>
      </c>
      <c r="E372" s="5">
        <v>204</v>
      </c>
      <c r="F372" s="5">
        <f>ROUND(Source!R358,O372)</f>
        <v>45.64</v>
      </c>
      <c r="G372" s="5" t="s">
        <v>141</v>
      </c>
      <c r="H372" s="5" t="s">
        <v>142</v>
      </c>
      <c r="I372" s="5"/>
      <c r="J372" s="5"/>
      <c r="K372" s="5">
        <v>204</v>
      </c>
      <c r="L372" s="5">
        <v>13</v>
      </c>
      <c r="M372" s="5">
        <v>3</v>
      </c>
      <c r="N372" s="5" t="s">
        <v>3</v>
      </c>
      <c r="O372" s="5">
        <v>2</v>
      </c>
      <c r="P372" s="5">
        <f>ROUND(Source!DJ358,O372)</f>
        <v>931.01</v>
      </c>
      <c r="Q372" s="5"/>
      <c r="R372" s="5"/>
      <c r="S372" s="5"/>
      <c r="T372" s="5"/>
      <c r="U372" s="5"/>
      <c r="V372" s="5"/>
      <c r="W372" s="5"/>
    </row>
    <row r="373" spans="1:23" x14ac:dyDescent="0.2">
      <c r="A373" s="5">
        <v>50</v>
      </c>
      <c r="B373" s="5">
        <v>0</v>
      </c>
      <c r="C373" s="5">
        <v>0</v>
      </c>
      <c r="D373" s="5">
        <v>1</v>
      </c>
      <c r="E373" s="5">
        <v>205</v>
      </c>
      <c r="F373" s="5">
        <f>ROUND(Source!S358,O373)</f>
        <v>151.69</v>
      </c>
      <c r="G373" s="5" t="s">
        <v>143</v>
      </c>
      <c r="H373" s="5" t="s">
        <v>144</v>
      </c>
      <c r="I373" s="5"/>
      <c r="J373" s="5"/>
      <c r="K373" s="5">
        <v>205</v>
      </c>
      <c r="L373" s="5">
        <v>14</v>
      </c>
      <c r="M373" s="5">
        <v>3</v>
      </c>
      <c r="N373" s="5" t="s">
        <v>3</v>
      </c>
      <c r="O373" s="5">
        <v>2</v>
      </c>
      <c r="P373" s="5">
        <f>ROUND(Source!DK358,O373)</f>
        <v>3094.54</v>
      </c>
      <c r="Q373" s="5"/>
      <c r="R373" s="5"/>
      <c r="S373" s="5"/>
      <c r="T373" s="5"/>
      <c r="U373" s="5"/>
      <c r="V373" s="5"/>
      <c r="W373" s="5"/>
    </row>
    <row r="374" spans="1:23" x14ac:dyDescent="0.2">
      <c r="A374" s="5">
        <v>50</v>
      </c>
      <c r="B374" s="5">
        <v>0</v>
      </c>
      <c r="C374" s="5">
        <v>0</v>
      </c>
      <c r="D374" s="5">
        <v>1</v>
      </c>
      <c r="E374" s="5">
        <v>232</v>
      </c>
      <c r="F374" s="5">
        <f>ROUND(Source!BC358,O374)</f>
        <v>0</v>
      </c>
      <c r="G374" s="5" t="s">
        <v>145</v>
      </c>
      <c r="H374" s="5" t="s">
        <v>146</v>
      </c>
      <c r="I374" s="5"/>
      <c r="J374" s="5"/>
      <c r="K374" s="5">
        <v>232</v>
      </c>
      <c r="L374" s="5">
        <v>15</v>
      </c>
      <c r="M374" s="5">
        <v>3</v>
      </c>
      <c r="N374" s="5" t="s">
        <v>3</v>
      </c>
      <c r="O374" s="5">
        <v>2</v>
      </c>
      <c r="P374" s="5">
        <f>ROUND(Source!EU358,O374)</f>
        <v>0</v>
      </c>
      <c r="Q374" s="5"/>
      <c r="R374" s="5"/>
      <c r="S374" s="5"/>
      <c r="T374" s="5"/>
      <c r="U374" s="5"/>
      <c r="V374" s="5"/>
      <c r="W374" s="5"/>
    </row>
    <row r="375" spans="1:23" x14ac:dyDescent="0.2">
      <c r="A375" s="5">
        <v>50</v>
      </c>
      <c r="B375" s="5">
        <v>0</v>
      </c>
      <c r="C375" s="5">
        <v>0</v>
      </c>
      <c r="D375" s="5">
        <v>1</v>
      </c>
      <c r="E375" s="5">
        <v>214</v>
      </c>
      <c r="F375" s="5">
        <f>ROUND(Source!AS358,O375)</f>
        <v>4372.1000000000004</v>
      </c>
      <c r="G375" s="5" t="s">
        <v>147</v>
      </c>
      <c r="H375" s="5" t="s">
        <v>148</v>
      </c>
      <c r="I375" s="5"/>
      <c r="J375" s="5"/>
      <c r="K375" s="5">
        <v>214</v>
      </c>
      <c r="L375" s="5">
        <v>16</v>
      </c>
      <c r="M375" s="5">
        <v>3</v>
      </c>
      <c r="N375" s="5" t="s">
        <v>3</v>
      </c>
      <c r="O375" s="5">
        <v>2</v>
      </c>
      <c r="P375" s="5">
        <f>ROUND(Source!EK358,O375)</f>
        <v>25871.13</v>
      </c>
      <c r="Q375" s="5"/>
      <c r="R375" s="5"/>
      <c r="S375" s="5"/>
      <c r="T375" s="5"/>
      <c r="U375" s="5"/>
      <c r="V375" s="5"/>
      <c r="W375" s="5"/>
    </row>
    <row r="376" spans="1:23" x14ac:dyDescent="0.2">
      <c r="A376" s="5">
        <v>50</v>
      </c>
      <c r="B376" s="5">
        <v>0</v>
      </c>
      <c r="C376" s="5">
        <v>0</v>
      </c>
      <c r="D376" s="5">
        <v>1</v>
      </c>
      <c r="E376" s="5">
        <v>215</v>
      </c>
      <c r="F376" s="5">
        <f>ROUND(Source!AT358,O376)</f>
        <v>0</v>
      </c>
      <c r="G376" s="5" t="s">
        <v>149</v>
      </c>
      <c r="H376" s="5" t="s">
        <v>150</v>
      </c>
      <c r="I376" s="5"/>
      <c r="J376" s="5"/>
      <c r="K376" s="5">
        <v>215</v>
      </c>
      <c r="L376" s="5">
        <v>17</v>
      </c>
      <c r="M376" s="5">
        <v>3</v>
      </c>
      <c r="N376" s="5" t="s">
        <v>3</v>
      </c>
      <c r="O376" s="5">
        <v>2</v>
      </c>
      <c r="P376" s="5">
        <f>ROUND(Source!EL358,O376)</f>
        <v>0</v>
      </c>
      <c r="Q376" s="5"/>
      <c r="R376" s="5"/>
      <c r="S376" s="5"/>
      <c r="T376" s="5"/>
      <c r="U376" s="5"/>
      <c r="V376" s="5"/>
      <c r="W376" s="5"/>
    </row>
    <row r="377" spans="1:23" x14ac:dyDescent="0.2">
      <c r="A377" s="5">
        <v>50</v>
      </c>
      <c r="B377" s="5">
        <v>0</v>
      </c>
      <c r="C377" s="5">
        <v>0</v>
      </c>
      <c r="D377" s="5">
        <v>1</v>
      </c>
      <c r="E377" s="5">
        <v>217</v>
      </c>
      <c r="F377" s="5">
        <f>ROUND(Source!AU358,O377)</f>
        <v>0</v>
      </c>
      <c r="G377" s="5" t="s">
        <v>151</v>
      </c>
      <c r="H377" s="5" t="s">
        <v>152</v>
      </c>
      <c r="I377" s="5"/>
      <c r="J377" s="5"/>
      <c r="K377" s="5">
        <v>217</v>
      </c>
      <c r="L377" s="5">
        <v>18</v>
      </c>
      <c r="M377" s="5">
        <v>3</v>
      </c>
      <c r="N377" s="5" t="s">
        <v>3</v>
      </c>
      <c r="O377" s="5">
        <v>2</v>
      </c>
      <c r="P377" s="5">
        <f>ROUND(Source!EM358,O377)</f>
        <v>0</v>
      </c>
      <c r="Q377" s="5"/>
      <c r="R377" s="5"/>
      <c r="S377" s="5"/>
      <c r="T377" s="5"/>
      <c r="U377" s="5"/>
      <c r="V377" s="5"/>
      <c r="W377" s="5"/>
    </row>
    <row r="378" spans="1:23" x14ac:dyDescent="0.2">
      <c r="A378" s="5">
        <v>50</v>
      </c>
      <c r="B378" s="5">
        <v>0</v>
      </c>
      <c r="C378" s="5">
        <v>0</v>
      </c>
      <c r="D378" s="5">
        <v>1</v>
      </c>
      <c r="E378" s="5">
        <v>230</v>
      </c>
      <c r="F378" s="5">
        <f>ROUND(Source!BA358,O378)</f>
        <v>0</v>
      </c>
      <c r="G378" s="5" t="s">
        <v>153</v>
      </c>
      <c r="H378" s="5" t="s">
        <v>154</v>
      </c>
      <c r="I378" s="5"/>
      <c r="J378" s="5"/>
      <c r="K378" s="5">
        <v>230</v>
      </c>
      <c r="L378" s="5">
        <v>19</v>
      </c>
      <c r="M378" s="5">
        <v>3</v>
      </c>
      <c r="N378" s="5" t="s">
        <v>3</v>
      </c>
      <c r="O378" s="5">
        <v>2</v>
      </c>
      <c r="P378" s="5">
        <f>ROUND(Source!ES358,O378)</f>
        <v>0</v>
      </c>
      <c r="Q378" s="5"/>
      <c r="R378" s="5"/>
      <c r="S378" s="5"/>
      <c r="T378" s="5"/>
      <c r="U378" s="5"/>
      <c r="V378" s="5"/>
      <c r="W378" s="5"/>
    </row>
    <row r="379" spans="1:23" x14ac:dyDescent="0.2">
      <c r="A379" s="5">
        <v>50</v>
      </c>
      <c r="B379" s="5">
        <v>0</v>
      </c>
      <c r="C379" s="5">
        <v>0</v>
      </c>
      <c r="D379" s="5">
        <v>1</v>
      </c>
      <c r="E379" s="5">
        <v>206</v>
      </c>
      <c r="F379" s="5">
        <f>ROUND(Source!T358,O379)</f>
        <v>0</v>
      </c>
      <c r="G379" s="5" t="s">
        <v>155</v>
      </c>
      <c r="H379" s="5" t="s">
        <v>156</v>
      </c>
      <c r="I379" s="5"/>
      <c r="J379" s="5"/>
      <c r="K379" s="5">
        <v>206</v>
      </c>
      <c r="L379" s="5">
        <v>20</v>
      </c>
      <c r="M379" s="5">
        <v>3</v>
      </c>
      <c r="N379" s="5" t="s">
        <v>3</v>
      </c>
      <c r="O379" s="5">
        <v>2</v>
      </c>
      <c r="P379" s="5">
        <f>ROUND(Source!DL358,O379)</f>
        <v>0</v>
      </c>
      <c r="Q379" s="5"/>
      <c r="R379" s="5"/>
      <c r="S379" s="5"/>
      <c r="T379" s="5"/>
      <c r="U379" s="5"/>
      <c r="V379" s="5"/>
      <c r="W379" s="5"/>
    </row>
    <row r="380" spans="1:23" x14ac:dyDescent="0.2">
      <c r="A380" s="5">
        <v>50</v>
      </c>
      <c r="B380" s="5">
        <v>0</v>
      </c>
      <c r="C380" s="5">
        <v>0</v>
      </c>
      <c r="D380" s="5">
        <v>1</v>
      </c>
      <c r="E380" s="5">
        <v>207</v>
      </c>
      <c r="F380" s="5">
        <f>Source!U358</f>
        <v>11.56785</v>
      </c>
      <c r="G380" s="5" t="s">
        <v>157</v>
      </c>
      <c r="H380" s="5" t="s">
        <v>158</v>
      </c>
      <c r="I380" s="5"/>
      <c r="J380" s="5"/>
      <c r="K380" s="5">
        <v>207</v>
      </c>
      <c r="L380" s="5">
        <v>21</v>
      </c>
      <c r="M380" s="5">
        <v>3</v>
      </c>
      <c r="N380" s="5" t="s">
        <v>3</v>
      </c>
      <c r="O380" s="5">
        <v>-1</v>
      </c>
      <c r="P380" s="5">
        <f>Source!DM358</f>
        <v>11.56785</v>
      </c>
      <c r="Q380" s="5"/>
      <c r="R380" s="5"/>
      <c r="S380" s="5"/>
      <c r="T380" s="5"/>
      <c r="U380" s="5"/>
      <c r="V380" s="5"/>
      <c r="W380" s="5"/>
    </row>
    <row r="381" spans="1:23" x14ac:dyDescent="0.2">
      <c r="A381" s="5">
        <v>50</v>
      </c>
      <c r="B381" s="5">
        <v>0</v>
      </c>
      <c r="C381" s="5">
        <v>0</v>
      </c>
      <c r="D381" s="5">
        <v>1</v>
      </c>
      <c r="E381" s="5">
        <v>208</v>
      </c>
      <c r="F381" s="5">
        <f>Source!V358</f>
        <v>0</v>
      </c>
      <c r="G381" s="5" t="s">
        <v>159</v>
      </c>
      <c r="H381" s="5" t="s">
        <v>160</v>
      </c>
      <c r="I381" s="5"/>
      <c r="J381" s="5"/>
      <c r="K381" s="5">
        <v>208</v>
      </c>
      <c r="L381" s="5">
        <v>22</v>
      </c>
      <c r="M381" s="5">
        <v>3</v>
      </c>
      <c r="N381" s="5" t="s">
        <v>3</v>
      </c>
      <c r="O381" s="5">
        <v>-1</v>
      </c>
      <c r="P381" s="5">
        <f>Source!DN358</f>
        <v>0</v>
      </c>
      <c r="Q381" s="5"/>
      <c r="R381" s="5"/>
      <c r="S381" s="5"/>
      <c r="T381" s="5"/>
      <c r="U381" s="5"/>
      <c r="V381" s="5"/>
      <c r="W381" s="5"/>
    </row>
    <row r="382" spans="1:23" x14ac:dyDescent="0.2">
      <c r="A382" s="5">
        <v>50</v>
      </c>
      <c r="B382" s="5">
        <v>0</v>
      </c>
      <c r="C382" s="5">
        <v>0</v>
      </c>
      <c r="D382" s="5">
        <v>1</v>
      </c>
      <c r="E382" s="5">
        <v>209</v>
      </c>
      <c r="F382" s="5">
        <f>ROUND(Source!W358,O382)</f>
        <v>0</v>
      </c>
      <c r="G382" s="5" t="s">
        <v>161</v>
      </c>
      <c r="H382" s="5" t="s">
        <v>162</v>
      </c>
      <c r="I382" s="5"/>
      <c r="J382" s="5"/>
      <c r="K382" s="5">
        <v>209</v>
      </c>
      <c r="L382" s="5">
        <v>23</v>
      </c>
      <c r="M382" s="5">
        <v>3</v>
      </c>
      <c r="N382" s="5" t="s">
        <v>3</v>
      </c>
      <c r="O382" s="5">
        <v>2</v>
      </c>
      <c r="P382" s="5">
        <f>ROUND(Source!DO358,O382)</f>
        <v>0</v>
      </c>
      <c r="Q382" s="5"/>
      <c r="R382" s="5"/>
      <c r="S382" s="5"/>
      <c r="T382" s="5"/>
      <c r="U382" s="5"/>
      <c r="V382" s="5"/>
      <c r="W382" s="5"/>
    </row>
    <row r="383" spans="1:23" x14ac:dyDescent="0.2">
      <c r="A383" s="5">
        <v>50</v>
      </c>
      <c r="B383" s="5">
        <v>0</v>
      </c>
      <c r="C383" s="5">
        <v>0</v>
      </c>
      <c r="D383" s="5">
        <v>1</v>
      </c>
      <c r="E383" s="5">
        <v>210</v>
      </c>
      <c r="F383" s="5">
        <f>ROUND(Source!X358,O383)</f>
        <v>0</v>
      </c>
      <c r="G383" s="5" t="s">
        <v>163</v>
      </c>
      <c r="H383" s="5" t="s">
        <v>164</v>
      </c>
      <c r="I383" s="5"/>
      <c r="J383" s="5"/>
      <c r="K383" s="5">
        <v>210</v>
      </c>
      <c r="L383" s="5">
        <v>24</v>
      </c>
      <c r="M383" s="5">
        <v>3</v>
      </c>
      <c r="N383" s="5" t="s">
        <v>3</v>
      </c>
      <c r="O383" s="5">
        <v>2</v>
      </c>
      <c r="P383" s="5">
        <f>ROUND(Source!DP358,O383)</f>
        <v>2108.98</v>
      </c>
      <c r="Q383" s="5"/>
      <c r="R383" s="5"/>
      <c r="S383" s="5"/>
      <c r="T383" s="5"/>
      <c r="U383" s="5"/>
      <c r="V383" s="5"/>
      <c r="W383" s="5"/>
    </row>
    <row r="384" spans="1:23" x14ac:dyDescent="0.2">
      <c r="A384" s="5">
        <v>50</v>
      </c>
      <c r="B384" s="5">
        <v>0</v>
      </c>
      <c r="C384" s="5">
        <v>0</v>
      </c>
      <c r="D384" s="5">
        <v>1</v>
      </c>
      <c r="E384" s="5">
        <v>211</v>
      </c>
      <c r="F384" s="5">
        <f>ROUND(Source!Y358,O384)</f>
        <v>0</v>
      </c>
      <c r="G384" s="5" t="s">
        <v>165</v>
      </c>
      <c r="H384" s="5" t="s">
        <v>166</v>
      </c>
      <c r="I384" s="5"/>
      <c r="J384" s="5"/>
      <c r="K384" s="5">
        <v>211</v>
      </c>
      <c r="L384" s="5">
        <v>25</v>
      </c>
      <c r="M384" s="5">
        <v>3</v>
      </c>
      <c r="N384" s="5" t="s">
        <v>3</v>
      </c>
      <c r="O384" s="5">
        <v>2</v>
      </c>
      <c r="P384" s="5">
        <f>ROUND(Source!DQ358,O384)</f>
        <v>1268.76</v>
      </c>
      <c r="Q384" s="5"/>
      <c r="R384" s="5"/>
      <c r="S384" s="5"/>
      <c r="T384" s="5"/>
      <c r="U384" s="5"/>
      <c r="V384" s="5"/>
      <c r="W384" s="5"/>
    </row>
    <row r="385" spans="1:255" x14ac:dyDescent="0.2">
      <c r="A385" s="5">
        <v>50</v>
      </c>
      <c r="B385" s="5">
        <v>0</v>
      </c>
      <c r="C385" s="5">
        <v>0</v>
      </c>
      <c r="D385" s="5">
        <v>1</v>
      </c>
      <c r="E385" s="5">
        <v>224</v>
      </c>
      <c r="F385" s="5">
        <f>ROUND(Source!AR358,O385)</f>
        <v>4372.1000000000004</v>
      </c>
      <c r="G385" s="5" t="s">
        <v>167</v>
      </c>
      <c r="H385" s="5" t="s">
        <v>168</v>
      </c>
      <c r="I385" s="5"/>
      <c r="J385" s="5"/>
      <c r="K385" s="5">
        <v>224</v>
      </c>
      <c r="L385" s="5">
        <v>26</v>
      </c>
      <c r="M385" s="5">
        <v>3</v>
      </c>
      <c r="N385" s="5" t="s">
        <v>3</v>
      </c>
      <c r="O385" s="5">
        <v>2</v>
      </c>
      <c r="P385" s="5">
        <f>ROUND(Source!EJ358,O385)</f>
        <v>25871.13</v>
      </c>
      <c r="Q385" s="5"/>
      <c r="R385" s="5"/>
      <c r="S385" s="5"/>
      <c r="T385" s="5"/>
      <c r="U385" s="5"/>
      <c r="V385" s="5"/>
      <c r="W385" s="5"/>
    </row>
    <row r="387" spans="1:255" x14ac:dyDescent="0.2">
      <c r="A387" s="1">
        <v>5</v>
      </c>
      <c r="B387" s="1">
        <v>1</v>
      </c>
      <c r="C387" s="1"/>
      <c r="D387" s="1">
        <f>ROW(A420)</f>
        <v>420</v>
      </c>
      <c r="E387" s="1"/>
      <c r="F387" s="1" t="s">
        <v>170</v>
      </c>
      <c r="G387" s="1" t="s">
        <v>448</v>
      </c>
      <c r="H387" s="1" t="s">
        <v>3</v>
      </c>
      <c r="I387" s="1">
        <v>0</v>
      </c>
      <c r="J387" s="1"/>
      <c r="K387" s="1">
        <v>0</v>
      </c>
      <c r="L387" s="1"/>
      <c r="M387" s="1"/>
      <c r="N387" s="1"/>
      <c r="O387" s="1"/>
      <c r="P387" s="1"/>
      <c r="Q387" s="1"/>
      <c r="R387" s="1"/>
      <c r="S387" s="1"/>
      <c r="T387" s="1"/>
      <c r="U387" s="1" t="s">
        <v>3</v>
      </c>
      <c r="V387" s="1">
        <v>0</v>
      </c>
      <c r="W387" s="1"/>
      <c r="X387" s="1"/>
      <c r="Y387" s="1"/>
      <c r="Z387" s="1"/>
      <c r="AA387" s="1"/>
      <c r="AB387" s="1" t="s">
        <v>3</v>
      </c>
      <c r="AC387" s="1" t="s">
        <v>3</v>
      </c>
      <c r="AD387" s="1" t="s">
        <v>3</v>
      </c>
      <c r="AE387" s="1" t="s">
        <v>3</v>
      </c>
      <c r="AF387" s="1" t="s">
        <v>3</v>
      </c>
      <c r="AG387" s="1" t="s">
        <v>3</v>
      </c>
      <c r="AH387" s="1"/>
      <c r="AI387" s="1"/>
      <c r="AJ387" s="1"/>
      <c r="AK387" s="1"/>
      <c r="AL387" s="1"/>
      <c r="AM387" s="1"/>
      <c r="AN387" s="1"/>
      <c r="AO387" s="1"/>
      <c r="AP387" s="1" t="s">
        <v>3</v>
      </c>
      <c r="AQ387" s="1" t="s">
        <v>3</v>
      </c>
      <c r="AR387" s="1" t="s">
        <v>3</v>
      </c>
      <c r="AS387" s="1"/>
      <c r="AT387" s="1"/>
      <c r="AU387" s="1"/>
      <c r="AV387" s="1"/>
      <c r="AW387" s="1"/>
      <c r="AX387" s="1"/>
      <c r="AY387" s="1"/>
      <c r="AZ387" s="1" t="s">
        <v>3</v>
      </c>
      <c r="BA387" s="1"/>
      <c r="BB387" s="1" t="s">
        <v>3</v>
      </c>
      <c r="BC387" s="1" t="s">
        <v>3</v>
      </c>
      <c r="BD387" s="1" t="s">
        <v>3</v>
      </c>
      <c r="BE387" s="1" t="s">
        <v>3</v>
      </c>
      <c r="BF387" s="1" t="s">
        <v>3</v>
      </c>
      <c r="BG387" s="1" t="s">
        <v>3</v>
      </c>
      <c r="BH387" s="1" t="s">
        <v>3</v>
      </c>
      <c r="BI387" s="1" t="s">
        <v>3</v>
      </c>
      <c r="BJ387" s="1" t="s">
        <v>3</v>
      </c>
      <c r="BK387" s="1" t="s">
        <v>3</v>
      </c>
      <c r="BL387" s="1" t="s">
        <v>3</v>
      </c>
      <c r="BM387" s="1" t="s">
        <v>3</v>
      </c>
      <c r="BN387" s="1" t="s">
        <v>3</v>
      </c>
      <c r="BO387" s="1" t="s">
        <v>3</v>
      </c>
      <c r="BP387" s="1" t="s">
        <v>3</v>
      </c>
      <c r="BQ387" s="1"/>
      <c r="BR387" s="1"/>
      <c r="BS387" s="1"/>
      <c r="BT387" s="1"/>
      <c r="BU387" s="1"/>
      <c r="BV387" s="1"/>
      <c r="BW387" s="1"/>
      <c r="BX387" s="1">
        <v>0</v>
      </c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>
        <v>0</v>
      </c>
    </row>
    <row r="389" spans="1:255" x14ac:dyDescent="0.2">
      <c r="A389" s="3">
        <v>52</v>
      </c>
      <c r="B389" s="3">
        <f t="shared" ref="B389:G389" si="343">B420</f>
        <v>1</v>
      </c>
      <c r="C389" s="3">
        <f t="shared" si="343"/>
        <v>5</v>
      </c>
      <c r="D389" s="3">
        <f t="shared" si="343"/>
        <v>387</v>
      </c>
      <c r="E389" s="3">
        <f t="shared" si="343"/>
        <v>0</v>
      </c>
      <c r="F389" s="3" t="str">
        <f t="shared" si="343"/>
        <v>Новый подраздел</v>
      </c>
      <c r="G389" s="3" t="str">
        <f t="shared" si="343"/>
        <v>Сети связи</v>
      </c>
      <c r="H389" s="3"/>
      <c r="I389" s="3"/>
      <c r="J389" s="3"/>
      <c r="K389" s="3"/>
      <c r="L389" s="3"/>
      <c r="M389" s="3"/>
      <c r="N389" s="3"/>
      <c r="O389" s="3">
        <f t="shared" ref="O389:AT389" si="344">O420</f>
        <v>2417.37</v>
      </c>
      <c r="P389" s="3">
        <f t="shared" si="344"/>
        <v>2170.6799999999998</v>
      </c>
      <c r="Q389" s="3">
        <f t="shared" si="344"/>
        <v>36.619999999999997</v>
      </c>
      <c r="R389" s="3">
        <f t="shared" si="344"/>
        <v>8.85</v>
      </c>
      <c r="S389" s="3">
        <f t="shared" si="344"/>
        <v>210.07</v>
      </c>
      <c r="T389" s="3">
        <f t="shared" si="344"/>
        <v>0</v>
      </c>
      <c r="U389" s="3">
        <f t="shared" si="344"/>
        <v>17.955754999999996</v>
      </c>
      <c r="V389" s="3">
        <f t="shared" si="344"/>
        <v>0</v>
      </c>
      <c r="W389" s="3">
        <f t="shared" si="344"/>
        <v>0</v>
      </c>
      <c r="X389" s="3">
        <f t="shared" si="344"/>
        <v>0</v>
      </c>
      <c r="Y389" s="3">
        <f t="shared" si="344"/>
        <v>0</v>
      </c>
      <c r="Z389" s="3">
        <f t="shared" si="344"/>
        <v>0</v>
      </c>
      <c r="AA389" s="3">
        <f t="shared" si="344"/>
        <v>0</v>
      </c>
      <c r="AB389" s="3">
        <f t="shared" si="344"/>
        <v>2417.37</v>
      </c>
      <c r="AC389" s="3">
        <f t="shared" si="344"/>
        <v>2170.6799999999998</v>
      </c>
      <c r="AD389" s="3">
        <f t="shared" si="344"/>
        <v>36.619999999999997</v>
      </c>
      <c r="AE389" s="3">
        <f t="shared" si="344"/>
        <v>8.85</v>
      </c>
      <c r="AF389" s="3">
        <f t="shared" si="344"/>
        <v>210.07</v>
      </c>
      <c r="AG389" s="3">
        <f t="shared" si="344"/>
        <v>0</v>
      </c>
      <c r="AH389" s="3">
        <f t="shared" si="344"/>
        <v>17.955754999999996</v>
      </c>
      <c r="AI389" s="3">
        <f t="shared" si="344"/>
        <v>0</v>
      </c>
      <c r="AJ389" s="3">
        <f t="shared" si="344"/>
        <v>0</v>
      </c>
      <c r="AK389" s="3">
        <f t="shared" si="344"/>
        <v>0</v>
      </c>
      <c r="AL389" s="3">
        <f t="shared" si="344"/>
        <v>0</v>
      </c>
      <c r="AM389" s="3">
        <f t="shared" si="344"/>
        <v>0</v>
      </c>
      <c r="AN389" s="3">
        <f t="shared" si="344"/>
        <v>0</v>
      </c>
      <c r="AO389" s="3">
        <f t="shared" si="344"/>
        <v>0</v>
      </c>
      <c r="AP389" s="3">
        <f t="shared" si="344"/>
        <v>0</v>
      </c>
      <c r="AQ389" s="3">
        <f t="shared" si="344"/>
        <v>0</v>
      </c>
      <c r="AR389" s="3">
        <f t="shared" si="344"/>
        <v>2433.29</v>
      </c>
      <c r="AS389" s="3">
        <f t="shared" si="344"/>
        <v>0</v>
      </c>
      <c r="AT389" s="3">
        <f t="shared" si="344"/>
        <v>2433.29</v>
      </c>
      <c r="AU389" s="3">
        <f t="shared" ref="AU389:BZ389" si="345">AU420</f>
        <v>0</v>
      </c>
      <c r="AV389" s="3">
        <f t="shared" si="345"/>
        <v>2170.6799999999998</v>
      </c>
      <c r="AW389" s="3">
        <f t="shared" si="345"/>
        <v>2170.6799999999998</v>
      </c>
      <c r="AX389" s="3">
        <f t="shared" si="345"/>
        <v>0</v>
      </c>
      <c r="AY389" s="3">
        <f t="shared" si="345"/>
        <v>2170.6799999999998</v>
      </c>
      <c r="AZ389" s="3">
        <f t="shared" si="345"/>
        <v>0</v>
      </c>
      <c r="BA389" s="3">
        <f t="shared" si="345"/>
        <v>0</v>
      </c>
      <c r="BB389" s="3">
        <f t="shared" si="345"/>
        <v>0</v>
      </c>
      <c r="BC389" s="3">
        <f t="shared" si="345"/>
        <v>0</v>
      </c>
      <c r="BD389" s="3">
        <f t="shared" si="345"/>
        <v>0</v>
      </c>
      <c r="BE389" s="3">
        <f t="shared" si="345"/>
        <v>0</v>
      </c>
      <c r="BF389" s="3">
        <f t="shared" si="345"/>
        <v>0</v>
      </c>
      <c r="BG389" s="3">
        <f t="shared" si="345"/>
        <v>0</v>
      </c>
      <c r="BH389" s="3">
        <f t="shared" si="345"/>
        <v>0</v>
      </c>
      <c r="BI389" s="3">
        <f t="shared" si="345"/>
        <v>0</v>
      </c>
      <c r="BJ389" s="3">
        <f t="shared" si="345"/>
        <v>0</v>
      </c>
      <c r="BK389" s="3">
        <f t="shared" si="345"/>
        <v>0</v>
      </c>
      <c r="BL389" s="3">
        <f t="shared" si="345"/>
        <v>0</v>
      </c>
      <c r="BM389" s="3">
        <f t="shared" si="345"/>
        <v>0</v>
      </c>
      <c r="BN389" s="3">
        <f t="shared" si="345"/>
        <v>0</v>
      </c>
      <c r="BO389" s="3">
        <f t="shared" si="345"/>
        <v>0</v>
      </c>
      <c r="BP389" s="3">
        <f t="shared" si="345"/>
        <v>0</v>
      </c>
      <c r="BQ389" s="3">
        <f t="shared" si="345"/>
        <v>0</v>
      </c>
      <c r="BR389" s="3">
        <f t="shared" si="345"/>
        <v>0</v>
      </c>
      <c r="BS389" s="3">
        <f t="shared" si="345"/>
        <v>0</v>
      </c>
      <c r="BT389" s="3">
        <f t="shared" si="345"/>
        <v>0</v>
      </c>
      <c r="BU389" s="3">
        <f t="shared" si="345"/>
        <v>0</v>
      </c>
      <c r="BV389" s="3">
        <f t="shared" si="345"/>
        <v>0</v>
      </c>
      <c r="BW389" s="3">
        <f t="shared" si="345"/>
        <v>0</v>
      </c>
      <c r="BX389" s="3">
        <f t="shared" si="345"/>
        <v>0</v>
      </c>
      <c r="BY389" s="3">
        <f t="shared" si="345"/>
        <v>0</v>
      </c>
      <c r="BZ389" s="3">
        <f t="shared" si="345"/>
        <v>0</v>
      </c>
      <c r="CA389" s="3">
        <f t="shared" ref="CA389:DF389" si="346">CA420</f>
        <v>2433.29</v>
      </c>
      <c r="CB389" s="3">
        <f t="shared" si="346"/>
        <v>0</v>
      </c>
      <c r="CC389" s="3">
        <f t="shared" si="346"/>
        <v>2433.29</v>
      </c>
      <c r="CD389" s="3">
        <f t="shared" si="346"/>
        <v>0</v>
      </c>
      <c r="CE389" s="3">
        <f t="shared" si="346"/>
        <v>2170.6799999999998</v>
      </c>
      <c r="CF389" s="3">
        <f t="shared" si="346"/>
        <v>2170.6799999999998</v>
      </c>
      <c r="CG389" s="3">
        <f t="shared" si="346"/>
        <v>0</v>
      </c>
      <c r="CH389" s="3">
        <f t="shared" si="346"/>
        <v>2170.6799999999998</v>
      </c>
      <c r="CI389" s="3">
        <f t="shared" si="346"/>
        <v>0</v>
      </c>
      <c r="CJ389" s="3">
        <f t="shared" si="346"/>
        <v>0</v>
      </c>
      <c r="CK389" s="3">
        <f t="shared" si="346"/>
        <v>0</v>
      </c>
      <c r="CL389" s="3">
        <f t="shared" si="346"/>
        <v>0</v>
      </c>
      <c r="CM389" s="3">
        <f t="shared" si="346"/>
        <v>0</v>
      </c>
      <c r="CN389" s="3">
        <f t="shared" si="346"/>
        <v>0</v>
      </c>
      <c r="CO389" s="3">
        <f t="shared" si="346"/>
        <v>0</v>
      </c>
      <c r="CP389" s="3">
        <f t="shared" si="346"/>
        <v>0</v>
      </c>
      <c r="CQ389" s="3">
        <f t="shared" si="346"/>
        <v>0</v>
      </c>
      <c r="CR389" s="3">
        <f t="shared" si="346"/>
        <v>0</v>
      </c>
      <c r="CS389" s="3">
        <f t="shared" si="346"/>
        <v>0</v>
      </c>
      <c r="CT389" s="3">
        <f t="shared" si="346"/>
        <v>0</v>
      </c>
      <c r="CU389" s="3">
        <f t="shared" si="346"/>
        <v>0</v>
      </c>
      <c r="CV389" s="3">
        <f t="shared" si="346"/>
        <v>0</v>
      </c>
      <c r="CW389" s="3">
        <f t="shared" si="346"/>
        <v>0</v>
      </c>
      <c r="CX389" s="3">
        <f t="shared" si="346"/>
        <v>0</v>
      </c>
      <c r="CY389" s="3">
        <f t="shared" si="346"/>
        <v>0</v>
      </c>
      <c r="CZ389" s="3">
        <f t="shared" si="346"/>
        <v>0</v>
      </c>
      <c r="DA389" s="3">
        <f t="shared" si="346"/>
        <v>0</v>
      </c>
      <c r="DB389" s="3">
        <f t="shared" si="346"/>
        <v>0</v>
      </c>
      <c r="DC389" s="3">
        <f t="shared" si="346"/>
        <v>0</v>
      </c>
      <c r="DD389" s="3">
        <f t="shared" si="346"/>
        <v>0</v>
      </c>
      <c r="DE389" s="3">
        <f t="shared" si="346"/>
        <v>0</v>
      </c>
      <c r="DF389" s="3">
        <f t="shared" si="346"/>
        <v>0</v>
      </c>
      <c r="DG389" s="4">
        <f t="shared" ref="DG389:EL389" si="347">DG420</f>
        <v>15863.23</v>
      </c>
      <c r="DH389" s="4">
        <f t="shared" si="347"/>
        <v>11246.79</v>
      </c>
      <c r="DI389" s="4">
        <f t="shared" si="347"/>
        <v>330.75</v>
      </c>
      <c r="DJ389" s="4">
        <f t="shared" si="347"/>
        <v>180.54</v>
      </c>
      <c r="DK389" s="4">
        <f t="shared" si="347"/>
        <v>4285.6899999999996</v>
      </c>
      <c r="DL389" s="4">
        <f t="shared" si="347"/>
        <v>0</v>
      </c>
      <c r="DM389" s="4">
        <f t="shared" si="347"/>
        <v>17.955754999999996</v>
      </c>
      <c r="DN389" s="4">
        <f t="shared" si="347"/>
        <v>0</v>
      </c>
      <c r="DO389" s="4">
        <f t="shared" si="347"/>
        <v>0</v>
      </c>
      <c r="DP389" s="4">
        <f t="shared" si="347"/>
        <v>3299.98</v>
      </c>
      <c r="DQ389" s="4">
        <f t="shared" si="347"/>
        <v>1757.12</v>
      </c>
      <c r="DR389" s="4">
        <f t="shared" si="347"/>
        <v>0</v>
      </c>
      <c r="DS389" s="4">
        <f t="shared" si="347"/>
        <v>0</v>
      </c>
      <c r="DT389" s="4">
        <f t="shared" si="347"/>
        <v>15863.23</v>
      </c>
      <c r="DU389" s="4">
        <f t="shared" si="347"/>
        <v>11246.79</v>
      </c>
      <c r="DV389" s="4">
        <f t="shared" si="347"/>
        <v>330.75</v>
      </c>
      <c r="DW389" s="4">
        <f t="shared" si="347"/>
        <v>180.54</v>
      </c>
      <c r="DX389" s="4">
        <f t="shared" si="347"/>
        <v>4285.6899999999996</v>
      </c>
      <c r="DY389" s="4">
        <f t="shared" si="347"/>
        <v>0</v>
      </c>
      <c r="DZ389" s="4">
        <f t="shared" si="347"/>
        <v>17.955754999999996</v>
      </c>
      <c r="EA389" s="4">
        <f t="shared" si="347"/>
        <v>0</v>
      </c>
      <c r="EB389" s="4">
        <f t="shared" si="347"/>
        <v>0</v>
      </c>
      <c r="EC389" s="4">
        <f t="shared" si="347"/>
        <v>3299.98</v>
      </c>
      <c r="ED389" s="4">
        <f t="shared" si="347"/>
        <v>1757.12</v>
      </c>
      <c r="EE389" s="4">
        <f t="shared" si="347"/>
        <v>0</v>
      </c>
      <c r="EF389" s="4">
        <f t="shared" si="347"/>
        <v>0</v>
      </c>
      <c r="EG389" s="4">
        <f t="shared" si="347"/>
        <v>0</v>
      </c>
      <c r="EH389" s="4">
        <f t="shared" si="347"/>
        <v>0</v>
      </c>
      <c r="EI389" s="4">
        <f t="shared" si="347"/>
        <v>0</v>
      </c>
      <c r="EJ389" s="4">
        <f t="shared" si="347"/>
        <v>21223.64</v>
      </c>
      <c r="EK389" s="4">
        <f t="shared" si="347"/>
        <v>0</v>
      </c>
      <c r="EL389" s="4">
        <f t="shared" si="347"/>
        <v>21223.64</v>
      </c>
      <c r="EM389" s="4">
        <f t="shared" ref="EM389:FR389" si="348">EM420</f>
        <v>0</v>
      </c>
      <c r="EN389" s="4">
        <f t="shared" si="348"/>
        <v>11246.79</v>
      </c>
      <c r="EO389" s="4">
        <f t="shared" si="348"/>
        <v>11246.79</v>
      </c>
      <c r="EP389" s="4">
        <f t="shared" si="348"/>
        <v>0</v>
      </c>
      <c r="EQ389" s="4">
        <f t="shared" si="348"/>
        <v>11246.79</v>
      </c>
      <c r="ER389" s="4">
        <f t="shared" si="348"/>
        <v>0</v>
      </c>
      <c r="ES389" s="4">
        <f t="shared" si="348"/>
        <v>0</v>
      </c>
      <c r="ET389" s="4">
        <f t="shared" si="348"/>
        <v>0</v>
      </c>
      <c r="EU389" s="4">
        <f t="shared" si="348"/>
        <v>0</v>
      </c>
      <c r="EV389" s="4">
        <f t="shared" si="348"/>
        <v>0</v>
      </c>
      <c r="EW389" s="4">
        <f t="shared" si="348"/>
        <v>0</v>
      </c>
      <c r="EX389" s="4">
        <f t="shared" si="348"/>
        <v>0</v>
      </c>
      <c r="EY389" s="4">
        <f t="shared" si="348"/>
        <v>0</v>
      </c>
      <c r="EZ389" s="4">
        <f t="shared" si="348"/>
        <v>0</v>
      </c>
      <c r="FA389" s="4">
        <f t="shared" si="348"/>
        <v>0</v>
      </c>
      <c r="FB389" s="4">
        <f t="shared" si="348"/>
        <v>0</v>
      </c>
      <c r="FC389" s="4">
        <f t="shared" si="348"/>
        <v>0</v>
      </c>
      <c r="FD389" s="4">
        <f t="shared" si="348"/>
        <v>0</v>
      </c>
      <c r="FE389" s="4">
        <f t="shared" si="348"/>
        <v>0</v>
      </c>
      <c r="FF389" s="4">
        <f t="shared" si="348"/>
        <v>0</v>
      </c>
      <c r="FG389" s="4">
        <f t="shared" si="348"/>
        <v>0</v>
      </c>
      <c r="FH389" s="4">
        <f t="shared" si="348"/>
        <v>0</v>
      </c>
      <c r="FI389" s="4">
        <f t="shared" si="348"/>
        <v>0</v>
      </c>
      <c r="FJ389" s="4">
        <f t="shared" si="348"/>
        <v>0</v>
      </c>
      <c r="FK389" s="4">
        <f t="shared" si="348"/>
        <v>0</v>
      </c>
      <c r="FL389" s="4">
        <f t="shared" si="348"/>
        <v>0</v>
      </c>
      <c r="FM389" s="4">
        <f t="shared" si="348"/>
        <v>0</v>
      </c>
      <c r="FN389" s="4">
        <f t="shared" si="348"/>
        <v>0</v>
      </c>
      <c r="FO389" s="4">
        <f t="shared" si="348"/>
        <v>0</v>
      </c>
      <c r="FP389" s="4">
        <f t="shared" si="348"/>
        <v>0</v>
      </c>
      <c r="FQ389" s="4">
        <f t="shared" si="348"/>
        <v>0</v>
      </c>
      <c r="FR389" s="4">
        <f t="shared" si="348"/>
        <v>0</v>
      </c>
      <c r="FS389" s="4">
        <f t="shared" ref="FS389:GX389" si="349">FS420</f>
        <v>21223.64</v>
      </c>
      <c r="FT389" s="4">
        <f t="shared" si="349"/>
        <v>0</v>
      </c>
      <c r="FU389" s="4">
        <f t="shared" si="349"/>
        <v>21223.64</v>
      </c>
      <c r="FV389" s="4">
        <f t="shared" si="349"/>
        <v>0</v>
      </c>
      <c r="FW389" s="4">
        <f t="shared" si="349"/>
        <v>11246.79</v>
      </c>
      <c r="FX389" s="4">
        <f t="shared" si="349"/>
        <v>11246.79</v>
      </c>
      <c r="FY389" s="4">
        <f t="shared" si="349"/>
        <v>0</v>
      </c>
      <c r="FZ389" s="4">
        <f t="shared" si="349"/>
        <v>11246.79</v>
      </c>
      <c r="GA389" s="4">
        <f t="shared" si="349"/>
        <v>0</v>
      </c>
      <c r="GB389" s="4">
        <f t="shared" si="349"/>
        <v>0</v>
      </c>
      <c r="GC389" s="4">
        <f t="shared" si="349"/>
        <v>0</v>
      </c>
      <c r="GD389" s="4">
        <f t="shared" si="349"/>
        <v>0</v>
      </c>
      <c r="GE389" s="4">
        <f t="shared" si="349"/>
        <v>0</v>
      </c>
      <c r="GF389" s="4">
        <f t="shared" si="349"/>
        <v>0</v>
      </c>
      <c r="GG389" s="4">
        <f t="shared" si="349"/>
        <v>0</v>
      </c>
      <c r="GH389" s="4">
        <f t="shared" si="349"/>
        <v>0</v>
      </c>
      <c r="GI389" s="4">
        <f t="shared" si="349"/>
        <v>0</v>
      </c>
      <c r="GJ389" s="4">
        <f t="shared" si="349"/>
        <v>0</v>
      </c>
      <c r="GK389" s="4">
        <f t="shared" si="349"/>
        <v>0</v>
      </c>
      <c r="GL389" s="4">
        <f t="shared" si="349"/>
        <v>0</v>
      </c>
      <c r="GM389" s="4">
        <f t="shared" si="349"/>
        <v>0</v>
      </c>
      <c r="GN389" s="4">
        <f t="shared" si="349"/>
        <v>0</v>
      </c>
      <c r="GO389" s="4">
        <f t="shared" si="349"/>
        <v>0</v>
      </c>
      <c r="GP389" s="4">
        <f t="shared" si="349"/>
        <v>0</v>
      </c>
      <c r="GQ389" s="4">
        <f t="shared" si="349"/>
        <v>0</v>
      </c>
      <c r="GR389" s="4">
        <f t="shared" si="349"/>
        <v>0</v>
      </c>
      <c r="GS389" s="4">
        <f t="shared" si="349"/>
        <v>0</v>
      </c>
      <c r="GT389" s="4">
        <f t="shared" si="349"/>
        <v>0</v>
      </c>
      <c r="GU389" s="4">
        <f t="shared" si="349"/>
        <v>0</v>
      </c>
      <c r="GV389" s="4">
        <f t="shared" si="349"/>
        <v>0</v>
      </c>
      <c r="GW389" s="4">
        <f t="shared" si="349"/>
        <v>0</v>
      </c>
      <c r="GX389" s="4">
        <f t="shared" si="349"/>
        <v>0</v>
      </c>
    </row>
    <row r="391" spans="1:255" x14ac:dyDescent="0.2">
      <c r="A391" s="2">
        <v>17</v>
      </c>
      <c r="B391" s="2">
        <v>1</v>
      </c>
      <c r="C391" s="2">
        <f>ROW(SmtRes!A366)</f>
        <v>366</v>
      </c>
      <c r="D391" s="2">
        <f>ROW(EtalonRes!A352)</f>
        <v>352</v>
      </c>
      <c r="E391" s="2" t="s">
        <v>449</v>
      </c>
      <c r="F391" s="2" t="s">
        <v>450</v>
      </c>
      <c r="G391" s="2" t="s">
        <v>451</v>
      </c>
      <c r="H391" s="2" t="s">
        <v>322</v>
      </c>
      <c r="I391" s="2">
        <v>2</v>
      </c>
      <c r="J391" s="2">
        <v>0</v>
      </c>
      <c r="K391" s="2"/>
      <c r="L391" s="2"/>
      <c r="M391" s="2"/>
      <c r="N391" s="2"/>
      <c r="O391" s="2">
        <f t="shared" ref="O391:O418" si="350">ROUND(CP391,2)</f>
        <v>28.63</v>
      </c>
      <c r="P391" s="2">
        <f t="shared" ref="P391:P418" si="351">ROUND(CQ391*I391,2)</f>
        <v>1.26</v>
      </c>
      <c r="Q391" s="2">
        <f t="shared" ref="Q391:Q418" si="352">ROUND(CR391*I391,2)</f>
        <v>0</v>
      </c>
      <c r="R391" s="2">
        <f t="shared" ref="R391:R418" si="353">ROUND(CS391*I391,2)</f>
        <v>0</v>
      </c>
      <c r="S391" s="2">
        <f t="shared" ref="S391:S418" si="354">ROUND(CT391*I391,2)</f>
        <v>27.37</v>
      </c>
      <c r="T391" s="2">
        <f t="shared" ref="T391:T418" si="355">ROUND(CU391*I391,2)</f>
        <v>0</v>
      </c>
      <c r="U391" s="2">
        <f t="shared" ref="U391:U418" si="356">CV391*I391</f>
        <v>2.2999999999999998</v>
      </c>
      <c r="V391" s="2">
        <f t="shared" ref="V391:V418" si="357">CW391*I391</f>
        <v>0</v>
      </c>
      <c r="W391" s="2">
        <f t="shared" ref="W391:W418" si="358">ROUND(CX391*I391,2)</f>
        <v>0</v>
      </c>
      <c r="X391" s="2">
        <f t="shared" ref="X391:X418" si="359">ROUND(CY391,2)</f>
        <v>0</v>
      </c>
      <c r="Y391" s="2">
        <f t="shared" ref="Y391:Y418" si="360">ROUND(CZ391,2)</f>
        <v>0</v>
      </c>
      <c r="Z391" s="2"/>
      <c r="AA391" s="2">
        <v>45037306</v>
      </c>
      <c r="AB391" s="2">
        <f t="shared" ref="AB391:AB418" si="361">ROUND((AC391+AD391+AF391),6)</f>
        <v>14.315</v>
      </c>
      <c r="AC391" s="2">
        <f t="shared" ref="AC391:AC418" si="362">ROUND((ES391),6)</f>
        <v>0.63</v>
      </c>
      <c r="AD391" s="2">
        <f t="shared" ref="AD391:AD400" si="363">ROUND(((ET391*1.25)),6)</f>
        <v>0</v>
      </c>
      <c r="AE391" s="2">
        <f t="shared" ref="AE391:AE400" si="364">ROUND(((EU391*1.25)),6)</f>
        <v>0</v>
      </c>
      <c r="AF391" s="2">
        <f t="shared" ref="AF391:AF400" si="365">ROUND(((EV391*1.15)),6)</f>
        <v>13.685</v>
      </c>
      <c r="AG391" s="2">
        <f t="shared" ref="AG391:AG418" si="366">ROUND((AP391),6)</f>
        <v>0</v>
      </c>
      <c r="AH391" s="2">
        <f t="shared" ref="AH391:AH400" si="367">((EW391*1.15))</f>
        <v>1.1499999999999999</v>
      </c>
      <c r="AI391" s="2">
        <f t="shared" ref="AI391:AI400" si="368">((EX391*1.25))</f>
        <v>0</v>
      </c>
      <c r="AJ391" s="2">
        <f t="shared" ref="AJ391:AJ418" si="369">ROUND((AS391),6)</f>
        <v>0</v>
      </c>
      <c r="AK391" s="2">
        <v>12.53</v>
      </c>
      <c r="AL391" s="2">
        <v>0.63</v>
      </c>
      <c r="AM391" s="2">
        <v>0</v>
      </c>
      <c r="AN391" s="2">
        <v>0</v>
      </c>
      <c r="AO391" s="2">
        <v>11.9</v>
      </c>
      <c r="AP391" s="2">
        <v>0</v>
      </c>
      <c r="AQ391" s="2">
        <v>1</v>
      </c>
      <c r="AR391" s="2">
        <v>0</v>
      </c>
      <c r="AS391" s="2">
        <v>0</v>
      </c>
      <c r="AT391" s="2">
        <v>0</v>
      </c>
      <c r="AU391" s="2">
        <v>0</v>
      </c>
      <c r="AV391" s="2">
        <v>1</v>
      </c>
      <c r="AW391" s="2">
        <v>1</v>
      </c>
      <c r="AX391" s="2"/>
      <c r="AY391" s="2"/>
      <c r="AZ391" s="2">
        <v>1</v>
      </c>
      <c r="BA391" s="2">
        <v>1</v>
      </c>
      <c r="BB391" s="2">
        <v>1</v>
      </c>
      <c r="BC391" s="2">
        <v>1</v>
      </c>
      <c r="BD391" s="2" t="s">
        <v>3</v>
      </c>
      <c r="BE391" s="2" t="s">
        <v>3</v>
      </c>
      <c r="BF391" s="2" t="s">
        <v>3</v>
      </c>
      <c r="BG391" s="2" t="s">
        <v>3</v>
      </c>
      <c r="BH391" s="2">
        <v>0</v>
      </c>
      <c r="BI391" s="2">
        <v>2</v>
      </c>
      <c r="BJ391" s="2" t="s">
        <v>452</v>
      </c>
      <c r="BK391" s="2"/>
      <c r="BL391" s="2"/>
      <c r="BM391" s="2">
        <v>336</v>
      </c>
      <c r="BN391" s="2">
        <v>7156650</v>
      </c>
      <c r="BO391" s="2" t="s">
        <v>3</v>
      </c>
      <c r="BP391" s="2">
        <v>0</v>
      </c>
      <c r="BQ391" s="2">
        <v>40</v>
      </c>
      <c r="BR391" s="2">
        <v>0</v>
      </c>
      <c r="BS391" s="2">
        <v>1</v>
      </c>
      <c r="BT391" s="2">
        <v>1</v>
      </c>
      <c r="BU391" s="2">
        <v>1</v>
      </c>
      <c r="BV391" s="2">
        <v>1</v>
      </c>
      <c r="BW391" s="2">
        <v>1</v>
      </c>
      <c r="BX391" s="2">
        <v>1</v>
      </c>
      <c r="BY391" s="2" t="s">
        <v>3</v>
      </c>
      <c r="BZ391" s="2">
        <v>0</v>
      </c>
      <c r="CA391" s="2">
        <v>0</v>
      </c>
      <c r="CB391" s="2"/>
      <c r="CC391" s="2"/>
      <c r="CD391" s="2"/>
      <c r="CE391" s="2"/>
      <c r="CF391" s="2">
        <v>0</v>
      </c>
      <c r="CG391" s="2">
        <v>0</v>
      </c>
      <c r="CH391" s="2"/>
      <c r="CI391" s="2"/>
      <c r="CJ391" s="2"/>
      <c r="CK391" s="2"/>
      <c r="CL391" s="2"/>
      <c r="CM391" s="2">
        <v>0</v>
      </c>
      <c r="CN391" s="2" t="s">
        <v>3</v>
      </c>
      <c r="CO391" s="2">
        <v>0</v>
      </c>
      <c r="CP391" s="2">
        <f t="shared" ref="CP391:CP418" si="370">(P391+Q391+S391)</f>
        <v>28.630000000000003</v>
      </c>
      <c r="CQ391" s="2">
        <f t="shared" ref="CQ391:CQ418" si="371">(AC391*BC391*AW391)</f>
        <v>0.63</v>
      </c>
      <c r="CR391" s="2">
        <f t="shared" ref="CR391:CR418" si="372">(AD391*BB391*AV391)</f>
        <v>0</v>
      </c>
      <c r="CS391" s="2">
        <f t="shared" ref="CS391:CS418" si="373">(AE391*BS391*AV391)</f>
        <v>0</v>
      </c>
      <c r="CT391" s="2">
        <f t="shared" ref="CT391:CT418" si="374">(AF391*BA391*AV391)</f>
        <v>13.685</v>
      </c>
      <c r="CU391" s="2">
        <f t="shared" ref="CU391:CU418" si="375">AG391</f>
        <v>0</v>
      </c>
      <c r="CV391" s="2">
        <f t="shared" ref="CV391:CV418" si="376">(AH391*AV391)</f>
        <v>1.1499999999999999</v>
      </c>
      <c r="CW391" s="2">
        <f t="shared" ref="CW391:CW418" si="377">AI391</f>
        <v>0</v>
      </c>
      <c r="CX391" s="2">
        <f t="shared" ref="CX391:CX418" si="378">AJ391</f>
        <v>0</v>
      </c>
      <c r="CY391" s="2">
        <f t="shared" ref="CY391:CY418" si="379">S391*(BZ391/100)</f>
        <v>0</v>
      </c>
      <c r="CZ391" s="2">
        <f t="shared" ref="CZ391:CZ418" si="380">S391*(CA391/100)</f>
        <v>0</v>
      </c>
      <c r="DA391" s="2"/>
      <c r="DB391" s="2"/>
      <c r="DC391" s="2" t="s">
        <v>3</v>
      </c>
      <c r="DD391" s="2" t="s">
        <v>3</v>
      </c>
      <c r="DE391" s="2" t="s">
        <v>36</v>
      </c>
      <c r="DF391" s="2" t="s">
        <v>36</v>
      </c>
      <c r="DG391" s="2" t="s">
        <v>37</v>
      </c>
      <c r="DH391" s="2" t="s">
        <v>3</v>
      </c>
      <c r="DI391" s="2" t="s">
        <v>37</v>
      </c>
      <c r="DJ391" s="2" t="s">
        <v>36</v>
      </c>
      <c r="DK391" s="2" t="s">
        <v>3</v>
      </c>
      <c r="DL391" s="2" t="s">
        <v>3</v>
      </c>
      <c r="DM391" s="2" t="s">
        <v>3</v>
      </c>
      <c r="DN391" s="2">
        <v>114</v>
      </c>
      <c r="DO391" s="2">
        <v>67</v>
      </c>
      <c r="DP391" s="2">
        <v>1.0469999999999999</v>
      </c>
      <c r="DQ391" s="2">
        <v>1</v>
      </c>
      <c r="DR391" s="2"/>
      <c r="DS391" s="2"/>
      <c r="DT391" s="2"/>
      <c r="DU391" s="2">
        <v>1013</v>
      </c>
      <c r="DV391" s="2" t="s">
        <v>322</v>
      </c>
      <c r="DW391" s="2" t="s">
        <v>322</v>
      </c>
      <c r="DX391" s="2">
        <v>1</v>
      </c>
      <c r="DY391" s="2"/>
      <c r="DZ391" s="2"/>
      <c r="EA391" s="2"/>
      <c r="EB391" s="2"/>
      <c r="EC391" s="2"/>
      <c r="ED391" s="2"/>
      <c r="EE391" s="2">
        <v>44846843</v>
      </c>
      <c r="EF391" s="2">
        <v>40</v>
      </c>
      <c r="EG391" s="2" t="s">
        <v>453</v>
      </c>
      <c r="EH391" s="2">
        <v>0</v>
      </c>
      <c r="EI391" s="2" t="s">
        <v>3</v>
      </c>
      <c r="EJ391" s="2">
        <v>2</v>
      </c>
      <c r="EK391" s="2">
        <v>336</v>
      </c>
      <c r="EL391" s="2" t="s">
        <v>454</v>
      </c>
      <c r="EM391" s="2" t="s">
        <v>455</v>
      </c>
      <c r="EN391" s="2"/>
      <c r="EO391" s="2" t="s">
        <v>3</v>
      </c>
      <c r="EP391" s="2"/>
      <c r="EQ391" s="2">
        <v>131072</v>
      </c>
      <c r="ER391" s="2">
        <v>12.53</v>
      </c>
      <c r="ES391" s="2">
        <v>0.63</v>
      </c>
      <c r="ET391" s="2">
        <v>0</v>
      </c>
      <c r="EU391" s="2">
        <v>0</v>
      </c>
      <c r="EV391" s="2">
        <v>11.9</v>
      </c>
      <c r="EW391" s="2">
        <v>1</v>
      </c>
      <c r="EX391" s="2">
        <v>0</v>
      </c>
      <c r="EY391" s="2">
        <v>0</v>
      </c>
      <c r="EZ391" s="2"/>
      <c r="FA391" s="2"/>
      <c r="FB391" s="2"/>
      <c r="FC391" s="2"/>
      <c r="FD391" s="2"/>
      <c r="FE391" s="2"/>
      <c r="FF391" s="2"/>
      <c r="FG391" s="2"/>
      <c r="FH391" s="2"/>
      <c r="FI391" s="2"/>
      <c r="FJ391" s="2"/>
      <c r="FK391" s="2"/>
      <c r="FL391" s="2"/>
      <c r="FM391" s="2"/>
      <c r="FN391" s="2"/>
      <c r="FO391" s="2"/>
      <c r="FP391" s="2"/>
      <c r="FQ391" s="2">
        <v>0</v>
      </c>
      <c r="FR391" s="2">
        <f t="shared" ref="FR391:FR418" si="381">ROUND(IF(AND(BH391=3,BI391=3),P391,0),2)</f>
        <v>0</v>
      </c>
      <c r="FS391" s="2">
        <v>0</v>
      </c>
      <c r="FT391" s="2"/>
      <c r="FU391" s="2"/>
      <c r="FV391" s="2"/>
      <c r="FW391" s="2"/>
      <c r="FX391" s="2">
        <v>114</v>
      </c>
      <c r="FY391" s="2">
        <v>67</v>
      </c>
      <c r="FZ391" s="2"/>
      <c r="GA391" s="2" t="s">
        <v>3</v>
      </c>
      <c r="GB391" s="2"/>
      <c r="GC391" s="2"/>
      <c r="GD391" s="2">
        <v>0</v>
      </c>
      <c r="GE391" s="2"/>
      <c r="GF391" s="2">
        <v>-2133847887</v>
      </c>
      <c r="GG391" s="2">
        <v>2</v>
      </c>
      <c r="GH391" s="2">
        <v>1</v>
      </c>
      <c r="GI391" s="2">
        <v>3</v>
      </c>
      <c r="GJ391" s="2">
        <v>0</v>
      </c>
      <c r="GK391" s="2">
        <f>ROUND(R391*(R12)/100,2)</f>
        <v>0</v>
      </c>
      <c r="GL391" s="2">
        <f t="shared" ref="GL391:GL418" si="382">ROUND(IF(AND(BH391=3,BI391=3,FS391&lt;&gt;0),P391,0),2)</f>
        <v>0</v>
      </c>
      <c r="GM391" s="2">
        <f t="shared" ref="GM391:GM418" si="383">ROUND(O391+X391+Y391+GK391,2)+GX391</f>
        <v>28.63</v>
      </c>
      <c r="GN391" s="2">
        <f t="shared" ref="GN391:GN418" si="384">IF(OR(BI391=0,BI391=1),ROUND(O391+X391+Y391+GK391,2),0)</f>
        <v>0</v>
      </c>
      <c r="GO391" s="2">
        <f t="shared" ref="GO391:GO418" si="385">IF(BI391=2,ROUND(O391+X391+Y391+GK391,2),0)</f>
        <v>28.63</v>
      </c>
      <c r="GP391" s="2">
        <f t="shared" ref="GP391:GP418" si="386">IF(BI391=4,ROUND(O391+X391+Y391+GK391,2)+GX391,0)</f>
        <v>0</v>
      </c>
      <c r="GQ391" s="2"/>
      <c r="GR391" s="2">
        <v>0</v>
      </c>
      <c r="GS391" s="2">
        <v>3</v>
      </c>
      <c r="GT391" s="2">
        <v>0</v>
      </c>
      <c r="GU391" s="2" t="s">
        <v>3</v>
      </c>
      <c r="GV391" s="2">
        <f t="shared" ref="GV391:GV418" si="387">ROUND(GT391,6)</f>
        <v>0</v>
      </c>
      <c r="GW391" s="2">
        <v>1</v>
      </c>
      <c r="GX391" s="2">
        <f t="shared" ref="GX391:GX418" si="388">ROUND(GV391*GW391*I391,2)</f>
        <v>0</v>
      </c>
      <c r="GY391" s="2"/>
      <c r="GZ391" s="2"/>
      <c r="HA391" s="2">
        <v>0</v>
      </c>
      <c r="HB391" s="2">
        <v>0</v>
      </c>
      <c r="HC391" s="2"/>
      <c r="HD391" s="2"/>
      <c r="HE391" s="2"/>
      <c r="HF391" s="2"/>
      <c r="HG391" s="2"/>
      <c r="HH391" s="2"/>
      <c r="HI391" s="2"/>
      <c r="HJ391" s="2"/>
      <c r="HK391" s="2"/>
      <c r="HL391" s="2"/>
      <c r="HM391" s="2"/>
      <c r="HN391" s="2"/>
      <c r="HO391" s="2"/>
      <c r="HP391" s="2"/>
      <c r="HQ391" s="2"/>
      <c r="HR391" s="2"/>
      <c r="HS391" s="2"/>
      <c r="HT391" s="2"/>
      <c r="HU391" s="2"/>
      <c r="HV391" s="2"/>
      <c r="HW391" s="2"/>
      <c r="HX391" s="2"/>
      <c r="HY391" s="2"/>
      <c r="HZ391" s="2"/>
      <c r="IA391" s="2"/>
      <c r="IB391" s="2"/>
      <c r="IC391" s="2"/>
      <c r="ID391" s="2"/>
      <c r="IE391" s="2"/>
      <c r="IF391" s="2"/>
      <c r="IG391" s="2"/>
      <c r="IH391" s="2"/>
      <c r="II391" s="2"/>
      <c r="IJ391" s="2"/>
      <c r="IK391" s="2">
        <v>0</v>
      </c>
      <c r="IL391" s="2"/>
      <c r="IM391" s="2"/>
      <c r="IN391" s="2"/>
      <c r="IO391" s="2"/>
      <c r="IP391" s="2"/>
      <c r="IQ391" s="2"/>
      <c r="IR391" s="2"/>
      <c r="IS391" s="2"/>
      <c r="IT391" s="2"/>
      <c r="IU391" s="2"/>
    </row>
    <row r="392" spans="1:255" x14ac:dyDescent="0.2">
      <c r="A392">
        <v>17</v>
      </c>
      <c r="B392">
        <v>1</v>
      </c>
      <c r="C392">
        <f>ROW(SmtRes!A368)</f>
        <v>368</v>
      </c>
      <c r="D392">
        <f>ROW(EtalonRes!A354)</f>
        <v>354</v>
      </c>
      <c r="E392" t="s">
        <v>449</v>
      </c>
      <c r="F392" t="s">
        <v>450</v>
      </c>
      <c r="G392" t="s">
        <v>451</v>
      </c>
      <c r="H392" t="s">
        <v>322</v>
      </c>
      <c r="I392">
        <v>2</v>
      </c>
      <c r="J392">
        <v>0</v>
      </c>
      <c r="O392">
        <f t="shared" si="350"/>
        <v>564.92999999999995</v>
      </c>
      <c r="P392">
        <f t="shared" si="351"/>
        <v>6.58</v>
      </c>
      <c r="Q392">
        <f t="shared" si="352"/>
        <v>0</v>
      </c>
      <c r="R392">
        <f t="shared" si="353"/>
        <v>0</v>
      </c>
      <c r="S392">
        <f t="shared" si="354"/>
        <v>558.35</v>
      </c>
      <c r="T392">
        <f t="shared" si="355"/>
        <v>0</v>
      </c>
      <c r="U392">
        <f t="shared" si="356"/>
        <v>2.2999999999999998</v>
      </c>
      <c r="V392">
        <f t="shared" si="357"/>
        <v>0</v>
      </c>
      <c r="W392">
        <f t="shared" si="358"/>
        <v>0</v>
      </c>
      <c r="X392">
        <f t="shared" si="359"/>
        <v>429.93</v>
      </c>
      <c r="Y392">
        <f t="shared" si="360"/>
        <v>228.92</v>
      </c>
      <c r="AA392">
        <v>45037307</v>
      </c>
      <c r="AB392">
        <f t="shared" si="361"/>
        <v>14.315</v>
      </c>
      <c r="AC392">
        <f t="shared" si="362"/>
        <v>0.63</v>
      </c>
      <c r="AD392">
        <f t="shared" si="363"/>
        <v>0</v>
      </c>
      <c r="AE392">
        <f t="shared" si="364"/>
        <v>0</v>
      </c>
      <c r="AF392">
        <f t="shared" si="365"/>
        <v>13.685</v>
      </c>
      <c r="AG392">
        <f t="shared" si="366"/>
        <v>0</v>
      </c>
      <c r="AH392">
        <f t="shared" si="367"/>
        <v>1.1499999999999999</v>
      </c>
      <c r="AI392">
        <f t="shared" si="368"/>
        <v>0</v>
      </c>
      <c r="AJ392">
        <f t="shared" si="369"/>
        <v>0</v>
      </c>
      <c r="AK392">
        <v>12.53</v>
      </c>
      <c r="AL392">
        <v>0.63</v>
      </c>
      <c r="AM392">
        <v>0</v>
      </c>
      <c r="AN392">
        <v>0</v>
      </c>
      <c r="AO392">
        <v>11.9</v>
      </c>
      <c r="AP392">
        <v>0</v>
      </c>
      <c r="AQ392">
        <v>1</v>
      </c>
      <c r="AR392">
        <v>0</v>
      </c>
      <c r="AS392">
        <v>0</v>
      </c>
      <c r="AT392">
        <v>77</v>
      </c>
      <c r="AU392">
        <v>41</v>
      </c>
      <c r="AV392">
        <v>1</v>
      </c>
      <c r="AW392">
        <v>1</v>
      </c>
      <c r="AZ392">
        <v>1</v>
      </c>
      <c r="BA392">
        <v>20.399999999999999</v>
      </c>
      <c r="BB392">
        <v>1</v>
      </c>
      <c r="BC392">
        <v>5.22</v>
      </c>
      <c r="BD392" t="s">
        <v>3</v>
      </c>
      <c r="BE392" t="s">
        <v>3</v>
      </c>
      <c r="BF392" t="s">
        <v>3</v>
      </c>
      <c r="BG392" t="s">
        <v>3</v>
      </c>
      <c r="BH392">
        <v>0</v>
      </c>
      <c r="BI392">
        <v>2</v>
      </c>
      <c r="BJ392" t="s">
        <v>452</v>
      </c>
      <c r="BM392">
        <v>336</v>
      </c>
      <c r="BN392">
        <v>7156650</v>
      </c>
      <c r="BO392" t="s">
        <v>450</v>
      </c>
      <c r="BP392">
        <v>1</v>
      </c>
      <c r="BQ392">
        <v>40</v>
      </c>
      <c r="BR392">
        <v>0</v>
      </c>
      <c r="BS392">
        <v>20.399999999999999</v>
      </c>
      <c r="BT392">
        <v>1</v>
      </c>
      <c r="BU392">
        <v>1</v>
      </c>
      <c r="BV392">
        <v>1</v>
      </c>
      <c r="BW392">
        <v>1</v>
      </c>
      <c r="BX392">
        <v>1</v>
      </c>
      <c r="BY392" t="s">
        <v>3</v>
      </c>
      <c r="BZ392">
        <v>77</v>
      </c>
      <c r="CA392">
        <v>41</v>
      </c>
      <c r="CF392">
        <v>0</v>
      </c>
      <c r="CG392">
        <v>0</v>
      </c>
      <c r="CM392">
        <v>0</v>
      </c>
      <c r="CN392" t="s">
        <v>3</v>
      </c>
      <c r="CO392">
        <v>0</v>
      </c>
      <c r="CP392">
        <f t="shared" si="370"/>
        <v>564.93000000000006</v>
      </c>
      <c r="CQ392">
        <f t="shared" si="371"/>
        <v>3.2885999999999997</v>
      </c>
      <c r="CR392">
        <f t="shared" si="372"/>
        <v>0</v>
      </c>
      <c r="CS392">
        <f t="shared" si="373"/>
        <v>0</v>
      </c>
      <c r="CT392">
        <f t="shared" si="374"/>
        <v>279.17399999999998</v>
      </c>
      <c r="CU392">
        <f t="shared" si="375"/>
        <v>0</v>
      </c>
      <c r="CV392">
        <f t="shared" si="376"/>
        <v>1.1499999999999999</v>
      </c>
      <c r="CW392">
        <f t="shared" si="377"/>
        <v>0</v>
      </c>
      <c r="CX392">
        <f t="shared" si="378"/>
        <v>0</v>
      </c>
      <c r="CY392">
        <f t="shared" si="379"/>
        <v>429.92950000000002</v>
      </c>
      <c r="CZ392">
        <f t="shared" si="380"/>
        <v>228.92349999999999</v>
      </c>
      <c r="DC392" t="s">
        <v>3</v>
      </c>
      <c r="DD392" t="s">
        <v>3</v>
      </c>
      <c r="DE392" t="s">
        <v>36</v>
      </c>
      <c r="DF392" t="s">
        <v>36</v>
      </c>
      <c r="DG392" t="s">
        <v>37</v>
      </c>
      <c r="DH392" t="s">
        <v>3</v>
      </c>
      <c r="DI392" t="s">
        <v>37</v>
      </c>
      <c r="DJ392" t="s">
        <v>36</v>
      </c>
      <c r="DK392" t="s">
        <v>3</v>
      </c>
      <c r="DL392" t="s">
        <v>3</v>
      </c>
      <c r="DM392" t="s">
        <v>3</v>
      </c>
      <c r="DN392">
        <v>114</v>
      </c>
      <c r="DO392">
        <v>67</v>
      </c>
      <c r="DP392">
        <v>1.0469999999999999</v>
      </c>
      <c r="DQ392">
        <v>1</v>
      </c>
      <c r="DU392">
        <v>1013</v>
      </c>
      <c r="DV392" t="s">
        <v>322</v>
      </c>
      <c r="DW392" t="s">
        <v>322</v>
      </c>
      <c r="DX392">
        <v>1</v>
      </c>
      <c r="EE392">
        <v>44846843</v>
      </c>
      <c r="EF392">
        <v>40</v>
      </c>
      <c r="EG392" t="s">
        <v>453</v>
      </c>
      <c r="EH392">
        <v>0</v>
      </c>
      <c r="EI392" t="s">
        <v>3</v>
      </c>
      <c r="EJ392">
        <v>2</v>
      </c>
      <c r="EK392">
        <v>336</v>
      </c>
      <c r="EL392" t="s">
        <v>454</v>
      </c>
      <c r="EM392" t="s">
        <v>455</v>
      </c>
      <c r="EO392" t="s">
        <v>3</v>
      </c>
      <c r="EQ392">
        <v>131072</v>
      </c>
      <c r="ER392">
        <v>12.53</v>
      </c>
      <c r="ES392">
        <v>0.63</v>
      </c>
      <c r="ET392">
        <v>0</v>
      </c>
      <c r="EU392">
        <v>0</v>
      </c>
      <c r="EV392">
        <v>11.9</v>
      </c>
      <c r="EW392">
        <v>1</v>
      </c>
      <c r="EX392">
        <v>0</v>
      </c>
      <c r="EY392">
        <v>0</v>
      </c>
      <c r="FQ392">
        <v>0</v>
      </c>
      <c r="FR392">
        <f t="shared" si="381"/>
        <v>0</v>
      </c>
      <c r="FS392">
        <v>0</v>
      </c>
      <c r="FX392">
        <v>114</v>
      </c>
      <c r="FY392">
        <v>67</v>
      </c>
      <c r="GA392" t="s">
        <v>3</v>
      </c>
      <c r="GD392">
        <v>0</v>
      </c>
      <c r="GF392">
        <v>-2133847887</v>
      </c>
      <c r="GG392">
        <v>2</v>
      </c>
      <c r="GH392">
        <v>1</v>
      </c>
      <c r="GI392">
        <v>3</v>
      </c>
      <c r="GJ392">
        <v>0</v>
      </c>
      <c r="GK392">
        <f>ROUND(R392*(S12)/100,2)</f>
        <v>0</v>
      </c>
      <c r="GL392">
        <f t="shared" si="382"/>
        <v>0</v>
      </c>
      <c r="GM392">
        <f t="shared" si="383"/>
        <v>1223.78</v>
      </c>
      <c r="GN392">
        <f t="shared" si="384"/>
        <v>0</v>
      </c>
      <c r="GO392">
        <f t="shared" si="385"/>
        <v>1223.78</v>
      </c>
      <c r="GP392">
        <f t="shared" si="386"/>
        <v>0</v>
      </c>
      <c r="GR392">
        <v>0</v>
      </c>
      <c r="GS392">
        <v>3</v>
      </c>
      <c r="GT392">
        <v>0</v>
      </c>
      <c r="GU392" t="s">
        <v>3</v>
      </c>
      <c r="GV392">
        <f t="shared" si="387"/>
        <v>0</v>
      </c>
      <c r="GW392">
        <v>1</v>
      </c>
      <c r="GX392">
        <f t="shared" si="388"/>
        <v>0</v>
      </c>
      <c r="HA392">
        <v>0</v>
      </c>
      <c r="HB392">
        <v>0</v>
      </c>
      <c r="IK392">
        <v>0</v>
      </c>
    </row>
    <row r="393" spans="1:255" x14ac:dyDescent="0.2">
      <c r="A393" s="2">
        <v>17</v>
      </c>
      <c r="B393" s="2">
        <v>1</v>
      </c>
      <c r="C393" s="2">
        <f>ROW(SmtRes!A369)</f>
        <v>369</v>
      </c>
      <c r="D393" s="2">
        <f>ROW(EtalonRes!A355)</f>
        <v>355</v>
      </c>
      <c r="E393" s="2" t="s">
        <v>456</v>
      </c>
      <c r="F393" s="2" t="s">
        <v>457</v>
      </c>
      <c r="G393" s="2" t="s">
        <v>458</v>
      </c>
      <c r="H393" s="2" t="s">
        <v>322</v>
      </c>
      <c r="I393" s="2">
        <v>1</v>
      </c>
      <c r="J393" s="2">
        <v>0</v>
      </c>
      <c r="K393" s="2"/>
      <c r="L393" s="2"/>
      <c r="M393" s="2"/>
      <c r="N393" s="2"/>
      <c r="O393" s="2">
        <f t="shared" si="350"/>
        <v>28.28</v>
      </c>
      <c r="P393" s="2">
        <f t="shared" si="351"/>
        <v>0.91</v>
      </c>
      <c r="Q393" s="2">
        <f t="shared" si="352"/>
        <v>0</v>
      </c>
      <c r="R393" s="2">
        <f t="shared" si="353"/>
        <v>0</v>
      </c>
      <c r="S393" s="2">
        <f t="shared" si="354"/>
        <v>27.37</v>
      </c>
      <c r="T393" s="2">
        <f t="shared" si="355"/>
        <v>0</v>
      </c>
      <c r="U393" s="2">
        <f t="shared" si="356"/>
        <v>2.2999999999999998</v>
      </c>
      <c r="V393" s="2">
        <f t="shared" si="357"/>
        <v>0</v>
      </c>
      <c r="W393" s="2">
        <f t="shared" si="358"/>
        <v>0</v>
      </c>
      <c r="X393" s="2">
        <f t="shared" si="359"/>
        <v>0</v>
      </c>
      <c r="Y393" s="2">
        <f t="shared" si="360"/>
        <v>0</v>
      </c>
      <c r="Z393" s="2"/>
      <c r="AA393" s="2">
        <v>45037306</v>
      </c>
      <c r="AB393" s="2">
        <f t="shared" si="361"/>
        <v>28.28</v>
      </c>
      <c r="AC393" s="2">
        <f t="shared" si="362"/>
        <v>0.91</v>
      </c>
      <c r="AD393" s="2">
        <f t="shared" si="363"/>
        <v>0</v>
      </c>
      <c r="AE393" s="2">
        <f t="shared" si="364"/>
        <v>0</v>
      </c>
      <c r="AF393" s="2">
        <f t="shared" si="365"/>
        <v>27.37</v>
      </c>
      <c r="AG393" s="2">
        <f t="shared" si="366"/>
        <v>0</v>
      </c>
      <c r="AH393" s="2">
        <f t="shared" si="367"/>
        <v>2.2999999999999998</v>
      </c>
      <c r="AI393" s="2">
        <f t="shared" si="368"/>
        <v>0</v>
      </c>
      <c r="AJ393" s="2">
        <f t="shared" si="369"/>
        <v>0</v>
      </c>
      <c r="AK393" s="2">
        <v>24.71</v>
      </c>
      <c r="AL393" s="2">
        <v>0.91</v>
      </c>
      <c r="AM393" s="2">
        <v>0</v>
      </c>
      <c r="AN393" s="2">
        <v>0</v>
      </c>
      <c r="AO393" s="2">
        <v>23.8</v>
      </c>
      <c r="AP393" s="2">
        <v>0</v>
      </c>
      <c r="AQ393" s="2">
        <v>2</v>
      </c>
      <c r="AR393" s="2">
        <v>0</v>
      </c>
      <c r="AS393" s="2">
        <v>0</v>
      </c>
      <c r="AT393" s="2">
        <v>0</v>
      </c>
      <c r="AU393" s="2">
        <v>0</v>
      </c>
      <c r="AV393" s="2">
        <v>1</v>
      </c>
      <c r="AW393" s="2">
        <v>1</v>
      </c>
      <c r="AX393" s="2"/>
      <c r="AY393" s="2"/>
      <c r="AZ393" s="2">
        <v>1</v>
      </c>
      <c r="BA393" s="2">
        <v>1</v>
      </c>
      <c r="BB393" s="2">
        <v>1</v>
      </c>
      <c r="BC393" s="2">
        <v>1</v>
      </c>
      <c r="BD393" s="2" t="s">
        <v>3</v>
      </c>
      <c r="BE393" s="2" t="s">
        <v>3</v>
      </c>
      <c r="BF393" s="2" t="s">
        <v>3</v>
      </c>
      <c r="BG393" s="2" t="s">
        <v>3</v>
      </c>
      <c r="BH393" s="2">
        <v>0</v>
      </c>
      <c r="BI393" s="2">
        <v>2</v>
      </c>
      <c r="BJ393" s="2" t="s">
        <v>459</v>
      </c>
      <c r="BK393" s="2"/>
      <c r="BL393" s="2"/>
      <c r="BM393" s="2">
        <v>336</v>
      </c>
      <c r="BN393" s="2">
        <v>7156650</v>
      </c>
      <c r="BO393" s="2" t="s">
        <v>3</v>
      </c>
      <c r="BP393" s="2">
        <v>0</v>
      </c>
      <c r="BQ393" s="2">
        <v>40</v>
      </c>
      <c r="BR393" s="2">
        <v>0</v>
      </c>
      <c r="BS393" s="2">
        <v>1</v>
      </c>
      <c r="BT393" s="2">
        <v>1</v>
      </c>
      <c r="BU393" s="2">
        <v>1</v>
      </c>
      <c r="BV393" s="2">
        <v>1</v>
      </c>
      <c r="BW393" s="2">
        <v>1</v>
      </c>
      <c r="BX393" s="2">
        <v>1</v>
      </c>
      <c r="BY393" s="2" t="s">
        <v>3</v>
      </c>
      <c r="BZ393" s="2">
        <v>0</v>
      </c>
      <c r="CA393" s="2">
        <v>0</v>
      </c>
      <c r="CB393" s="2"/>
      <c r="CC393" s="2"/>
      <c r="CD393" s="2"/>
      <c r="CE393" s="2"/>
      <c r="CF393" s="2">
        <v>0</v>
      </c>
      <c r="CG393" s="2">
        <v>0</v>
      </c>
      <c r="CH393" s="2"/>
      <c r="CI393" s="2"/>
      <c r="CJ393" s="2"/>
      <c r="CK393" s="2"/>
      <c r="CL393" s="2"/>
      <c r="CM393" s="2">
        <v>0</v>
      </c>
      <c r="CN393" s="2" t="s">
        <v>3</v>
      </c>
      <c r="CO393" s="2">
        <v>0</v>
      </c>
      <c r="CP393" s="2">
        <f t="shared" si="370"/>
        <v>28.28</v>
      </c>
      <c r="CQ393" s="2">
        <f t="shared" si="371"/>
        <v>0.91</v>
      </c>
      <c r="CR393" s="2">
        <f t="shared" si="372"/>
        <v>0</v>
      </c>
      <c r="CS393" s="2">
        <f t="shared" si="373"/>
        <v>0</v>
      </c>
      <c r="CT393" s="2">
        <f t="shared" si="374"/>
        <v>27.37</v>
      </c>
      <c r="CU393" s="2">
        <f t="shared" si="375"/>
        <v>0</v>
      </c>
      <c r="CV393" s="2">
        <f t="shared" si="376"/>
        <v>2.2999999999999998</v>
      </c>
      <c r="CW393" s="2">
        <f t="shared" si="377"/>
        <v>0</v>
      </c>
      <c r="CX393" s="2">
        <f t="shared" si="378"/>
        <v>0</v>
      </c>
      <c r="CY393" s="2">
        <f t="shared" si="379"/>
        <v>0</v>
      </c>
      <c r="CZ393" s="2">
        <f t="shared" si="380"/>
        <v>0</v>
      </c>
      <c r="DA393" s="2"/>
      <c r="DB393" s="2"/>
      <c r="DC393" s="2" t="s">
        <v>3</v>
      </c>
      <c r="DD393" s="2" t="s">
        <v>3</v>
      </c>
      <c r="DE393" s="2" t="s">
        <v>36</v>
      </c>
      <c r="DF393" s="2" t="s">
        <v>36</v>
      </c>
      <c r="DG393" s="2" t="s">
        <v>37</v>
      </c>
      <c r="DH393" s="2" t="s">
        <v>3</v>
      </c>
      <c r="DI393" s="2" t="s">
        <v>37</v>
      </c>
      <c r="DJ393" s="2" t="s">
        <v>36</v>
      </c>
      <c r="DK393" s="2" t="s">
        <v>3</v>
      </c>
      <c r="DL393" s="2" t="s">
        <v>3</v>
      </c>
      <c r="DM393" s="2" t="s">
        <v>3</v>
      </c>
      <c r="DN393" s="2">
        <v>114</v>
      </c>
      <c r="DO393" s="2">
        <v>67</v>
      </c>
      <c r="DP393" s="2">
        <v>1.0469999999999999</v>
      </c>
      <c r="DQ393" s="2">
        <v>1</v>
      </c>
      <c r="DR393" s="2"/>
      <c r="DS393" s="2"/>
      <c r="DT393" s="2"/>
      <c r="DU393" s="2">
        <v>1013</v>
      </c>
      <c r="DV393" s="2" t="s">
        <v>322</v>
      </c>
      <c r="DW393" s="2" t="s">
        <v>322</v>
      </c>
      <c r="DX393" s="2">
        <v>1</v>
      </c>
      <c r="DY393" s="2"/>
      <c r="DZ393" s="2"/>
      <c r="EA393" s="2"/>
      <c r="EB393" s="2"/>
      <c r="EC393" s="2"/>
      <c r="ED393" s="2"/>
      <c r="EE393" s="2">
        <v>44846843</v>
      </c>
      <c r="EF393" s="2">
        <v>40</v>
      </c>
      <c r="EG393" s="2" t="s">
        <v>453</v>
      </c>
      <c r="EH393" s="2">
        <v>0</v>
      </c>
      <c r="EI393" s="2" t="s">
        <v>3</v>
      </c>
      <c r="EJ393" s="2">
        <v>2</v>
      </c>
      <c r="EK393" s="2">
        <v>336</v>
      </c>
      <c r="EL393" s="2" t="s">
        <v>454</v>
      </c>
      <c r="EM393" s="2" t="s">
        <v>455</v>
      </c>
      <c r="EN393" s="2"/>
      <c r="EO393" s="2" t="s">
        <v>3</v>
      </c>
      <c r="EP393" s="2"/>
      <c r="EQ393" s="2">
        <v>131072</v>
      </c>
      <c r="ER393" s="2">
        <v>24.71</v>
      </c>
      <c r="ES393" s="2">
        <v>0.91</v>
      </c>
      <c r="ET393" s="2">
        <v>0</v>
      </c>
      <c r="EU393" s="2">
        <v>0</v>
      </c>
      <c r="EV393" s="2">
        <v>23.8</v>
      </c>
      <c r="EW393" s="2">
        <v>2</v>
      </c>
      <c r="EX393" s="2">
        <v>0</v>
      </c>
      <c r="EY393" s="2">
        <v>0</v>
      </c>
      <c r="EZ393" s="2"/>
      <c r="FA393" s="2"/>
      <c r="FB393" s="2"/>
      <c r="FC393" s="2"/>
      <c r="FD393" s="2"/>
      <c r="FE393" s="2"/>
      <c r="FF393" s="2"/>
      <c r="FG393" s="2"/>
      <c r="FH393" s="2"/>
      <c r="FI393" s="2"/>
      <c r="FJ393" s="2"/>
      <c r="FK393" s="2"/>
      <c r="FL393" s="2"/>
      <c r="FM393" s="2"/>
      <c r="FN393" s="2"/>
      <c r="FO393" s="2"/>
      <c r="FP393" s="2"/>
      <c r="FQ393" s="2">
        <v>0</v>
      </c>
      <c r="FR393" s="2">
        <f t="shared" si="381"/>
        <v>0</v>
      </c>
      <c r="FS393" s="2">
        <v>0</v>
      </c>
      <c r="FT393" s="2"/>
      <c r="FU393" s="2"/>
      <c r="FV393" s="2"/>
      <c r="FW393" s="2"/>
      <c r="FX393" s="2">
        <v>114</v>
      </c>
      <c r="FY393" s="2">
        <v>67</v>
      </c>
      <c r="FZ393" s="2"/>
      <c r="GA393" s="2" t="s">
        <v>3</v>
      </c>
      <c r="GB393" s="2"/>
      <c r="GC393" s="2"/>
      <c r="GD393" s="2">
        <v>0</v>
      </c>
      <c r="GE393" s="2"/>
      <c r="GF393" s="2">
        <v>-801510214</v>
      </c>
      <c r="GG393" s="2">
        <v>2</v>
      </c>
      <c r="GH393" s="2">
        <v>1</v>
      </c>
      <c r="GI393" s="2">
        <v>3</v>
      </c>
      <c r="GJ393" s="2">
        <v>0</v>
      </c>
      <c r="GK393" s="2">
        <f>ROUND(R393*(R12)/100,2)</f>
        <v>0</v>
      </c>
      <c r="GL393" s="2">
        <f t="shared" si="382"/>
        <v>0</v>
      </c>
      <c r="GM393" s="2">
        <f t="shared" si="383"/>
        <v>28.28</v>
      </c>
      <c r="GN393" s="2">
        <f t="shared" si="384"/>
        <v>0</v>
      </c>
      <c r="GO393" s="2">
        <f t="shared" si="385"/>
        <v>28.28</v>
      </c>
      <c r="GP393" s="2">
        <f t="shared" si="386"/>
        <v>0</v>
      </c>
      <c r="GQ393" s="2"/>
      <c r="GR393" s="2">
        <v>0</v>
      </c>
      <c r="GS393" s="2">
        <v>3</v>
      </c>
      <c r="GT393" s="2">
        <v>0</v>
      </c>
      <c r="GU393" s="2" t="s">
        <v>3</v>
      </c>
      <c r="GV393" s="2">
        <f t="shared" si="387"/>
        <v>0</v>
      </c>
      <c r="GW393" s="2">
        <v>1</v>
      </c>
      <c r="GX393" s="2">
        <f t="shared" si="388"/>
        <v>0</v>
      </c>
      <c r="GY393" s="2"/>
      <c r="GZ393" s="2"/>
      <c r="HA393" s="2">
        <v>0</v>
      </c>
      <c r="HB393" s="2">
        <v>0</v>
      </c>
      <c r="HC393" s="2"/>
      <c r="HD393" s="2"/>
      <c r="HE393" s="2"/>
      <c r="HF393" s="2"/>
      <c r="HG393" s="2"/>
      <c r="HH393" s="2"/>
      <c r="HI393" s="2"/>
      <c r="HJ393" s="2"/>
      <c r="HK393" s="2"/>
      <c r="HL393" s="2"/>
      <c r="HM393" s="2"/>
      <c r="HN393" s="2"/>
      <c r="HO393" s="2"/>
      <c r="HP393" s="2"/>
      <c r="HQ393" s="2"/>
      <c r="HR393" s="2"/>
      <c r="HS393" s="2"/>
      <c r="HT393" s="2"/>
      <c r="HU393" s="2"/>
      <c r="HV393" s="2"/>
      <c r="HW393" s="2"/>
      <c r="HX393" s="2"/>
      <c r="HY393" s="2"/>
      <c r="HZ393" s="2"/>
      <c r="IA393" s="2"/>
      <c r="IB393" s="2"/>
      <c r="IC393" s="2"/>
      <c r="ID393" s="2"/>
      <c r="IE393" s="2"/>
      <c r="IF393" s="2"/>
      <c r="IG393" s="2"/>
      <c r="IH393" s="2"/>
      <c r="II393" s="2"/>
      <c r="IJ393" s="2"/>
      <c r="IK393" s="2">
        <v>0</v>
      </c>
      <c r="IL393" s="2"/>
      <c r="IM393" s="2"/>
      <c r="IN393" s="2"/>
      <c r="IO393" s="2"/>
      <c r="IP393" s="2"/>
      <c r="IQ393" s="2"/>
      <c r="IR393" s="2"/>
      <c r="IS393" s="2"/>
      <c r="IT393" s="2"/>
      <c r="IU393" s="2"/>
    </row>
    <row r="394" spans="1:255" x14ac:dyDescent="0.2">
      <c r="A394">
        <v>17</v>
      </c>
      <c r="B394">
        <v>1</v>
      </c>
      <c r="C394">
        <f>ROW(SmtRes!A370)</f>
        <v>370</v>
      </c>
      <c r="D394">
        <f>ROW(EtalonRes!A356)</f>
        <v>356</v>
      </c>
      <c r="E394" t="s">
        <v>456</v>
      </c>
      <c r="F394" t="s">
        <v>457</v>
      </c>
      <c r="G394" t="s">
        <v>458</v>
      </c>
      <c r="H394" t="s">
        <v>322</v>
      </c>
      <c r="I394">
        <v>1</v>
      </c>
      <c r="J394">
        <v>0</v>
      </c>
      <c r="O394">
        <f t="shared" si="350"/>
        <v>563.11</v>
      </c>
      <c r="P394">
        <f t="shared" si="351"/>
        <v>4.76</v>
      </c>
      <c r="Q394">
        <f t="shared" si="352"/>
        <v>0</v>
      </c>
      <c r="R394">
        <f t="shared" si="353"/>
        <v>0</v>
      </c>
      <c r="S394">
        <f t="shared" si="354"/>
        <v>558.35</v>
      </c>
      <c r="T394">
        <f t="shared" si="355"/>
        <v>0</v>
      </c>
      <c r="U394">
        <f t="shared" si="356"/>
        <v>2.2999999999999998</v>
      </c>
      <c r="V394">
        <f t="shared" si="357"/>
        <v>0</v>
      </c>
      <c r="W394">
        <f t="shared" si="358"/>
        <v>0</v>
      </c>
      <c r="X394">
        <f t="shared" si="359"/>
        <v>429.93</v>
      </c>
      <c r="Y394">
        <f t="shared" si="360"/>
        <v>228.92</v>
      </c>
      <c r="AA394">
        <v>45037307</v>
      </c>
      <c r="AB394">
        <f t="shared" si="361"/>
        <v>28.28</v>
      </c>
      <c r="AC394">
        <f t="shared" si="362"/>
        <v>0.91</v>
      </c>
      <c r="AD394">
        <f t="shared" si="363"/>
        <v>0</v>
      </c>
      <c r="AE394">
        <f t="shared" si="364"/>
        <v>0</v>
      </c>
      <c r="AF394">
        <f t="shared" si="365"/>
        <v>27.37</v>
      </c>
      <c r="AG394">
        <f t="shared" si="366"/>
        <v>0</v>
      </c>
      <c r="AH394">
        <f t="shared" si="367"/>
        <v>2.2999999999999998</v>
      </c>
      <c r="AI394">
        <f t="shared" si="368"/>
        <v>0</v>
      </c>
      <c r="AJ394">
        <f t="shared" si="369"/>
        <v>0</v>
      </c>
      <c r="AK394">
        <v>24.71</v>
      </c>
      <c r="AL394">
        <v>0.91</v>
      </c>
      <c r="AM394">
        <v>0</v>
      </c>
      <c r="AN394">
        <v>0</v>
      </c>
      <c r="AO394">
        <v>23.8</v>
      </c>
      <c r="AP394">
        <v>0</v>
      </c>
      <c r="AQ394">
        <v>2</v>
      </c>
      <c r="AR394">
        <v>0</v>
      </c>
      <c r="AS394">
        <v>0</v>
      </c>
      <c r="AT394">
        <v>77</v>
      </c>
      <c r="AU394">
        <v>41</v>
      </c>
      <c r="AV394">
        <v>1</v>
      </c>
      <c r="AW394">
        <v>1</v>
      </c>
      <c r="AZ394">
        <v>1</v>
      </c>
      <c r="BA394">
        <v>20.399999999999999</v>
      </c>
      <c r="BB394">
        <v>1</v>
      </c>
      <c r="BC394">
        <v>5.23</v>
      </c>
      <c r="BD394" t="s">
        <v>3</v>
      </c>
      <c r="BE394" t="s">
        <v>3</v>
      </c>
      <c r="BF394" t="s">
        <v>3</v>
      </c>
      <c r="BG394" t="s">
        <v>3</v>
      </c>
      <c r="BH394">
        <v>0</v>
      </c>
      <c r="BI394">
        <v>2</v>
      </c>
      <c r="BJ394" t="s">
        <v>459</v>
      </c>
      <c r="BM394">
        <v>336</v>
      </c>
      <c r="BN394">
        <v>7156650</v>
      </c>
      <c r="BO394" t="s">
        <v>457</v>
      </c>
      <c r="BP394">
        <v>1</v>
      </c>
      <c r="BQ394">
        <v>40</v>
      </c>
      <c r="BR394">
        <v>0</v>
      </c>
      <c r="BS394">
        <v>20.399999999999999</v>
      </c>
      <c r="BT394">
        <v>1</v>
      </c>
      <c r="BU394">
        <v>1</v>
      </c>
      <c r="BV394">
        <v>1</v>
      </c>
      <c r="BW394">
        <v>1</v>
      </c>
      <c r="BX394">
        <v>1</v>
      </c>
      <c r="BY394" t="s">
        <v>3</v>
      </c>
      <c r="BZ394">
        <v>77</v>
      </c>
      <c r="CA394">
        <v>41</v>
      </c>
      <c r="CF394">
        <v>0</v>
      </c>
      <c r="CG394">
        <v>0</v>
      </c>
      <c r="CM394">
        <v>0</v>
      </c>
      <c r="CN394" t="s">
        <v>3</v>
      </c>
      <c r="CO394">
        <v>0</v>
      </c>
      <c r="CP394">
        <f t="shared" si="370"/>
        <v>563.11</v>
      </c>
      <c r="CQ394">
        <f t="shared" si="371"/>
        <v>4.7593000000000005</v>
      </c>
      <c r="CR394">
        <f t="shared" si="372"/>
        <v>0</v>
      </c>
      <c r="CS394">
        <f t="shared" si="373"/>
        <v>0</v>
      </c>
      <c r="CT394">
        <f t="shared" si="374"/>
        <v>558.34799999999996</v>
      </c>
      <c r="CU394">
        <f t="shared" si="375"/>
        <v>0</v>
      </c>
      <c r="CV394">
        <f t="shared" si="376"/>
        <v>2.2999999999999998</v>
      </c>
      <c r="CW394">
        <f t="shared" si="377"/>
        <v>0</v>
      </c>
      <c r="CX394">
        <f t="shared" si="378"/>
        <v>0</v>
      </c>
      <c r="CY394">
        <f t="shared" si="379"/>
        <v>429.92950000000002</v>
      </c>
      <c r="CZ394">
        <f t="shared" si="380"/>
        <v>228.92349999999999</v>
      </c>
      <c r="DC394" t="s">
        <v>3</v>
      </c>
      <c r="DD394" t="s">
        <v>3</v>
      </c>
      <c r="DE394" t="s">
        <v>36</v>
      </c>
      <c r="DF394" t="s">
        <v>36</v>
      </c>
      <c r="DG394" t="s">
        <v>37</v>
      </c>
      <c r="DH394" t="s">
        <v>3</v>
      </c>
      <c r="DI394" t="s">
        <v>37</v>
      </c>
      <c r="DJ394" t="s">
        <v>36</v>
      </c>
      <c r="DK394" t="s">
        <v>3</v>
      </c>
      <c r="DL394" t="s">
        <v>3</v>
      </c>
      <c r="DM394" t="s">
        <v>3</v>
      </c>
      <c r="DN394">
        <v>114</v>
      </c>
      <c r="DO394">
        <v>67</v>
      </c>
      <c r="DP394">
        <v>1.0469999999999999</v>
      </c>
      <c r="DQ394">
        <v>1</v>
      </c>
      <c r="DU394">
        <v>1013</v>
      </c>
      <c r="DV394" t="s">
        <v>322</v>
      </c>
      <c r="DW394" t="s">
        <v>322</v>
      </c>
      <c r="DX394">
        <v>1</v>
      </c>
      <c r="EE394">
        <v>44846843</v>
      </c>
      <c r="EF394">
        <v>40</v>
      </c>
      <c r="EG394" t="s">
        <v>453</v>
      </c>
      <c r="EH394">
        <v>0</v>
      </c>
      <c r="EI394" t="s">
        <v>3</v>
      </c>
      <c r="EJ394">
        <v>2</v>
      </c>
      <c r="EK394">
        <v>336</v>
      </c>
      <c r="EL394" t="s">
        <v>454</v>
      </c>
      <c r="EM394" t="s">
        <v>455</v>
      </c>
      <c r="EO394" t="s">
        <v>3</v>
      </c>
      <c r="EQ394">
        <v>131072</v>
      </c>
      <c r="ER394">
        <v>24.71</v>
      </c>
      <c r="ES394">
        <v>0.91</v>
      </c>
      <c r="ET394">
        <v>0</v>
      </c>
      <c r="EU394">
        <v>0</v>
      </c>
      <c r="EV394">
        <v>23.8</v>
      </c>
      <c r="EW394">
        <v>2</v>
      </c>
      <c r="EX394">
        <v>0</v>
      </c>
      <c r="EY394">
        <v>0</v>
      </c>
      <c r="FQ394">
        <v>0</v>
      </c>
      <c r="FR394">
        <f t="shared" si="381"/>
        <v>0</v>
      </c>
      <c r="FS394">
        <v>0</v>
      </c>
      <c r="FX394">
        <v>114</v>
      </c>
      <c r="FY394">
        <v>67</v>
      </c>
      <c r="GA394" t="s">
        <v>3</v>
      </c>
      <c r="GD394">
        <v>0</v>
      </c>
      <c r="GF394">
        <v>-801510214</v>
      </c>
      <c r="GG394">
        <v>2</v>
      </c>
      <c r="GH394">
        <v>1</v>
      </c>
      <c r="GI394">
        <v>3</v>
      </c>
      <c r="GJ394">
        <v>0</v>
      </c>
      <c r="GK394">
        <f>ROUND(R394*(S12)/100,2)</f>
        <v>0</v>
      </c>
      <c r="GL394">
        <f t="shared" si="382"/>
        <v>0</v>
      </c>
      <c r="GM394">
        <f t="shared" si="383"/>
        <v>1221.96</v>
      </c>
      <c r="GN394">
        <f t="shared" si="384"/>
        <v>0</v>
      </c>
      <c r="GO394">
        <f t="shared" si="385"/>
        <v>1221.96</v>
      </c>
      <c r="GP394">
        <f t="shared" si="386"/>
        <v>0</v>
      </c>
      <c r="GR394">
        <v>0</v>
      </c>
      <c r="GS394">
        <v>3</v>
      </c>
      <c r="GT394">
        <v>0</v>
      </c>
      <c r="GU394" t="s">
        <v>3</v>
      </c>
      <c r="GV394">
        <f t="shared" si="387"/>
        <v>0</v>
      </c>
      <c r="GW394">
        <v>1</v>
      </c>
      <c r="GX394">
        <f t="shared" si="388"/>
        <v>0</v>
      </c>
      <c r="HA394">
        <v>0</v>
      </c>
      <c r="HB394">
        <v>0</v>
      </c>
      <c r="IK394">
        <v>0</v>
      </c>
    </row>
    <row r="395" spans="1:255" x14ac:dyDescent="0.2">
      <c r="A395" s="2">
        <v>17</v>
      </c>
      <c r="B395" s="2">
        <v>1</v>
      </c>
      <c r="C395" s="2">
        <f>ROW(SmtRes!A371)</f>
        <v>371</v>
      </c>
      <c r="D395" s="2">
        <f>ROW(EtalonRes!A357)</f>
        <v>357</v>
      </c>
      <c r="E395" s="2" t="s">
        <v>460</v>
      </c>
      <c r="F395" s="2" t="s">
        <v>461</v>
      </c>
      <c r="G395" s="2" t="s">
        <v>462</v>
      </c>
      <c r="H395" s="2" t="s">
        <v>463</v>
      </c>
      <c r="I395" s="2">
        <f>ROUND(1/100,9)</f>
        <v>0.01</v>
      </c>
      <c r="J395" s="2">
        <v>0</v>
      </c>
      <c r="K395" s="2"/>
      <c r="L395" s="2"/>
      <c r="M395" s="2"/>
      <c r="N395" s="2"/>
      <c r="O395" s="2">
        <f t="shared" si="350"/>
        <v>15.57</v>
      </c>
      <c r="P395" s="2">
        <f t="shared" si="351"/>
        <v>1.17</v>
      </c>
      <c r="Q395" s="2">
        <f t="shared" si="352"/>
        <v>1.74</v>
      </c>
      <c r="R395" s="2">
        <f t="shared" si="353"/>
        <v>0.28000000000000003</v>
      </c>
      <c r="S395" s="2">
        <f t="shared" si="354"/>
        <v>12.66</v>
      </c>
      <c r="T395" s="2">
        <f t="shared" si="355"/>
        <v>0</v>
      </c>
      <c r="U395" s="2">
        <f t="shared" si="356"/>
        <v>0.97370499999999993</v>
      </c>
      <c r="V395" s="2">
        <f t="shared" si="357"/>
        <v>0</v>
      </c>
      <c r="W395" s="2">
        <f t="shared" si="358"/>
        <v>0</v>
      </c>
      <c r="X395" s="2">
        <f t="shared" si="359"/>
        <v>0</v>
      </c>
      <c r="Y395" s="2">
        <f t="shared" si="360"/>
        <v>0</v>
      </c>
      <c r="Z395" s="2"/>
      <c r="AA395" s="2">
        <v>45037306</v>
      </c>
      <c r="AB395" s="2">
        <f t="shared" si="361"/>
        <v>1556.854</v>
      </c>
      <c r="AC395" s="2">
        <f t="shared" si="362"/>
        <v>116.9</v>
      </c>
      <c r="AD395" s="2">
        <f t="shared" si="363"/>
        <v>174.13749999999999</v>
      </c>
      <c r="AE395" s="2">
        <f t="shared" si="364"/>
        <v>28.074999999999999</v>
      </c>
      <c r="AF395" s="2">
        <f t="shared" si="365"/>
        <v>1265.8164999999999</v>
      </c>
      <c r="AG395" s="2">
        <f t="shared" si="366"/>
        <v>0</v>
      </c>
      <c r="AH395" s="2">
        <f t="shared" si="367"/>
        <v>97.370499999999993</v>
      </c>
      <c r="AI395" s="2">
        <f t="shared" si="368"/>
        <v>0</v>
      </c>
      <c r="AJ395" s="2">
        <f t="shared" si="369"/>
        <v>0</v>
      </c>
      <c r="AK395" s="2">
        <v>1356.92</v>
      </c>
      <c r="AL395" s="2">
        <v>116.9</v>
      </c>
      <c r="AM395" s="2">
        <v>139.31</v>
      </c>
      <c r="AN395" s="2">
        <v>22.46</v>
      </c>
      <c r="AO395" s="2">
        <v>1100.71</v>
      </c>
      <c r="AP395" s="2">
        <v>0</v>
      </c>
      <c r="AQ395" s="2">
        <v>84.67</v>
      </c>
      <c r="AR395" s="2">
        <v>0</v>
      </c>
      <c r="AS395" s="2">
        <v>0</v>
      </c>
      <c r="AT395" s="2">
        <v>0</v>
      </c>
      <c r="AU395" s="2">
        <v>0</v>
      </c>
      <c r="AV395" s="2">
        <v>1</v>
      </c>
      <c r="AW395" s="2">
        <v>1</v>
      </c>
      <c r="AX395" s="2"/>
      <c r="AY395" s="2"/>
      <c r="AZ395" s="2">
        <v>1</v>
      </c>
      <c r="BA395" s="2">
        <v>1</v>
      </c>
      <c r="BB395" s="2">
        <v>1</v>
      </c>
      <c r="BC395" s="2">
        <v>1</v>
      </c>
      <c r="BD395" s="2" t="s">
        <v>3</v>
      </c>
      <c r="BE395" s="2" t="s">
        <v>3</v>
      </c>
      <c r="BF395" s="2" t="s">
        <v>3</v>
      </c>
      <c r="BG395" s="2" t="s">
        <v>3</v>
      </c>
      <c r="BH395" s="2">
        <v>0</v>
      </c>
      <c r="BI395" s="2">
        <v>2</v>
      </c>
      <c r="BJ395" s="2" t="s">
        <v>464</v>
      </c>
      <c r="BK395" s="2"/>
      <c r="BL395" s="2"/>
      <c r="BM395" s="2">
        <v>333</v>
      </c>
      <c r="BN395" s="2">
        <v>7156650</v>
      </c>
      <c r="BO395" s="2" t="s">
        <v>3</v>
      </c>
      <c r="BP395" s="2">
        <v>0</v>
      </c>
      <c r="BQ395" s="2">
        <v>40</v>
      </c>
      <c r="BR395" s="2">
        <v>0</v>
      </c>
      <c r="BS395" s="2">
        <v>1</v>
      </c>
      <c r="BT395" s="2">
        <v>1</v>
      </c>
      <c r="BU395" s="2">
        <v>1</v>
      </c>
      <c r="BV395" s="2">
        <v>1</v>
      </c>
      <c r="BW395" s="2">
        <v>1</v>
      </c>
      <c r="BX395" s="2">
        <v>1</v>
      </c>
      <c r="BY395" s="2" t="s">
        <v>3</v>
      </c>
      <c r="BZ395" s="2">
        <v>0</v>
      </c>
      <c r="CA395" s="2">
        <v>0</v>
      </c>
      <c r="CB395" s="2"/>
      <c r="CC395" s="2"/>
      <c r="CD395" s="2"/>
      <c r="CE395" s="2"/>
      <c r="CF395" s="2">
        <v>0</v>
      </c>
      <c r="CG395" s="2">
        <v>0</v>
      </c>
      <c r="CH395" s="2"/>
      <c r="CI395" s="2"/>
      <c r="CJ395" s="2"/>
      <c r="CK395" s="2"/>
      <c r="CL395" s="2"/>
      <c r="CM395" s="2">
        <v>0</v>
      </c>
      <c r="CN395" s="2" t="s">
        <v>3</v>
      </c>
      <c r="CO395" s="2">
        <v>0</v>
      </c>
      <c r="CP395" s="2">
        <f t="shared" si="370"/>
        <v>15.57</v>
      </c>
      <c r="CQ395" s="2">
        <f t="shared" si="371"/>
        <v>116.9</v>
      </c>
      <c r="CR395" s="2">
        <f t="shared" si="372"/>
        <v>174.13749999999999</v>
      </c>
      <c r="CS395" s="2">
        <f t="shared" si="373"/>
        <v>28.074999999999999</v>
      </c>
      <c r="CT395" s="2">
        <f t="shared" si="374"/>
        <v>1265.8164999999999</v>
      </c>
      <c r="CU395" s="2">
        <f t="shared" si="375"/>
        <v>0</v>
      </c>
      <c r="CV395" s="2">
        <f t="shared" si="376"/>
        <v>97.370499999999993</v>
      </c>
      <c r="CW395" s="2">
        <f t="shared" si="377"/>
        <v>0</v>
      </c>
      <c r="CX395" s="2">
        <f t="shared" si="378"/>
        <v>0</v>
      </c>
      <c r="CY395" s="2">
        <f t="shared" si="379"/>
        <v>0</v>
      </c>
      <c r="CZ395" s="2">
        <f t="shared" si="380"/>
        <v>0</v>
      </c>
      <c r="DA395" s="2"/>
      <c r="DB395" s="2"/>
      <c r="DC395" s="2" t="s">
        <v>3</v>
      </c>
      <c r="DD395" s="2" t="s">
        <v>3</v>
      </c>
      <c r="DE395" s="2" t="s">
        <v>36</v>
      </c>
      <c r="DF395" s="2" t="s">
        <v>36</v>
      </c>
      <c r="DG395" s="2" t="s">
        <v>37</v>
      </c>
      <c r="DH395" s="2" t="s">
        <v>3</v>
      </c>
      <c r="DI395" s="2" t="s">
        <v>37</v>
      </c>
      <c r="DJ395" s="2" t="s">
        <v>36</v>
      </c>
      <c r="DK395" s="2" t="s">
        <v>3</v>
      </c>
      <c r="DL395" s="2" t="s">
        <v>3</v>
      </c>
      <c r="DM395" s="2" t="s">
        <v>3</v>
      </c>
      <c r="DN395" s="2">
        <v>114</v>
      </c>
      <c r="DO395" s="2">
        <v>67</v>
      </c>
      <c r="DP395" s="2">
        <v>1.0469999999999999</v>
      </c>
      <c r="DQ395" s="2">
        <v>1</v>
      </c>
      <c r="DR395" s="2"/>
      <c r="DS395" s="2"/>
      <c r="DT395" s="2"/>
      <c r="DU395" s="2">
        <v>1010</v>
      </c>
      <c r="DV395" s="2" t="s">
        <v>463</v>
      </c>
      <c r="DW395" s="2" t="s">
        <v>463</v>
      </c>
      <c r="DX395" s="2">
        <v>100</v>
      </c>
      <c r="DY395" s="2"/>
      <c r="DZ395" s="2"/>
      <c r="EA395" s="2"/>
      <c r="EB395" s="2"/>
      <c r="EC395" s="2"/>
      <c r="ED395" s="2"/>
      <c r="EE395" s="2">
        <v>44846840</v>
      </c>
      <c r="EF395" s="2">
        <v>40</v>
      </c>
      <c r="EG395" s="2" t="s">
        <v>453</v>
      </c>
      <c r="EH395" s="2">
        <v>0</v>
      </c>
      <c r="EI395" s="2" t="s">
        <v>3</v>
      </c>
      <c r="EJ395" s="2">
        <v>2</v>
      </c>
      <c r="EK395" s="2">
        <v>333</v>
      </c>
      <c r="EL395" s="2" t="s">
        <v>465</v>
      </c>
      <c r="EM395" s="2" t="s">
        <v>466</v>
      </c>
      <c r="EN395" s="2"/>
      <c r="EO395" s="2" t="s">
        <v>3</v>
      </c>
      <c r="EP395" s="2"/>
      <c r="EQ395" s="2">
        <v>131072</v>
      </c>
      <c r="ER395" s="2">
        <v>1356.92</v>
      </c>
      <c r="ES395" s="2">
        <v>116.9</v>
      </c>
      <c r="ET395" s="2">
        <v>139.31</v>
      </c>
      <c r="EU395" s="2">
        <v>22.46</v>
      </c>
      <c r="EV395" s="2">
        <v>1100.71</v>
      </c>
      <c r="EW395" s="2">
        <v>84.67</v>
      </c>
      <c r="EX395" s="2">
        <v>0</v>
      </c>
      <c r="EY395" s="2">
        <v>0</v>
      </c>
      <c r="EZ395" s="2"/>
      <c r="FA395" s="2"/>
      <c r="FB395" s="2"/>
      <c r="FC395" s="2"/>
      <c r="FD395" s="2"/>
      <c r="FE395" s="2"/>
      <c r="FF395" s="2"/>
      <c r="FG395" s="2"/>
      <c r="FH395" s="2"/>
      <c r="FI395" s="2"/>
      <c r="FJ395" s="2"/>
      <c r="FK395" s="2"/>
      <c r="FL395" s="2"/>
      <c r="FM395" s="2"/>
      <c r="FN395" s="2"/>
      <c r="FO395" s="2"/>
      <c r="FP395" s="2"/>
      <c r="FQ395" s="2">
        <v>0</v>
      </c>
      <c r="FR395" s="2">
        <f t="shared" si="381"/>
        <v>0</v>
      </c>
      <c r="FS395" s="2">
        <v>0</v>
      </c>
      <c r="FT395" s="2"/>
      <c r="FU395" s="2"/>
      <c r="FV395" s="2"/>
      <c r="FW395" s="2"/>
      <c r="FX395" s="2">
        <v>114</v>
      </c>
      <c r="FY395" s="2">
        <v>67</v>
      </c>
      <c r="FZ395" s="2"/>
      <c r="GA395" s="2" t="s">
        <v>3</v>
      </c>
      <c r="GB395" s="2"/>
      <c r="GC395" s="2"/>
      <c r="GD395" s="2">
        <v>0</v>
      </c>
      <c r="GE395" s="2"/>
      <c r="GF395" s="2">
        <v>670646558</v>
      </c>
      <c r="GG395" s="2">
        <v>2</v>
      </c>
      <c r="GH395" s="2">
        <v>1</v>
      </c>
      <c r="GI395" s="2">
        <v>3</v>
      </c>
      <c r="GJ395" s="2">
        <v>0</v>
      </c>
      <c r="GK395" s="2">
        <f>ROUND(R395*(R12)/100,2)</f>
        <v>0.5</v>
      </c>
      <c r="GL395" s="2">
        <f t="shared" si="382"/>
        <v>0</v>
      </c>
      <c r="GM395" s="2">
        <f t="shared" si="383"/>
        <v>16.07</v>
      </c>
      <c r="GN395" s="2">
        <f t="shared" si="384"/>
        <v>0</v>
      </c>
      <c r="GO395" s="2">
        <f t="shared" si="385"/>
        <v>16.07</v>
      </c>
      <c r="GP395" s="2">
        <f t="shared" si="386"/>
        <v>0</v>
      </c>
      <c r="GQ395" s="2"/>
      <c r="GR395" s="2">
        <v>0</v>
      </c>
      <c r="GS395" s="2">
        <v>3</v>
      </c>
      <c r="GT395" s="2">
        <v>0</v>
      </c>
      <c r="GU395" s="2" t="s">
        <v>3</v>
      </c>
      <c r="GV395" s="2">
        <f t="shared" si="387"/>
        <v>0</v>
      </c>
      <c r="GW395" s="2">
        <v>1</v>
      </c>
      <c r="GX395" s="2">
        <f t="shared" si="388"/>
        <v>0</v>
      </c>
      <c r="GY395" s="2"/>
      <c r="GZ395" s="2"/>
      <c r="HA395" s="2">
        <v>0</v>
      </c>
      <c r="HB395" s="2">
        <v>0</v>
      </c>
      <c r="HC395" s="2"/>
      <c r="HD395" s="2"/>
      <c r="HE395" s="2"/>
      <c r="HF395" s="2"/>
      <c r="HG395" s="2"/>
      <c r="HH395" s="2"/>
      <c r="HI395" s="2"/>
      <c r="HJ395" s="2"/>
      <c r="HK395" s="2"/>
      <c r="HL395" s="2"/>
      <c r="HM395" s="2"/>
      <c r="HN395" s="2"/>
      <c r="HO395" s="2"/>
      <c r="HP395" s="2"/>
      <c r="HQ395" s="2"/>
      <c r="HR395" s="2"/>
      <c r="HS395" s="2"/>
      <c r="HT395" s="2"/>
      <c r="HU395" s="2"/>
      <c r="HV395" s="2"/>
      <c r="HW395" s="2"/>
      <c r="HX395" s="2"/>
      <c r="HY395" s="2"/>
      <c r="HZ395" s="2"/>
      <c r="IA395" s="2"/>
      <c r="IB395" s="2"/>
      <c r="IC395" s="2"/>
      <c r="ID395" s="2"/>
      <c r="IE395" s="2"/>
      <c r="IF395" s="2"/>
      <c r="IG395" s="2"/>
      <c r="IH395" s="2"/>
      <c r="II395" s="2"/>
      <c r="IJ395" s="2"/>
      <c r="IK395" s="2">
        <v>0</v>
      </c>
      <c r="IL395" s="2"/>
      <c r="IM395" s="2"/>
      <c r="IN395" s="2"/>
      <c r="IO395" s="2"/>
      <c r="IP395" s="2"/>
      <c r="IQ395" s="2"/>
      <c r="IR395" s="2"/>
      <c r="IS395" s="2"/>
      <c r="IT395" s="2"/>
      <c r="IU395" s="2"/>
    </row>
    <row r="396" spans="1:255" x14ac:dyDescent="0.2">
      <c r="A396">
        <v>17</v>
      </c>
      <c r="B396">
        <v>1</v>
      </c>
      <c r="C396">
        <f>ROW(SmtRes!A372)</f>
        <v>372</v>
      </c>
      <c r="D396">
        <f>ROW(EtalonRes!A358)</f>
        <v>358</v>
      </c>
      <c r="E396" t="s">
        <v>460</v>
      </c>
      <c r="F396" t="s">
        <v>461</v>
      </c>
      <c r="G396" t="s">
        <v>462</v>
      </c>
      <c r="H396" t="s">
        <v>463</v>
      </c>
      <c r="I396">
        <f>ROUND(1/100,9)</f>
        <v>0.01</v>
      </c>
      <c r="J396">
        <v>0</v>
      </c>
      <c r="O396">
        <f t="shared" si="350"/>
        <v>277.97000000000003</v>
      </c>
      <c r="P396">
        <f t="shared" si="351"/>
        <v>6.11</v>
      </c>
      <c r="Q396">
        <f t="shared" si="352"/>
        <v>13.63</v>
      </c>
      <c r="R396">
        <f t="shared" si="353"/>
        <v>5.73</v>
      </c>
      <c r="S396">
        <f t="shared" si="354"/>
        <v>258.23</v>
      </c>
      <c r="T396">
        <f t="shared" si="355"/>
        <v>0</v>
      </c>
      <c r="U396">
        <f t="shared" si="356"/>
        <v>0.97370499999999993</v>
      </c>
      <c r="V396">
        <f t="shared" si="357"/>
        <v>0</v>
      </c>
      <c r="W396">
        <f t="shared" si="358"/>
        <v>0</v>
      </c>
      <c r="X396">
        <f t="shared" si="359"/>
        <v>198.84</v>
      </c>
      <c r="Y396">
        <f t="shared" si="360"/>
        <v>105.87</v>
      </c>
      <c r="AA396">
        <v>45037307</v>
      </c>
      <c r="AB396">
        <f t="shared" si="361"/>
        <v>1556.854</v>
      </c>
      <c r="AC396">
        <f t="shared" si="362"/>
        <v>116.9</v>
      </c>
      <c r="AD396">
        <f t="shared" si="363"/>
        <v>174.13749999999999</v>
      </c>
      <c r="AE396">
        <f t="shared" si="364"/>
        <v>28.074999999999999</v>
      </c>
      <c r="AF396">
        <f t="shared" si="365"/>
        <v>1265.8164999999999</v>
      </c>
      <c r="AG396">
        <f t="shared" si="366"/>
        <v>0</v>
      </c>
      <c r="AH396">
        <f t="shared" si="367"/>
        <v>97.370499999999993</v>
      </c>
      <c r="AI396">
        <f t="shared" si="368"/>
        <v>0</v>
      </c>
      <c r="AJ396">
        <f t="shared" si="369"/>
        <v>0</v>
      </c>
      <c r="AK396">
        <v>1356.92</v>
      </c>
      <c r="AL396">
        <v>116.9</v>
      </c>
      <c r="AM396">
        <v>139.31</v>
      </c>
      <c r="AN396">
        <v>22.46</v>
      </c>
      <c r="AO396">
        <v>1100.71</v>
      </c>
      <c r="AP396">
        <v>0</v>
      </c>
      <c r="AQ396">
        <v>84.67</v>
      </c>
      <c r="AR396">
        <v>0</v>
      </c>
      <c r="AS396">
        <v>0</v>
      </c>
      <c r="AT396">
        <v>77</v>
      </c>
      <c r="AU396">
        <v>41</v>
      </c>
      <c r="AV396">
        <v>1</v>
      </c>
      <c r="AW396">
        <v>1</v>
      </c>
      <c r="AZ396">
        <v>1</v>
      </c>
      <c r="BA396">
        <v>20.399999999999999</v>
      </c>
      <c r="BB396">
        <v>7.83</v>
      </c>
      <c r="BC396">
        <v>5.23</v>
      </c>
      <c r="BD396" t="s">
        <v>3</v>
      </c>
      <c r="BE396" t="s">
        <v>3</v>
      </c>
      <c r="BF396" t="s">
        <v>3</v>
      </c>
      <c r="BG396" t="s">
        <v>3</v>
      </c>
      <c r="BH396">
        <v>0</v>
      </c>
      <c r="BI396">
        <v>2</v>
      </c>
      <c r="BJ396" t="s">
        <v>464</v>
      </c>
      <c r="BM396">
        <v>333</v>
      </c>
      <c r="BN396">
        <v>7156650</v>
      </c>
      <c r="BO396" t="s">
        <v>461</v>
      </c>
      <c r="BP396">
        <v>1</v>
      </c>
      <c r="BQ396">
        <v>40</v>
      </c>
      <c r="BR396">
        <v>0</v>
      </c>
      <c r="BS396">
        <v>20.399999999999999</v>
      </c>
      <c r="BT396">
        <v>1</v>
      </c>
      <c r="BU396">
        <v>1</v>
      </c>
      <c r="BV396">
        <v>1</v>
      </c>
      <c r="BW396">
        <v>1</v>
      </c>
      <c r="BX396">
        <v>1</v>
      </c>
      <c r="BY396" t="s">
        <v>3</v>
      </c>
      <c r="BZ396">
        <v>77</v>
      </c>
      <c r="CA396">
        <v>41</v>
      </c>
      <c r="CF396">
        <v>0</v>
      </c>
      <c r="CG396">
        <v>0</v>
      </c>
      <c r="CM396">
        <v>0</v>
      </c>
      <c r="CN396" t="s">
        <v>3</v>
      </c>
      <c r="CO396">
        <v>0</v>
      </c>
      <c r="CP396">
        <f t="shared" si="370"/>
        <v>277.97000000000003</v>
      </c>
      <c r="CQ396">
        <f t="shared" si="371"/>
        <v>611.38700000000006</v>
      </c>
      <c r="CR396">
        <f t="shared" si="372"/>
        <v>1363.496625</v>
      </c>
      <c r="CS396">
        <f t="shared" si="373"/>
        <v>572.7299999999999</v>
      </c>
      <c r="CT396">
        <f t="shared" si="374"/>
        <v>25822.656599999995</v>
      </c>
      <c r="CU396">
        <f t="shared" si="375"/>
        <v>0</v>
      </c>
      <c r="CV396">
        <f t="shared" si="376"/>
        <v>97.370499999999993</v>
      </c>
      <c r="CW396">
        <f t="shared" si="377"/>
        <v>0</v>
      </c>
      <c r="CX396">
        <f t="shared" si="378"/>
        <v>0</v>
      </c>
      <c r="CY396">
        <f t="shared" si="379"/>
        <v>198.83710000000002</v>
      </c>
      <c r="CZ396">
        <f t="shared" si="380"/>
        <v>105.87430000000001</v>
      </c>
      <c r="DC396" t="s">
        <v>3</v>
      </c>
      <c r="DD396" t="s">
        <v>3</v>
      </c>
      <c r="DE396" t="s">
        <v>36</v>
      </c>
      <c r="DF396" t="s">
        <v>36</v>
      </c>
      <c r="DG396" t="s">
        <v>37</v>
      </c>
      <c r="DH396" t="s">
        <v>3</v>
      </c>
      <c r="DI396" t="s">
        <v>37</v>
      </c>
      <c r="DJ396" t="s">
        <v>36</v>
      </c>
      <c r="DK396" t="s">
        <v>3</v>
      </c>
      <c r="DL396" t="s">
        <v>3</v>
      </c>
      <c r="DM396" t="s">
        <v>3</v>
      </c>
      <c r="DN396">
        <v>114</v>
      </c>
      <c r="DO396">
        <v>67</v>
      </c>
      <c r="DP396">
        <v>1.0469999999999999</v>
      </c>
      <c r="DQ396">
        <v>1</v>
      </c>
      <c r="DU396">
        <v>1010</v>
      </c>
      <c r="DV396" t="s">
        <v>463</v>
      </c>
      <c r="DW396" t="s">
        <v>463</v>
      </c>
      <c r="DX396">
        <v>100</v>
      </c>
      <c r="EE396">
        <v>44846840</v>
      </c>
      <c r="EF396">
        <v>40</v>
      </c>
      <c r="EG396" t="s">
        <v>453</v>
      </c>
      <c r="EH396">
        <v>0</v>
      </c>
      <c r="EI396" t="s">
        <v>3</v>
      </c>
      <c r="EJ396">
        <v>2</v>
      </c>
      <c r="EK396">
        <v>333</v>
      </c>
      <c r="EL396" t="s">
        <v>465</v>
      </c>
      <c r="EM396" t="s">
        <v>466</v>
      </c>
      <c r="EO396" t="s">
        <v>3</v>
      </c>
      <c r="EQ396">
        <v>131072</v>
      </c>
      <c r="ER396">
        <v>1356.92</v>
      </c>
      <c r="ES396">
        <v>116.9</v>
      </c>
      <c r="ET396">
        <v>139.31</v>
      </c>
      <c r="EU396">
        <v>22.46</v>
      </c>
      <c r="EV396">
        <v>1100.71</v>
      </c>
      <c r="EW396">
        <v>84.67</v>
      </c>
      <c r="EX396">
        <v>0</v>
      </c>
      <c r="EY396">
        <v>0</v>
      </c>
      <c r="FQ396">
        <v>0</v>
      </c>
      <c r="FR396">
        <f t="shared" si="381"/>
        <v>0</v>
      </c>
      <c r="FS396">
        <v>0</v>
      </c>
      <c r="FX396">
        <v>114</v>
      </c>
      <c r="FY396">
        <v>67</v>
      </c>
      <c r="GA396" t="s">
        <v>3</v>
      </c>
      <c r="GD396">
        <v>0</v>
      </c>
      <c r="GF396">
        <v>670646558</v>
      </c>
      <c r="GG396">
        <v>2</v>
      </c>
      <c r="GH396">
        <v>1</v>
      </c>
      <c r="GI396">
        <v>3</v>
      </c>
      <c r="GJ396">
        <v>0</v>
      </c>
      <c r="GK396">
        <f>ROUND(R396*(S12)/100,2)</f>
        <v>9.6300000000000008</v>
      </c>
      <c r="GL396">
        <f t="shared" si="382"/>
        <v>0</v>
      </c>
      <c r="GM396">
        <f t="shared" si="383"/>
        <v>592.30999999999995</v>
      </c>
      <c r="GN396">
        <f t="shared" si="384"/>
        <v>0</v>
      </c>
      <c r="GO396">
        <f t="shared" si="385"/>
        <v>592.30999999999995</v>
      </c>
      <c r="GP396">
        <f t="shared" si="386"/>
        <v>0</v>
      </c>
      <c r="GR396">
        <v>0</v>
      </c>
      <c r="GS396">
        <v>3</v>
      </c>
      <c r="GT396">
        <v>0</v>
      </c>
      <c r="GU396" t="s">
        <v>3</v>
      </c>
      <c r="GV396">
        <f t="shared" si="387"/>
        <v>0</v>
      </c>
      <c r="GW396">
        <v>1</v>
      </c>
      <c r="GX396">
        <f t="shared" si="388"/>
        <v>0</v>
      </c>
      <c r="HA396">
        <v>0</v>
      </c>
      <c r="HB396">
        <v>0</v>
      </c>
      <c r="IK396">
        <v>0</v>
      </c>
    </row>
    <row r="397" spans="1:255" x14ac:dyDescent="0.2">
      <c r="A397" s="2">
        <v>17</v>
      </c>
      <c r="B397" s="2">
        <v>1</v>
      </c>
      <c r="C397" s="2">
        <f>ROW(SmtRes!A373)</f>
        <v>373</v>
      </c>
      <c r="D397" s="2">
        <f>ROW(EtalonRes!A359)</f>
        <v>359</v>
      </c>
      <c r="E397" s="2" t="s">
        <v>467</v>
      </c>
      <c r="F397" s="2" t="s">
        <v>468</v>
      </c>
      <c r="G397" s="2" t="s">
        <v>469</v>
      </c>
      <c r="H397" s="2" t="s">
        <v>322</v>
      </c>
      <c r="I397" s="2">
        <v>1</v>
      </c>
      <c r="J397" s="2">
        <v>0</v>
      </c>
      <c r="K397" s="2"/>
      <c r="L397" s="2"/>
      <c r="M397" s="2"/>
      <c r="N397" s="2"/>
      <c r="O397" s="2">
        <f t="shared" si="350"/>
        <v>8.1199999999999992</v>
      </c>
      <c r="P397" s="2">
        <f t="shared" si="351"/>
        <v>0.35</v>
      </c>
      <c r="Q397" s="2">
        <f t="shared" si="352"/>
        <v>0</v>
      </c>
      <c r="R397" s="2">
        <f t="shared" si="353"/>
        <v>0</v>
      </c>
      <c r="S397" s="2">
        <f t="shared" si="354"/>
        <v>7.77</v>
      </c>
      <c r="T397" s="2">
        <f t="shared" si="355"/>
        <v>0</v>
      </c>
      <c r="U397" s="2">
        <f t="shared" si="356"/>
        <v>0.59799999999999998</v>
      </c>
      <c r="V397" s="2">
        <f t="shared" si="357"/>
        <v>0</v>
      </c>
      <c r="W397" s="2">
        <f t="shared" si="358"/>
        <v>0</v>
      </c>
      <c r="X397" s="2">
        <f t="shared" si="359"/>
        <v>0</v>
      </c>
      <c r="Y397" s="2">
        <f t="shared" si="360"/>
        <v>0</v>
      </c>
      <c r="Z397" s="2"/>
      <c r="AA397" s="2">
        <v>45037306</v>
      </c>
      <c r="AB397" s="2">
        <f t="shared" si="361"/>
        <v>8.1240000000000006</v>
      </c>
      <c r="AC397" s="2">
        <f t="shared" si="362"/>
        <v>0.35</v>
      </c>
      <c r="AD397" s="2">
        <f t="shared" si="363"/>
        <v>0</v>
      </c>
      <c r="AE397" s="2">
        <f t="shared" si="364"/>
        <v>0</v>
      </c>
      <c r="AF397" s="2">
        <f t="shared" si="365"/>
        <v>7.774</v>
      </c>
      <c r="AG397" s="2">
        <f t="shared" si="366"/>
        <v>0</v>
      </c>
      <c r="AH397" s="2">
        <f t="shared" si="367"/>
        <v>0.59799999999999998</v>
      </c>
      <c r="AI397" s="2">
        <f t="shared" si="368"/>
        <v>0</v>
      </c>
      <c r="AJ397" s="2">
        <f t="shared" si="369"/>
        <v>0</v>
      </c>
      <c r="AK397" s="2">
        <v>7.11</v>
      </c>
      <c r="AL397" s="2">
        <v>0.35</v>
      </c>
      <c r="AM397" s="2">
        <v>0</v>
      </c>
      <c r="AN397" s="2">
        <v>0</v>
      </c>
      <c r="AO397" s="2">
        <v>6.76</v>
      </c>
      <c r="AP397" s="2">
        <v>0</v>
      </c>
      <c r="AQ397" s="2">
        <v>0.52</v>
      </c>
      <c r="AR397" s="2">
        <v>0</v>
      </c>
      <c r="AS397" s="2">
        <v>0</v>
      </c>
      <c r="AT397" s="2">
        <v>0</v>
      </c>
      <c r="AU397" s="2">
        <v>0</v>
      </c>
      <c r="AV397" s="2">
        <v>1</v>
      </c>
      <c r="AW397" s="2">
        <v>1</v>
      </c>
      <c r="AX397" s="2"/>
      <c r="AY397" s="2"/>
      <c r="AZ397" s="2">
        <v>1</v>
      </c>
      <c r="BA397" s="2">
        <v>1</v>
      </c>
      <c r="BB397" s="2">
        <v>1</v>
      </c>
      <c r="BC397" s="2">
        <v>1</v>
      </c>
      <c r="BD397" s="2" t="s">
        <v>3</v>
      </c>
      <c r="BE397" s="2" t="s">
        <v>3</v>
      </c>
      <c r="BF397" s="2" t="s">
        <v>3</v>
      </c>
      <c r="BG397" s="2" t="s">
        <v>3</v>
      </c>
      <c r="BH397" s="2">
        <v>0</v>
      </c>
      <c r="BI397" s="2">
        <v>2</v>
      </c>
      <c r="BJ397" s="2" t="s">
        <v>470</v>
      </c>
      <c r="BK397" s="2"/>
      <c r="BL397" s="2"/>
      <c r="BM397" s="2">
        <v>355</v>
      </c>
      <c r="BN397" s="2">
        <v>7156650</v>
      </c>
      <c r="BO397" s="2" t="s">
        <v>3</v>
      </c>
      <c r="BP397" s="2">
        <v>0</v>
      </c>
      <c r="BQ397" s="2">
        <v>40</v>
      </c>
      <c r="BR397" s="2">
        <v>0</v>
      </c>
      <c r="BS397" s="2">
        <v>1</v>
      </c>
      <c r="BT397" s="2">
        <v>1</v>
      </c>
      <c r="BU397" s="2">
        <v>1</v>
      </c>
      <c r="BV397" s="2">
        <v>1</v>
      </c>
      <c r="BW397" s="2">
        <v>1</v>
      </c>
      <c r="BX397" s="2">
        <v>1</v>
      </c>
      <c r="BY397" s="2" t="s">
        <v>3</v>
      </c>
      <c r="BZ397" s="2">
        <v>0</v>
      </c>
      <c r="CA397" s="2">
        <v>0</v>
      </c>
      <c r="CB397" s="2"/>
      <c r="CC397" s="2"/>
      <c r="CD397" s="2"/>
      <c r="CE397" s="2"/>
      <c r="CF397" s="2">
        <v>0</v>
      </c>
      <c r="CG397" s="2">
        <v>0</v>
      </c>
      <c r="CH397" s="2"/>
      <c r="CI397" s="2"/>
      <c r="CJ397" s="2"/>
      <c r="CK397" s="2"/>
      <c r="CL397" s="2"/>
      <c r="CM397" s="2">
        <v>0</v>
      </c>
      <c r="CN397" s="2" t="s">
        <v>3</v>
      </c>
      <c r="CO397" s="2">
        <v>0</v>
      </c>
      <c r="CP397" s="2">
        <f t="shared" si="370"/>
        <v>8.1199999999999992</v>
      </c>
      <c r="CQ397" s="2">
        <f t="shared" si="371"/>
        <v>0.35</v>
      </c>
      <c r="CR397" s="2">
        <f t="shared" si="372"/>
        <v>0</v>
      </c>
      <c r="CS397" s="2">
        <f t="shared" si="373"/>
        <v>0</v>
      </c>
      <c r="CT397" s="2">
        <f t="shared" si="374"/>
        <v>7.774</v>
      </c>
      <c r="CU397" s="2">
        <f t="shared" si="375"/>
        <v>0</v>
      </c>
      <c r="CV397" s="2">
        <f t="shared" si="376"/>
        <v>0.59799999999999998</v>
      </c>
      <c r="CW397" s="2">
        <f t="shared" si="377"/>
        <v>0</v>
      </c>
      <c r="CX397" s="2">
        <f t="shared" si="378"/>
        <v>0</v>
      </c>
      <c r="CY397" s="2">
        <f t="shared" si="379"/>
        <v>0</v>
      </c>
      <c r="CZ397" s="2">
        <f t="shared" si="380"/>
        <v>0</v>
      </c>
      <c r="DA397" s="2"/>
      <c r="DB397" s="2"/>
      <c r="DC397" s="2" t="s">
        <v>3</v>
      </c>
      <c r="DD397" s="2" t="s">
        <v>3</v>
      </c>
      <c r="DE397" s="2" t="s">
        <v>36</v>
      </c>
      <c r="DF397" s="2" t="s">
        <v>36</v>
      </c>
      <c r="DG397" s="2" t="s">
        <v>37</v>
      </c>
      <c r="DH397" s="2" t="s">
        <v>3</v>
      </c>
      <c r="DI397" s="2" t="s">
        <v>37</v>
      </c>
      <c r="DJ397" s="2" t="s">
        <v>36</v>
      </c>
      <c r="DK397" s="2" t="s">
        <v>3</v>
      </c>
      <c r="DL397" s="2" t="s">
        <v>3</v>
      </c>
      <c r="DM397" s="2" t="s">
        <v>3</v>
      </c>
      <c r="DN397" s="2">
        <v>114</v>
      </c>
      <c r="DO397" s="2">
        <v>67</v>
      </c>
      <c r="DP397" s="2">
        <v>1.0469999999999999</v>
      </c>
      <c r="DQ397" s="2">
        <v>1</v>
      </c>
      <c r="DR397" s="2"/>
      <c r="DS397" s="2"/>
      <c r="DT397" s="2"/>
      <c r="DU397" s="2">
        <v>1013</v>
      </c>
      <c r="DV397" s="2" t="s">
        <v>322</v>
      </c>
      <c r="DW397" s="2" t="s">
        <v>322</v>
      </c>
      <c r="DX397" s="2">
        <v>1</v>
      </c>
      <c r="DY397" s="2"/>
      <c r="DZ397" s="2"/>
      <c r="EA397" s="2"/>
      <c r="EB397" s="2"/>
      <c r="EC397" s="2"/>
      <c r="ED397" s="2"/>
      <c r="EE397" s="2">
        <v>44846862</v>
      </c>
      <c r="EF397" s="2">
        <v>40</v>
      </c>
      <c r="EG397" s="2" t="s">
        <v>453</v>
      </c>
      <c r="EH397" s="2">
        <v>0</v>
      </c>
      <c r="EI397" s="2" t="s">
        <v>3</v>
      </c>
      <c r="EJ397" s="2">
        <v>2</v>
      </c>
      <c r="EK397" s="2">
        <v>355</v>
      </c>
      <c r="EL397" s="2" t="s">
        <v>471</v>
      </c>
      <c r="EM397" s="2" t="s">
        <v>472</v>
      </c>
      <c r="EN397" s="2"/>
      <c r="EO397" s="2" t="s">
        <v>3</v>
      </c>
      <c r="EP397" s="2"/>
      <c r="EQ397" s="2">
        <v>131072</v>
      </c>
      <c r="ER397" s="2">
        <v>7.11</v>
      </c>
      <c r="ES397" s="2">
        <v>0.35</v>
      </c>
      <c r="ET397" s="2">
        <v>0</v>
      </c>
      <c r="EU397" s="2">
        <v>0</v>
      </c>
      <c r="EV397" s="2">
        <v>6.76</v>
      </c>
      <c r="EW397" s="2">
        <v>0.52</v>
      </c>
      <c r="EX397" s="2">
        <v>0</v>
      </c>
      <c r="EY397" s="2">
        <v>0</v>
      </c>
      <c r="EZ397" s="2"/>
      <c r="FA397" s="2"/>
      <c r="FB397" s="2"/>
      <c r="FC397" s="2"/>
      <c r="FD397" s="2"/>
      <c r="FE397" s="2"/>
      <c r="FF397" s="2"/>
      <c r="FG397" s="2"/>
      <c r="FH397" s="2"/>
      <c r="FI397" s="2"/>
      <c r="FJ397" s="2"/>
      <c r="FK397" s="2"/>
      <c r="FL397" s="2"/>
      <c r="FM397" s="2"/>
      <c r="FN397" s="2"/>
      <c r="FO397" s="2"/>
      <c r="FP397" s="2"/>
      <c r="FQ397" s="2">
        <v>0</v>
      </c>
      <c r="FR397" s="2">
        <f t="shared" si="381"/>
        <v>0</v>
      </c>
      <c r="FS397" s="2">
        <v>0</v>
      </c>
      <c r="FT397" s="2"/>
      <c r="FU397" s="2"/>
      <c r="FV397" s="2"/>
      <c r="FW397" s="2"/>
      <c r="FX397" s="2">
        <v>114</v>
      </c>
      <c r="FY397" s="2">
        <v>67</v>
      </c>
      <c r="FZ397" s="2"/>
      <c r="GA397" s="2" t="s">
        <v>3</v>
      </c>
      <c r="GB397" s="2"/>
      <c r="GC397" s="2"/>
      <c r="GD397" s="2">
        <v>0</v>
      </c>
      <c r="GE397" s="2"/>
      <c r="GF397" s="2">
        <v>242875534</v>
      </c>
      <c r="GG397" s="2">
        <v>2</v>
      </c>
      <c r="GH397" s="2">
        <v>1</v>
      </c>
      <c r="GI397" s="2">
        <v>3</v>
      </c>
      <c r="GJ397" s="2">
        <v>0</v>
      </c>
      <c r="GK397" s="2">
        <f>ROUND(R397*(R12)/100,2)</f>
        <v>0</v>
      </c>
      <c r="GL397" s="2">
        <f t="shared" si="382"/>
        <v>0</v>
      </c>
      <c r="GM397" s="2">
        <f t="shared" si="383"/>
        <v>8.1199999999999992</v>
      </c>
      <c r="GN397" s="2">
        <f t="shared" si="384"/>
        <v>0</v>
      </c>
      <c r="GO397" s="2">
        <f t="shared" si="385"/>
        <v>8.1199999999999992</v>
      </c>
      <c r="GP397" s="2">
        <f t="shared" si="386"/>
        <v>0</v>
      </c>
      <c r="GQ397" s="2"/>
      <c r="GR397" s="2">
        <v>0</v>
      </c>
      <c r="GS397" s="2">
        <v>3</v>
      </c>
      <c r="GT397" s="2">
        <v>0</v>
      </c>
      <c r="GU397" s="2" t="s">
        <v>3</v>
      </c>
      <c r="GV397" s="2">
        <f t="shared" si="387"/>
        <v>0</v>
      </c>
      <c r="GW397" s="2">
        <v>1</v>
      </c>
      <c r="GX397" s="2">
        <f t="shared" si="388"/>
        <v>0</v>
      </c>
      <c r="GY397" s="2"/>
      <c r="GZ397" s="2"/>
      <c r="HA397" s="2">
        <v>0</v>
      </c>
      <c r="HB397" s="2">
        <v>0</v>
      </c>
      <c r="HC397" s="2"/>
      <c r="HD397" s="2"/>
      <c r="HE397" s="2"/>
      <c r="HF397" s="2"/>
      <c r="HG397" s="2"/>
      <c r="HH397" s="2"/>
      <c r="HI397" s="2"/>
      <c r="HJ397" s="2"/>
      <c r="HK397" s="2"/>
      <c r="HL397" s="2"/>
      <c r="HM397" s="2"/>
      <c r="HN397" s="2"/>
      <c r="HO397" s="2"/>
      <c r="HP397" s="2"/>
      <c r="HQ397" s="2"/>
      <c r="HR397" s="2"/>
      <c r="HS397" s="2"/>
      <c r="HT397" s="2"/>
      <c r="HU397" s="2"/>
      <c r="HV397" s="2"/>
      <c r="HW397" s="2"/>
      <c r="HX397" s="2"/>
      <c r="HY397" s="2"/>
      <c r="HZ397" s="2"/>
      <c r="IA397" s="2"/>
      <c r="IB397" s="2"/>
      <c r="IC397" s="2"/>
      <c r="ID397" s="2"/>
      <c r="IE397" s="2"/>
      <c r="IF397" s="2"/>
      <c r="IG397" s="2"/>
      <c r="IH397" s="2"/>
      <c r="II397" s="2"/>
      <c r="IJ397" s="2"/>
      <c r="IK397" s="2">
        <v>0</v>
      </c>
      <c r="IL397" s="2"/>
      <c r="IM397" s="2"/>
      <c r="IN397" s="2"/>
      <c r="IO397" s="2"/>
      <c r="IP397" s="2"/>
      <c r="IQ397" s="2"/>
      <c r="IR397" s="2"/>
      <c r="IS397" s="2"/>
      <c r="IT397" s="2"/>
      <c r="IU397" s="2"/>
    </row>
    <row r="398" spans="1:255" x14ac:dyDescent="0.2">
      <c r="A398">
        <v>17</v>
      </c>
      <c r="B398">
        <v>1</v>
      </c>
      <c r="C398">
        <f>ROW(SmtRes!A374)</f>
        <v>374</v>
      </c>
      <c r="D398">
        <f>ROW(EtalonRes!A360)</f>
        <v>360</v>
      </c>
      <c r="E398" t="s">
        <v>467</v>
      </c>
      <c r="F398" t="s">
        <v>468</v>
      </c>
      <c r="G398" t="s">
        <v>469</v>
      </c>
      <c r="H398" t="s">
        <v>322</v>
      </c>
      <c r="I398">
        <v>1</v>
      </c>
      <c r="J398">
        <v>0</v>
      </c>
      <c r="O398">
        <f t="shared" si="350"/>
        <v>160.41999999999999</v>
      </c>
      <c r="P398">
        <f t="shared" si="351"/>
        <v>1.83</v>
      </c>
      <c r="Q398">
        <f t="shared" si="352"/>
        <v>0</v>
      </c>
      <c r="R398">
        <f t="shared" si="353"/>
        <v>0</v>
      </c>
      <c r="S398">
        <f t="shared" si="354"/>
        <v>158.59</v>
      </c>
      <c r="T398">
        <f t="shared" si="355"/>
        <v>0</v>
      </c>
      <c r="U398">
        <f t="shared" si="356"/>
        <v>0.59799999999999998</v>
      </c>
      <c r="V398">
        <f t="shared" si="357"/>
        <v>0</v>
      </c>
      <c r="W398">
        <f t="shared" si="358"/>
        <v>0</v>
      </c>
      <c r="X398">
        <f t="shared" si="359"/>
        <v>122.11</v>
      </c>
      <c r="Y398">
        <f t="shared" si="360"/>
        <v>65.02</v>
      </c>
      <c r="AA398">
        <v>45037307</v>
      </c>
      <c r="AB398">
        <f t="shared" si="361"/>
        <v>8.1240000000000006</v>
      </c>
      <c r="AC398">
        <f t="shared" si="362"/>
        <v>0.35</v>
      </c>
      <c r="AD398">
        <f t="shared" si="363"/>
        <v>0</v>
      </c>
      <c r="AE398">
        <f t="shared" si="364"/>
        <v>0</v>
      </c>
      <c r="AF398">
        <f t="shared" si="365"/>
        <v>7.774</v>
      </c>
      <c r="AG398">
        <f t="shared" si="366"/>
        <v>0</v>
      </c>
      <c r="AH398">
        <f t="shared" si="367"/>
        <v>0.59799999999999998</v>
      </c>
      <c r="AI398">
        <f t="shared" si="368"/>
        <v>0</v>
      </c>
      <c r="AJ398">
        <f t="shared" si="369"/>
        <v>0</v>
      </c>
      <c r="AK398">
        <v>7.11</v>
      </c>
      <c r="AL398">
        <v>0.35</v>
      </c>
      <c r="AM398">
        <v>0</v>
      </c>
      <c r="AN398">
        <v>0</v>
      </c>
      <c r="AO398">
        <v>6.76</v>
      </c>
      <c r="AP398">
        <v>0</v>
      </c>
      <c r="AQ398">
        <v>0.52</v>
      </c>
      <c r="AR398">
        <v>0</v>
      </c>
      <c r="AS398">
        <v>0</v>
      </c>
      <c r="AT398">
        <v>77</v>
      </c>
      <c r="AU398">
        <v>41</v>
      </c>
      <c r="AV398">
        <v>1</v>
      </c>
      <c r="AW398">
        <v>1</v>
      </c>
      <c r="AZ398">
        <v>1</v>
      </c>
      <c r="BA398">
        <v>20.399999999999999</v>
      </c>
      <c r="BB398">
        <v>1</v>
      </c>
      <c r="BC398">
        <v>5.23</v>
      </c>
      <c r="BD398" t="s">
        <v>3</v>
      </c>
      <c r="BE398" t="s">
        <v>3</v>
      </c>
      <c r="BF398" t="s">
        <v>3</v>
      </c>
      <c r="BG398" t="s">
        <v>3</v>
      </c>
      <c r="BH398">
        <v>0</v>
      </c>
      <c r="BI398">
        <v>2</v>
      </c>
      <c r="BJ398" t="s">
        <v>470</v>
      </c>
      <c r="BM398">
        <v>355</v>
      </c>
      <c r="BN398">
        <v>7156650</v>
      </c>
      <c r="BO398" t="s">
        <v>468</v>
      </c>
      <c r="BP398">
        <v>1</v>
      </c>
      <c r="BQ398">
        <v>40</v>
      </c>
      <c r="BR398">
        <v>0</v>
      </c>
      <c r="BS398">
        <v>20.399999999999999</v>
      </c>
      <c r="BT398">
        <v>1</v>
      </c>
      <c r="BU398">
        <v>1</v>
      </c>
      <c r="BV398">
        <v>1</v>
      </c>
      <c r="BW398">
        <v>1</v>
      </c>
      <c r="BX398">
        <v>1</v>
      </c>
      <c r="BY398" t="s">
        <v>3</v>
      </c>
      <c r="BZ398">
        <v>77</v>
      </c>
      <c r="CA398">
        <v>41</v>
      </c>
      <c r="CF398">
        <v>0</v>
      </c>
      <c r="CG398">
        <v>0</v>
      </c>
      <c r="CM398">
        <v>0</v>
      </c>
      <c r="CN398" t="s">
        <v>3</v>
      </c>
      <c r="CO398">
        <v>0</v>
      </c>
      <c r="CP398">
        <f t="shared" si="370"/>
        <v>160.42000000000002</v>
      </c>
      <c r="CQ398">
        <f t="shared" si="371"/>
        <v>1.8305</v>
      </c>
      <c r="CR398">
        <f t="shared" si="372"/>
        <v>0</v>
      </c>
      <c r="CS398">
        <f t="shared" si="373"/>
        <v>0</v>
      </c>
      <c r="CT398">
        <f t="shared" si="374"/>
        <v>158.58959999999999</v>
      </c>
      <c r="CU398">
        <f t="shared" si="375"/>
        <v>0</v>
      </c>
      <c r="CV398">
        <f t="shared" si="376"/>
        <v>0.59799999999999998</v>
      </c>
      <c r="CW398">
        <f t="shared" si="377"/>
        <v>0</v>
      </c>
      <c r="CX398">
        <f t="shared" si="378"/>
        <v>0</v>
      </c>
      <c r="CY398">
        <f t="shared" si="379"/>
        <v>122.1143</v>
      </c>
      <c r="CZ398">
        <f t="shared" si="380"/>
        <v>65.021900000000002</v>
      </c>
      <c r="DC398" t="s">
        <v>3</v>
      </c>
      <c r="DD398" t="s">
        <v>3</v>
      </c>
      <c r="DE398" t="s">
        <v>36</v>
      </c>
      <c r="DF398" t="s">
        <v>36</v>
      </c>
      <c r="DG398" t="s">
        <v>37</v>
      </c>
      <c r="DH398" t="s">
        <v>3</v>
      </c>
      <c r="DI398" t="s">
        <v>37</v>
      </c>
      <c r="DJ398" t="s">
        <v>36</v>
      </c>
      <c r="DK398" t="s">
        <v>3</v>
      </c>
      <c r="DL398" t="s">
        <v>3</v>
      </c>
      <c r="DM398" t="s">
        <v>3</v>
      </c>
      <c r="DN398">
        <v>114</v>
      </c>
      <c r="DO398">
        <v>67</v>
      </c>
      <c r="DP398">
        <v>1.0469999999999999</v>
      </c>
      <c r="DQ398">
        <v>1</v>
      </c>
      <c r="DU398">
        <v>1013</v>
      </c>
      <c r="DV398" t="s">
        <v>322</v>
      </c>
      <c r="DW398" t="s">
        <v>322</v>
      </c>
      <c r="DX398">
        <v>1</v>
      </c>
      <c r="EE398">
        <v>44846862</v>
      </c>
      <c r="EF398">
        <v>40</v>
      </c>
      <c r="EG398" t="s">
        <v>453</v>
      </c>
      <c r="EH398">
        <v>0</v>
      </c>
      <c r="EI398" t="s">
        <v>3</v>
      </c>
      <c r="EJ398">
        <v>2</v>
      </c>
      <c r="EK398">
        <v>355</v>
      </c>
      <c r="EL398" t="s">
        <v>471</v>
      </c>
      <c r="EM398" t="s">
        <v>472</v>
      </c>
      <c r="EO398" t="s">
        <v>3</v>
      </c>
      <c r="EQ398">
        <v>131072</v>
      </c>
      <c r="ER398">
        <v>7.11</v>
      </c>
      <c r="ES398">
        <v>0.35</v>
      </c>
      <c r="ET398">
        <v>0</v>
      </c>
      <c r="EU398">
        <v>0</v>
      </c>
      <c r="EV398">
        <v>6.76</v>
      </c>
      <c r="EW398">
        <v>0.52</v>
      </c>
      <c r="EX398">
        <v>0</v>
      </c>
      <c r="EY398">
        <v>0</v>
      </c>
      <c r="FQ398">
        <v>0</v>
      </c>
      <c r="FR398">
        <f t="shared" si="381"/>
        <v>0</v>
      </c>
      <c r="FS398">
        <v>0</v>
      </c>
      <c r="FX398">
        <v>114</v>
      </c>
      <c r="FY398">
        <v>67</v>
      </c>
      <c r="GA398" t="s">
        <v>3</v>
      </c>
      <c r="GD398">
        <v>0</v>
      </c>
      <c r="GF398">
        <v>242875534</v>
      </c>
      <c r="GG398">
        <v>2</v>
      </c>
      <c r="GH398">
        <v>1</v>
      </c>
      <c r="GI398">
        <v>3</v>
      </c>
      <c r="GJ398">
        <v>0</v>
      </c>
      <c r="GK398">
        <f>ROUND(R398*(S12)/100,2)</f>
        <v>0</v>
      </c>
      <c r="GL398">
        <f t="shared" si="382"/>
        <v>0</v>
      </c>
      <c r="GM398">
        <f t="shared" si="383"/>
        <v>347.55</v>
      </c>
      <c r="GN398">
        <f t="shared" si="384"/>
        <v>0</v>
      </c>
      <c r="GO398">
        <f t="shared" si="385"/>
        <v>347.55</v>
      </c>
      <c r="GP398">
        <f t="shared" si="386"/>
        <v>0</v>
      </c>
      <c r="GR398">
        <v>0</v>
      </c>
      <c r="GS398">
        <v>3</v>
      </c>
      <c r="GT398">
        <v>0</v>
      </c>
      <c r="GU398" t="s">
        <v>3</v>
      </c>
      <c r="GV398">
        <f t="shared" si="387"/>
        <v>0</v>
      </c>
      <c r="GW398">
        <v>1</v>
      </c>
      <c r="GX398">
        <f t="shared" si="388"/>
        <v>0</v>
      </c>
      <c r="HA398">
        <v>0</v>
      </c>
      <c r="HB398">
        <v>0</v>
      </c>
      <c r="IK398">
        <v>0</v>
      </c>
    </row>
    <row r="399" spans="1:255" x14ac:dyDescent="0.2">
      <c r="A399" s="2">
        <v>17</v>
      </c>
      <c r="B399" s="2">
        <v>1</v>
      </c>
      <c r="C399" s="2">
        <f>ROW(SmtRes!A376)</f>
        <v>376</v>
      </c>
      <c r="D399" s="2">
        <f>ROW(EtalonRes!A361)</f>
        <v>361</v>
      </c>
      <c r="E399" s="2" t="s">
        <v>473</v>
      </c>
      <c r="F399" s="2" t="s">
        <v>474</v>
      </c>
      <c r="G399" s="2" t="s">
        <v>475</v>
      </c>
      <c r="H399" s="2" t="s">
        <v>322</v>
      </c>
      <c r="I399" s="2">
        <v>1</v>
      </c>
      <c r="J399" s="2">
        <v>0</v>
      </c>
      <c r="K399" s="2"/>
      <c r="L399" s="2"/>
      <c r="M399" s="2"/>
      <c r="N399" s="2"/>
      <c r="O399" s="2">
        <f t="shared" si="350"/>
        <v>143.41</v>
      </c>
      <c r="P399" s="2">
        <f t="shared" si="351"/>
        <v>5.74</v>
      </c>
      <c r="Q399" s="2">
        <f t="shared" si="352"/>
        <v>32.24</v>
      </c>
      <c r="R399" s="2">
        <f t="shared" si="353"/>
        <v>8.09</v>
      </c>
      <c r="S399" s="2">
        <f t="shared" si="354"/>
        <v>105.43</v>
      </c>
      <c r="T399" s="2">
        <f t="shared" si="355"/>
        <v>0</v>
      </c>
      <c r="U399" s="2">
        <f t="shared" si="356"/>
        <v>9.4299999999999979</v>
      </c>
      <c r="V399" s="2">
        <f t="shared" si="357"/>
        <v>0</v>
      </c>
      <c r="W399" s="2">
        <f t="shared" si="358"/>
        <v>0</v>
      </c>
      <c r="X399" s="2">
        <f t="shared" si="359"/>
        <v>0</v>
      </c>
      <c r="Y399" s="2">
        <f t="shared" si="360"/>
        <v>0</v>
      </c>
      <c r="Z399" s="2"/>
      <c r="AA399" s="2">
        <v>45037306</v>
      </c>
      <c r="AB399" s="2">
        <f t="shared" si="361"/>
        <v>143.40950000000001</v>
      </c>
      <c r="AC399" s="2">
        <f t="shared" si="362"/>
        <v>5.74</v>
      </c>
      <c r="AD399" s="2">
        <f t="shared" si="363"/>
        <v>32.237499999999997</v>
      </c>
      <c r="AE399" s="2">
        <f t="shared" si="364"/>
        <v>8.0875000000000004</v>
      </c>
      <c r="AF399" s="2">
        <f t="shared" si="365"/>
        <v>105.432</v>
      </c>
      <c r="AG399" s="2">
        <f t="shared" si="366"/>
        <v>0</v>
      </c>
      <c r="AH399" s="2">
        <f t="shared" si="367"/>
        <v>9.4299999999999979</v>
      </c>
      <c r="AI399" s="2">
        <f t="shared" si="368"/>
        <v>0</v>
      </c>
      <c r="AJ399" s="2">
        <f t="shared" si="369"/>
        <v>0</v>
      </c>
      <c r="AK399" s="2">
        <v>123.21</v>
      </c>
      <c r="AL399" s="2">
        <v>5.74</v>
      </c>
      <c r="AM399" s="2">
        <v>25.79</v>
      </c>
      <c r="AN399" s="2">
        <v>6.47</v>
      </c>
      <c r="AO399" s="2">
        <v>91.68</v>
      </c>
      <c r="AP399" s="2">
        <v>0</v>
      </c>
      <c r="AQ399" s="2">
        <v>8.1999999999999993</v>
      </c>
      <c r="AR399" s="2">
        <v>0</v>
      </c>
      <c r="AS399" s="2">
        <v>0</v>
      </c>
      <c r="AT399" s="2">
        <v>0</v>
      </c>
      <c r="AU399" s="2">
        <v>0</v>
      </c>
      <c r="AV399" s="2">
        <v>1</v>
      </c>
      <c r="AW399" s="2">
        <v>1</v>
      </c>
      <c r="AX399" s="2"/>
      <c r="AY399" s="2"/>
      <c r="AZ399" s="2">
        <v>1</v>
      </c>
      <c r="BA399" s="2">
        <v>1</v>
      </c>
      <c r="BB399" s="2">
        <v>1</v>
      </c>
      <c r="BC399" s="2">
        <v>1</v>
      </c>
      <c r="BD399" s="2" t="s">
        <v>3</v>
      </c>
      <c r="BE399" s="2" t="s">
        <v>3</v>
      </c>
      <c r="BF399" s="2" t="s">
        <v>3</v>
      </c>
      <c r="BG399" s="2" t="s">
        <v>3</v>
      </c>
      <c r="BH399" s="2">
        <v>0</v>
      </c>
      <c r="BI399" s="2">
        <v>2</v>
      </c>
      <c r="BJ399" s="2" t="s">
        <v>476</v>
      </c>
      <c r="BK399" s="2"/>
      <c r="BL399" s="2"/>
      <c r="BM399" s="2">
        <v>336</v>
      </c>
      <c r="BN399" s="2">
        <v>7156650</v>
      </c>
      <c r="BO399" s="2" t="s">
        <v>3</v>
      </c>
      <c r="BP399" s="2">
        <v>0</v>
      </c>
      <c r="BQ399" s="2">
        <v>40</v>
      </c>
      <c r="BR399" s="2">
        <v>0</v>
      </c>
      <c r="BS399" s="2">
        <v>1</v>
      </c>
      <c r="BT399" s="2">
        <v>1</v>
      </c>
      <c r="BU399" s="2">
        <v>1</v>
      </c>
      <c r="BV399" s="2">
        <v>1</v>
      </c>
      <c r="BW399" s="2">
        <v>1</v>
      </c>
      <c r="BX399" s="2">
        <v>1</v>
      </c>
      <c r="BY399" s="2" t="s">
        <v>3</v>
      </c>
      <c r="BZ399" s="2">
        <v>0</v>
      </c>
      <c r="CA399" s="2">
        <v>0</v>
      </c>
      <c r="CB399" s="2"/>
      <c r="CC399" s="2"/>
      <c r="CD399" s="2"/>
      <c r="CE399" s="2"/>
      <c r="CF399" s="2">
        <v>0</v>
      </c>
      <c r="CG399" s="2">
        <v>0</v>
      </c>
      <c r="CH399" s="2"/>
      <c r="CI399" s="2"/>
      <c r="CJ399" s="2"/>
      <c r="CK399" s="2"/>
      <c r="CL399" s="2"/>
      <c r="CM399" s="2">
        <v>0</v>
      </c>
      <c r="CN399" s="2" t="s">
        <v>3</v>
      </c>
      <c r="CO399" s="2">
        <v>0</v>
      </c>
      <c r="CP399" s="2">
        <f t="shared" si="370"/>
        <v>143.41000000000003</v>
      </c>
      <c r="CQ399" s="2">
        <f t="shared" si="371"/>
        <v>5.74</v>
      </c>
      <c r="CR399" s="2">
        <f t="shared" si="372"/>
        <v>32.237499999999997</v>
      </c>
      <c r="CS399" s="2">
        <f t="shared" si="373"/>
        <v>8.0875000000000004</v>
      </c>
      <c r="CT399" s="2">
        <f t="shared" si="374"/>
        <v>105.432</v>
      </c>
      <c r="CU399" s="2">
        <f t="shared" si="375"/>
        <v>0</v>
      </c>
      <c r="CV399" s="2">
        <f t="shared" si="376"/>
        <v>9.4299999999999979</v>
      </c>
      <c r="CW399" s="2">
        <f t="shared" si="377"/>
        <v>0</v>
      </c>
      <c r="CX399" s="2">
        <f t="shared" si="378"/>
        <v>0</v>
      </c>
      <c r="CY399" s="2">
        <f t="shared" si="379"/>
        <v>0</v>
      </c>
      <c r="CZ399" s="2">
        <f t="shared" si="380"/>
        <v>0</v>
      </c>
      <c r="DA399" s="2"/>
      <c r="DB399" s="2"/>
      <c r="DC399" s="2" t="s">
        <v>3</v>
      </c>
      <c r="DD399" s="2" t="s">
        <v>3</v>
      </c>
      <c r="DE399" s="2" t="s">
        <v>36</v>
      </c>
      <c r="DF399" s="2" t="s">
        <v>36</v>
      </c>
      <c r="DG399" s="2" t="s">
        <v>37</v>
      </c>
      <c r="DH399" s="2" t="s">
        <v>3</v>
      </c>
      <c r="DI399" s="2" t="s">
        <v>37</v>
      </c>
      <c r="DJ399" s="2" t="s">
        <v>36</v>
      </c>
      <c r="DK399" s="2" t="s">
        <v>3</v>
      </c>
      <c r="DL399" s="2" t="s">
        <v>3</v>
      </c>
      <c r="DM399" s="2" t="s">
        <v>3</v>
      </c>
      <c r="DN399" s="2">
        <v>114</v>
      </c>
      <c r="DO399" s="2">
        <v>67</v>
      </c>
      <c r="DP399" s="2">
        <v>1.0469999999999999</v>
      </c>
      <c r="DQ399" s="2">
        <v>1</v>
      </c>
      <c r="DR399" s="2"/>
      <c r="DS399" s="2"/>
      <c r="DT399" s="2"/>
      <c r="DU399" s="2">
        <v>1013</v>
      </c>
      <c r="DV399" s="2" t="s">
        <v>322</v>
      </c>
      <c r="DW399" s="2" t="s">
        <v>322</v>
      </c>
      <c r="DX399" s="2">
        <v>1</v>
      </c>
      <c r="DY399" s="2"/>
      <c r="DZ399" s="2"/>
      <c r="EA399" s="2"/>
      <c r="EB399" s="2"/>
      <c r="EC399" s="2"/>
      <c r="ED399" s="2"/>
      <c r="EE399" s="2">
        <v>44846843</v>
      </c>
      <c r="EF399" s="2">
        <v>40</v>
      </c>
      <c r="EG399" s="2" t="s">
        <v>453</v>
      </c>
      <c r="EH399" s="2">
        <v>0</v>
      </c>
      <c r="EI399" s="2" t="s">
        <v>3</v>
      </c>
      <c r="EJ399" s="2">
        <v>2</v>
      </c>
      <c r="EK399" s="2">
        <v>336</v>
      </c>
      <c r="EL399" s="2" t="s">
        <v>454</v>
      </c>
      <c r="EM399" s="2" t="s">
        <v>455</v>
      </c>
      <c r="EN399" s="2"/>
      <c r="EO399" s="2" t="s">
        <v>3</v>
      </c>
      <c r="EP399" s="2"/>
      <c r="EQ399" s="2">
        <v>131072</v>
      </c>
      <c r="ER399" s="2">
        <v>123.21</v>
      </c>
      <c r="ES399" s="2">
        <v>5.74</v>
      </c>
      <c r="ET399" s="2">
        <v>25.79</v>
      </c>
      <c r="EU399" s="2">
        <v>6.47</v>
      </c>
      <c r="EV399" s="2">
        <v>91.68</v>
      </c>
      <c r="EW399" s="2">
        <v>8.1999999999999993</v>
      </c>
      <c r="EX399" s="2">
        <v>0</v>
      </c>
      <c r="EY399" s="2">
        <v>0</v>
      </c>
      <c r="EZ399" s="2"/>
      <c r="FA399" s="2"/>
      <c r="FB399" s="2"/>
      <c r="FC399" s="2"/>
      <c r="FD399" s="2"/>
      <c r="FE399" s="2"/>
      <c r="FF399" s="2"/>
      <c r="FG399" s="2"/>
      <c r="FH399" s="2"/>
      <c r="FI399" s="2"/>
      <c r="FJ399" s="2"/>
      <c r="FK399" s="2"/>
      <c r="FL399" s="2"/>
      <c r="FM399" s="2"/>
      <c r="FN399" s="2"/>
      <c r="FO399" s="2"/>
      <c r="FP399" s="2"/>
      <c r="FQ399" s="2">
        <v>0</v>
      </c>
      <c r="FR399" s="2">
        <f t="shared" si="381"/>
        <v>0</v>
      </c>
      <c r="FS399" s="2">
        <v>0</v>
      </c>
      <c r="FT399" s="2"/>
      <c r="FU399" s="2"/>
      <c r="FV399" s="2"/>
      <c r="FW399" s="2"/>
      <c r="FX399" s="2">
        <v>114</v>
      </c>
      <c r="FY399" s="2">
        <v>67</v>
      </c>
      <c r="FZ399" s="2"/>
      <c r="GA399" s="2" t="s">
        <v>3</v>
      </c>
      <c r="GB399" s="2"/>
      <c r="GC399" s="2"/>
      <c r="GD399" s="2">
        <v>0</v>
      </c>
      <c r="GE399" s="2"/>
      <c r="GF399" s="2">
        <v>-730521773</v>
      </c>
      <c r="GG399" s="2">
        <v>2</v>
      </c>
      <c r="GH399" s="2">
        <v>1</v>
      </c>
      <c r="GI399" s="2">
        <v>3</v>
      </c>
      <c r="GJ399" s="2">
        <v>0</v>
      </c>
      <c r="GK399" s="2">
        <f>ROUND(R399*(R12)/100,2)</f>
        <v>14.56</v>
      </c>
      <c r="GL399" s="2">
        <f t="shared" si="382"/>
        <v>0</v>
      </c>
      <c r="GM399" s="2">
        <f t="shared" si="383"/>
        <v>157.97</v>
      </c>
      <c r="GN399" s="2">
        <f t="shared" si="384"/>
        <v>0</v>
      </c>
      <c r="GO399" s="2">
        <f t="shared" si="385"/>
        <v>157.97</v>
      </c>
      <c r="GP399" s="2">
        <f t="shared" si="386"/>
        <v>0</v>
      </c>
      <c r="GQ399" s="2"/>
      <c r="GR399" s="2">
        <v>0</v>
      </c>
      <c r="GS399" s="2">
        <v>3</v>
      </c>
      <c r="GT399" s="2">
        <v>0</v>
      </c>
      <c r="GU399" s="2" t="s">
        <v>3</v>
      </c>
      <c r="GV399" s="2">
        <f t="shared" si="387"/>
        <v>0</v>
      </c>
      <c r="GW399" s="2">
        <v>1</v>
      </c>
      <c r="GX399" s="2">
        <f t="shared" si="388"/>
        <v>0</v>
      </c>
      <c r="GY399" s="2"/>
      <c r="GZ399" s="2"/>
      <c r="HA399" s="2">
        <v>0</v>
      </c>
      <c r="HB399" s="2">
        <v>0</v>
      </c>
      <c r="HC399" s="2"/>
      <c r="HD399" s="2"/>
      <c r="HE399" s="2"/>
      <c r="HF399" s="2"/>
      <c r="HG399" s="2"/>
      <c r="HH399" s="2"/>
      <c r="HI399" s="2"/>
      <c r="HJ399" s="2"/>
      <c r="HK399" s="2"/>
      <c r="HL399" s="2"/>
      <c r="HM399" s="2"/>
      <c r="HN399" s="2"/>
      <c r="HO399" s="2"/>
      <c r="HP399" s="2"/>
      <c r="HQ399" s="2"/>
      <c r="HR399" s="2"/>
      <c r="HS399" s="2"/>
      <c r="HT399" s="2"/>
      <c r="HU399" s="2"/>
      <c r="HV399" s="2"/>
      <c r="HW399" s="2"/>
      <c r="HX399" s="2"/>
      <c r="HY399" s="2"/>
      <c r="HZ399" s="2"/>
      <c r="IA399" s="2"/>
      <c r="IB399" s="2"/>
      <c r="IC399" s="2"/>
      <c r="ID399" s="2"/>
      <c r="IE399" s="2"/>
      <c r="IF399" s="2"/>
      <c r="IG399" s="2"/>
      <c r="IH399" s="2"/>
      <c r="II399" s="2"/>
      <c r="IJ399" s="2"/>
      <c r="IK399" s="2">
        <v>0</v>
      </c>
      <c r="IL399" s="2"/>
      <c r="IM399" s="2"/>
      <c r="IN399" s="2"/>
      <c r="IO399" s="2"/>
      <c r="IP399" s="2"/>
      <c r="IQ399" s="2"/>
      <c r="IR399" s="2"/>
      <c r="IS399" s="2"/>
      <c r="IT399" s="2"/>
      <c r="IU399" s="2"/>
    </row>
    <row r="400" spans="1:255" x14ac:dyDescent="0.2">
      <c r="A400">
        <v>17</v>
      </c>
      <c r="B400">
        <v>1</v>
      </c>
      <c r="C400">
        <f>ROW(SmtRes!A378)</f>
        <v>378</v>
      </c>
      <c r="D400">
        <f>ROW(EtalonRes!A362)</f>
        <v>362</v>
      </c>
      <c r="E400" t="s">
        <v>473</v>
      </c>
      <c r="F400" t="s">
        <v>474</v>
      </c>
      <c r="G400" t="s">
        <v>475</v>
      </c>
      <c r="H400" t="s">
        <v>322</v>
      </c>
      <c r="I400">
        <v>1</v>
      </c>
      <c r="J400">
        <v>0</v>
      </c>
      <c r="O400">
        <f t="shared" si="350"/>
        <v>2476.4499999999998</v>
      </c>
      <c r="P400">
        <f t="shared" si="351"/>
        <v>30.02</v>
      </c>
      <c r="Q400">
        <f t="shared" si="352"/>
        <v>295.62</v>
      </c>
      <c r="R400">
        <f t="shared" si="353"/>
        <v>164.99</v>
      </c>
      <c r="S400">
        <f t="shared" si="354"/>
        <v>2150.81</v>
      </c>
      <c r="T400">
        <f t="shared" si="355"/>
        <v>0</v>
      </c>
      <c r="U400">
        <f t="shared" si="356"/>
        <v>9.4299999999999979</v>
      </c>
      <c r="V400">
        <f t="shared" si="357"/>
        <v>0</v>
      </c>
      <c r="W400">
        <f t="shared" si="358"/>
        <v>0</v>
      </c>
      <c r="X400">
        <f t="shared" si="359"/>
        <v>1656.12</v>
      </c>
      <c r="Y400">
        <f t="shared" si="360"/>
        <v>881.83</v>
      </c>
      <c r="AA400">
        <v>45037307</v>
      </c>
      <c r="AB400">
        <f t="shared" si="361"/>
        <v>143.40950000000001</v>
      </c>
      <c r="AC400">
        <f t="shared" si="362"/>
        <v>5.74</v>
      </c>
      <c r="AD400">
        <f t="shared" si="363"/>
        <v>32.237499999999997</v>
      </c>
      <c r="AE400">
        <f t="shared" si="364"/>
        <v>8.0875000000000004</v>
      </c>
      <c r="AF400">
        <f t="shared" si="365"/>
        <v>105.432</v>
      </c>
      <c r="AG400">
        <f t="shared" si="366"/>
        <v>0</v>
      </c>
      <c r="AH400">
        <f t="shared" si="367"/>
        <v>9.4299999999999979</v>
      </c>
      <c r="AI400">
        <f t="shared" si="368"/>
        <v>0</v>
      </c>
      <c r="AJ400">
        <f t="shared" si="369"/>
        <v>0</v>
      </c>
      <c r="AK400">
        <v>123.21</v>
      </c>
      <c r="AL400">
        <v>5.74</v>
      </c>
      <c r="AM400">
        <v>25.79</v>
      </c>
      <c r="AN400">
        <v>6.47</v>
      </c>
      <c r="AO400">
        <v>91.68</v>
      </c>
      <c r="AP400">
        <v>0</v>
      </c>
      <c r="AQ400">
        <v>8.1999999999999993</v>
      </c>
      <c r="AR400">
        <v>0</v>
      </c>
      <c r="AS400">
        <v>0</v>
      </c>
      <c r="AT400">
        <v>77</v>
      </c>
      <c r="AU400">
        <v>41</v>
      </c>
      <c r="AV400">
        <v>1</v>
      </c>
      <c r="AW400">
        <v>1</v>
      </c>
      <c r="AZ400">
        <v>1</v>
      </c>
      <c r="BA400">
        <v>20.399999999999999</v>
      </c>
      <c r="BB400">
        <v>9.17</v>
      </c>
      <c r="BC400">
        <v>5.23</v>
      </c>
      <c r="BD400" t="s">
        <v>3</v>
      </c>
      <c r="BE400" t="s">
        <v>3</v>
      </c>
      <c r="BF400" t="s">
        <v>3</v>
      </c>
      <c r="BG400" t="s">
        <v>3</v>
      </c>
      <c r="BH400">
        <v>0</v>
      </c>
      <c r="BI400">
        <v>2</v>
      </c>
      <c r="BJ400" t="s">
        <v>476</v>
      </c>
      <c r="BM400">
        <v>336</v>
      </c>
      <c r="BN400">
        <v>7156650</v>
      </c>
      <c r="BO400" t="s">
        <v>474</v>
      </c>
      <c r="BP400">
        <v>1</v>
      </c>
      <c r="BQ400">
        <v>40</v>
      </c>
      <c r="BR400">
        <v>0</v>
      </c>
      <c r="BS400">
        <v>20.399999999999999</v>
      </c>
      <c r="BT400">
        <v>1</v>
      </c>
      <c r="BU400">
        <v>1</v>
      </c>
      <c r="BV400">
        <v>1</v>
      </c>
      <c r="BW400">
        <v>1</v>
      </c>
      <c r="BX400">
        <v>1</v>
      </c>
      <c r="BY400" t="s">
        <v>3</v>
      </c>
      <c r="BZ400">
        <v>77</v>
      </c>
      <c r="CA400">
        <v>41</v>
      </c>
      <c r="CF400">
        <v>0</v>
      </c>
      <c r="CG400">
        <v>0</v>
      </c>
      <c r="CM400">
        <v>0</v>
      </c>
      <c r="CN400" t="s">
        <v>3</v>
      </c>
      <c r="CO400">
        <v>0</v>
      </c>
      <c r="CP400">
        <f t="shared" si="370"/>
        <v>2476.4499999999998</v>
      </c>
      <c r="CQ400">
        <f t="shared" si="371"/>
        <v>30.020200000000003</v>
      </c>
      <c r="CR400">
        <f t="shared" si="372"/>
        <v>295.61787499999997</v>
      </c>
      <c r="CS400">
        <f t="shared" si="373"/>
        <v>164.98499999999999</v>
      </c>
      <c r="CT400">
        <f t="shared" si="374"/>
        <v>2150.8127999999997</v>
      </c>
      <c r="CU400">
        <f t="shared" si="375"/>
        <v>0</v>
      </c>
      <c r="CV400">
        <f t="shared" si="376"/>
        <v>9.4299999999999979</v>
      </c>
      <c r="CW400">
        <f t="shared" si="377"/>
        <v>0</v>
      </c>
      <c r="CX400">
        <f t="shared" si="378"/>
        <v>0</v>
      </c>
      <c r="CY400">
        <f t="shared" si="379"/>
        <v>1656.1237000000001</v>
      </c>
      <c r="CZ400">
        <f t="shared" si="380"/>
        <v>881.83209999999997</v>
      </c>
      <c r="DC400" t="s">
        <v>3</v>
      </c>
      <c r="DD400" t="s">
        <v>3</v>
      </c>
      <c r="DE400" t="s">
        <v>36</v>
      </c>
      <c r="DF400" t="s">
        <v>36</v>
      </c>
      <c r="DG400" t="s">
        <v>37</v>
      </c>
      <c r="DH400" t="s">
        <v>3</v>
      </c>
      <c r="DI400" t="s">
        <v>37</v>
      </c>
      <c r="DJ400" t="s">
        <v>36</v>
      </c>
      <c r="DK400" t="s">
        <v>3</v>
      </c>
      <c r="DL400" t="s">
        <v>3</v>
      </c>
      <c r="DM400" t="s">
        <v>3</v>
      </c>
      <c r="DN400">
        <v>114</v>
      </c>
      <c r="DO400">
        <v>67</v>
      </c>
      <c r="DP400">
        <v>1.0469999999999999</v>
      </c>
      <c r="DQ400">
        <v>1</v>
      </c>
      <c r="DU400">
        <v>1013</v>
      </c>
      <c r="DV400" t="s">
        <v>322</v>
      </c>
      <c r="DW400" t="s">
        <v>322</v>
      </c>
      <c r="DX400">
        <v>1</v>
      </c>
      <c r="EE400">
        <v>44846843</v>
      </c>
      <c r="EF400">
        <v>40</v>
      </c>
      <c r="EG400" t="s">
        <v>453</v>
      </c>
      <c r="EH400">
        <v>0</v>
      </c>
      <c r="EI400" t="s">
        <v>3</v>
      </c>
      <c r="EJ400">
        <v>2</v>
      </c>
      <c r="EK400">
        <v>336</v>
      </c>
      <c r="EL400" t="s">
        <v>454</v>
      </c>
      <c r="EM400" t="s">
        <v>455</v>
      </c>
      <c r="EO400" t="s">
        <v>3</v>
      </c>
      <c r="EQ400">
        <v>131072</v>
      </c>
      <c r="ER400">
        <v>123.21</v>
      </c>
      <c r="ES400">
        <v>5.74</v>
      </c>
      <c r="ET400">
        <v>25.79</v>
      </c>
      <c r="EU400">
        <v>6.47</v>
      </c>
      <c r="EV400">
        <v>91.68</v>
      </c>
      <c r="EW400">
        <v>8.1999999999999993</v>
      </c>
      <c r="EX400">
        <v>0</v>
      </c>
      <c r="EY400">
        <v>0</v>
      </c>
      <c r="FQ400">
        <v>0</v>
      </c>
      <c r="FR400">
        <f t="shared" si="381"/>
        <v>0</v>
      </c>
      <c r="FS400">
        <v>0</v>
      </c>
      <c r="FX400">
        <v>114</v>
      </c>
      <c r="FY400">
        <v>67</v>
      </c>
      <c r="GA400" t="s">
        <v>3</v>
      </c>
      <c r="GD400">
        <v>0</v>
      </c>
      <c r="GF400">
        <v>-730521773</v>
      </c>
      <c r="GG400">
        <v>2</v>
      </c>
      <c r="GH400">
        <v>1</v>
      </c>
      <c r="GI400">
        <v>3</v>
      </c>
      <c r="GJ400">
        <v>0</v>
      </c>
      <c r="GK400">
        <f>ROUND(R400*(S12)/100,2)</f>
        <v>277.18</v>
      </c>
      <c r="GL400">
        <f t="shared" si="382"/>
        <v>0</v>
      </c>
      <c r="GM400">
        <f t="shared" si="383"/>
        <v>5291.58</v>
      </c>
      <c r="GN400">
        <f t="shared" si="384"/>
        <v>0</v>
      </c>
      <c r="GO400">
        <f t="shared" si="385"/>
        <v>5291.58</v>
      </c>
      <c r="GP400">
        <f t="shared" si="386"/>
        <v>0</v>
      </c>
      <c r="GR400">
        <v>0</v>
      </c>
      <c r="GS400">
        <v>3</v>
      </c>
      <c r="GT400">
        <v>0</v>
      </c>
      <c r="GU400" t="s">
        <v>3</v>
      </c>
      <c r="GV400">
        <f t="shared" si="387"/>
        <v>0</v>
      </c>
      <c r="GW400">
        <v>1</v>
      </c>
      <c r="GX400">
        <f t="shared" si="388"/>
        <v>0</v>
      </c>
      <c r="HA400">
        <v>0</v>
      </c>
      <c r="HB400">
        <v>0</v>
      </c>
      <c r="IK400">
        <v>0</v>
      </c>
    </row>
    <row r="401" spans="1:255" x14ac:dyDescent="0.2">
      <c r="A401" s="2">
        <v>18</v>
      </c>
      <c r="B401" s="2">
        <v>1</v>
      </c>
      <c r="C401" s="2">
        <v>376</v>
      </c>
      <c r="D401" s="2"/>
      <c r="E401" s="2" t="s">
        <v>477</v>
      </c>
      <c r="F401" s="2" t="s">
        <v>258</v>
      </c>
      <c r="G401" s="2" t="s">
        <v>478</v>
      </c>
      <c r="H401" s="2" t="s">
        <v>304</v>
      </c>
      <c r="I401" s="2">
        <f>I399*J401</f>
        <v>1</v>
      </c>
      <c r="J401" s="2">
        <v>1</v>
      </c>
      <c r="K401" s="2"/>
      <c r="L401" s="2"/>
      <c r="M401" s="2"/>
      <c r="N401" s="2"/>
      <c r="O401" s="2">
        <f t="shared" si="350"/>
        <v>1268.68</v>
      </c>
      <c r="P401" s="2">
        <f t="shared" si="351"/>
        <v>1268.68</v>
      </c>
      <c r="Q401" s="2">
        <f t="shared" si="352"/>
        <v>0</v>
      </c>
      <c r="R401" s="2">
        <f t="shared" si="353"/>
        <v>0</v>
      </c>
      <c r="S401" s="2">
        <f t="shared" si="354"/>
        <v>0</v>
      </c>
      <c r="T401" s="2">
        <f t="shared" si="355"/>
        <v>0</v>
      </c>
      <c r="U401" s="2">
        <f t="shared" si="356"/>
        <v>0</v>
      </c>
      <c r="V401" s="2">
        <f t="shared" si="357"/>
        <v>0</v>
      </c>
      <c r="W401" s="2">
        <f t="shared" si="358"/>
        <v>0</v>
      </c>
      <c r="X401" s="2">
        <f t="shared" si="359"/>
        <v>0</v>
      </c>
      <c r="Y401" s="2">
        <f t="shared" si="360"/>
        <v>0</v>
      </c>
      <c r="Z401" s="2"/>
      <c r="AA401" s="2">
        <v>45037306</v>
      </c>
      <c r="AB401" s="2">
        <f t="shared" si="361"/>
        <v>1268.68</v>
      </c>
      <c r="AC401" s="2">
        <f t="shared" si="362"/>
        <v>1268.68</v>
      </c>
      <c r="AD401" s="2">
        <f t="shared" ref="AD401:AF402" si="389">ROUND((ET401),6)</f>
        <v>0</v>
      </c>
      <c r="AE401" s="2">
        <f t="shared" si="389"/>
        <v>0</v>
      </c>
      <c r="AF401" s="2">
        <f t="shared" si="389"/>
        <v>0</v>
      </c>
      <c r="AG401" s="2">
        <f t="shared" si="366"/>
        <v>0</v>
      </c>
      <c r="AH401" s="2">
        <f>(EW401)</f>
        <v>0</v>
      </c>
      <c r="AI401" s="2">
        <f>(EX401)</f>
        <v>0</v>
      </c>
      <c r="AJ401" s="2">
        <f t="shared" si="369"/>
        <v>0</v>
      </c>
      <c r="AK401" s="2">
        <v>1268.68</v>
      </c>
      <c r="AL401" s="2">
        <v>1268.68</v>
      </c>
      <c r="AM401" s="2">
        <v>0</v>
      </c>
      <c r="AN401" s="2">
        <v>0</v>
      </c>
      <c r="AO401" s="2">
        <v>0</v>
      </c>
      <c r="AP401" s="2">
        <v>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1</v>
      </c>
      <c r="AW401" s="2">
        <v>1</v>
      </c>
      <c r="AX401" s="2"/>
      <c r="AY401" s="2"/>
      <c r="AZ401" s="2">
        <v>1</v>
      </c>
      <c r="BA401" s="2">
        <v>1</v>
      </c>
      <c r="BB401" s="2">
        <v>1</v>
      </c>
      <c r="BC401" s="2">
        <v>1</v>
      </c>
      <c r="BD401" s="2" t="s">
        <v>3</v>
      </c>
      <c r="BE401" s="2" t="s">
        <v>3</v>
      </c>
      <c r="BF401" s="2" t="s">
        <v>3</v>
      </c>
      <c r="BG401" s="2" t="s">
        <v>3</v>
      </c>
      <c r="BH401" s="2">
        <v>3</v>
      </c>
      <c r="BI401" s="2">
        <v>2</v>
      </c>
      <c r="BJ401" s="2" t="s">
        <v>3</v>
      </c>
      <c r="BK401" s="2"/>
      <c r="BL401" s="2"/>
      <c r="BM401" s="2">
        <v>336</v>
      </c>
      <c r="BN401" s="2">
        <v>0</v>
      </c>
      <c r="BO401" s="2" t="s">
        <v>3</v>
      </c>
      <c r="BP401" s="2">
        <v>0</v>
      </c>
      <c r="BQ401" s="2">
        <v>40</v>
      </c>
      <c r="BR401" s="2">
        <v>0</v>
      </c>
      <c r="BS401" s="2">
        <v>1</v>
      </c>
      <c r="BT401" s="2">
        <v>1</v>
      </c>
      <c r="BU401" s="2">
        <v>1</v>
      </c>
      <c r="BV401" s="2">
        <v>1</v>
      </c>
      <c r="BW401" s="2">
        <v>1</v>
      </c>
      <c r="BX401" s="2">
        <v>1</v>
      </c>
      <c r="BY401" s="2" t="s">
        <v>3</v>
      </c>
      <c r="BZ401" s="2">
        <v>0</v>
      </c>
      <c r="CA401" s="2">
        <v>0</v>
      </c>
      <c r="CB401" s="2"/>
      <c r="CC401" s="2"/>
      <c r="CD401" s="2"/>
      <c r="CE401" s="2"/>
      <c r="CF401" s="2">
        <v>0</v>
      </c>
      <c r="CG401" s="2">
        <v>0</v>
      </c>
      <c r="CH401" s="2"/>
      <c r="CI401" s="2"/>
      <c r="CJ401" s="2"/>
      <c r="CK401" s="2"/>
      <c r="CL401" s="2"/>
      <c r="CM401" s="2">
        <v>0</v>
      </c>
      <c r="CN401" s="2" t="s">
        <v>3</v>
      </c>
      <c r="CO401" s="2">
        <v>0</v>
      </c>
      <c r="CP401" s="2">
        <f t="shared" si="370"/>
        <v>1268.68</v>
      </c>
      <c r="CQ401" s="2">
        <f t="shared" si="371"/>
        <v>1268.68</v>
      </c>
      <c r="CR401" s="2">
        <f t="shared" si="372"/>
        <v>0</v>
      </c>
      <c r="CS401" s="2">
        <f t="shared" si="373"/>
        <v>0</v>
      </c>
      <c r="CT401" s="2">
        <f t="shared" si="374"/>
        <v>0</v>
      </c>
      <c r="CU401" s="2">
        <f t="shared" si="375"/>
        <v>0</v>
      </c>
      <c r="CV401" s="2">
        <f t="shared" si="376"/>
        <v>0</v>
      </c>
      <c r="CW401" s="2">
        <f t="shared" si="377"/>
        <v>0</v>
      </c>
      <c r="CX401" s="2">
        <f t="shared" si="378"/>
        <v>0</v>
      </c>
      <c r="CY401" s="2">
        <f t="shared" si="379"/>
        <v>0</v>
      </c>
      <c r="CZ401" s="2">
        <f t="shared" si="380"/>
        <v>0</v>
      </c>
      <c r="DA401" s="2"/>
      <c r="DB401" s="2"/>
      <c r="DC401" s="2" t="s">
        <v>3</v>
      </c>
      <c r="DD401" s="2" t="s">
        <v>3</v>
      </c>
      <c r="DE401" s="2" t="s">
        <v>3</v>
      </c>
      <c r="DF401" s="2" t="s">
        <v>3</v>
      </c>
      <c r="DG401" s="2" t="s">
        <v>3</v>
      </c>
      <c r="DH401" s="2" t="s">
        <v>3</v>
      </c>
      <c r="DI401" s="2" t="s">
        <v>3</v>
      </c>
      <c r="DJ401" s="2" t="s">
        <v>3</v>
      </c>
      <c r="DK401" s="2" t="s">
        <v>3</v>
      </c>
      <c r="DL401" s="2" t="s">
        <v>3</v>
      </c>
      <c r="DM401" s="2" t="s">
        <v>3</v>
      </c>
      <c r="DN401" s="2">
        <v>114</v>
      </c>
      <c r="DO401" s="2">
        <v>67</v>
      </c>
      <c r="DP401" s="2">
        <v>1.0469999999999999</v>
      </c>
      <c r="DQ401" s="2">
        <v>1</v>
      </c>
      <c r="DR401" s="2"/>
      <c r="DS401" s="2"/>
      <c r="DT401" s="2"/>
      <c r="DU401" s="2">
        <v>1010</v>
      </c>
      <c r="DV401" s="2" t="s">
        <v>304</v>
      </c>
      <c r="DW401" s="2" t="s">
        <v>304</v>
      </c>
      <c r="DX401" s="2">
        <v>1</v>
      </c>
      <c r="DY401" s="2"/>
      <c r="DZ401" s="2"/>
      <c r="EA401" s="2"/>
      <c r="EB401" s="2"/>
      <c r="EC401" s="2"/>
      <c r="ED401" s="2"/>
      <c r="EE401" s="2">
        <v>44846843</v>
      </c>
      <c r="EF401" s="2">
        <v>40</v>
      </c>
      <c r="EG401" s="2" t="s">
        <v>453</v>
      </c>
      <c r="EH401" s="2">
        <v>0</v>
      </c>
      <c r="EI401" s="2" t="s">
        <v>3</v>
      </c>
      <c r="EJ401" s="2">
        <v>2</v>
      </c>
      <c r="EK401" s="2">
        <v>336</v>
      </c>
      <c r="EL401" s="2" t="s">
        <v>454</v>
      </c>
      <c r="EM401" s="2" t="s">
        <v>455</v>
      </c>
      <c r="EN401" s="2"/>
      <c r="EO401" s="2" t="s">
        <v>3</v>
      </c>
      <c r="EP401" s="2"/>
      <c r="EQ401" s="2">
        <v>0</v>
      </c>
      <c r="ER401" s="2">
        <v>0</v>
      </c>
      <c r="ES401" s="2">
        <v>1268.68</v>
      </c>
      <c r="ET401" s="2">
        <v>0</v>
      </c>
      <c r="EU401" s="2">
        <v>0</v>
      </c>
      <c r="EV401" s="2">
        <v>0</v>
      </c>
      <c r="EW401" s="2">
        <v>0</v>
      </c>
      <c r="EX401" s="2">
        <v>0</v>
      </c>
      <c r="EY401" s="2"/>
      <c r="EZ401" s="2"/>
      <c r="FA401" s="2"/>
      <c r="FB401" s="2"/>
      <c r="FC401" s="2"/>
      <c r="FD401" s="2"/>
      <c r="FE401" s="2"/>
      <c r="FF401" s="2"/>
      <c r="FG401" s="2"/>
      <c r="FH401" s="2"/>
      <c r="FI401" s="2"/>
      <c r="FJ401" s="2"/>
      <c r="FK401" s="2"/>
      <c r="FL401" s="2"/>
      <c r="FM401" s="2"/>
      <c r="FN401" s="2"/>
      <c r="FO401" s="2"/>
      <c r="FP401" s="2"/>
      <c r="FQ401" s="2">
        <v>0</v>
      </c>
      <c r="FR401" s="2">
        <f t="shared" si="381"/>
        <v>0</v>
      </c>
      <c r="FS401" s="2">
        <v>0</v>
      </c>
      <c r="FT401" s="2"/>
      <c r="FU401" s="2"/>
      <c r="FV401" s="2"/>
      <c r="FW401" s="2"/>
      <c r="FX401" s="2">
        <v>114</v>
      </c>
      <c r="FY401" s="2">
        <v>67</v>
      </c>
      <c r="FZ401" s="2"/>
      <c r="GA401" s="2" t="s">
        <v>479</v>
      </c>
      <c r="GB401" s="2"/>
      <c r="GC401" s="2"/>
      <c r="GD401" s="2">
        <v>0</v>
      </c>
      <c r="GE401" s="2"/>
      <c r="GF401" s="2">
        <v>-1586814249</v>
      </c>
      <c r="GG401" s="2">
        <v>2</v>
      </c>
      <c r="GH401" s="2">
        <v>4</v>
      </c>
      <c r="GI401" s="2">
        <v>3</v>
      </c>
      <c r="GJ401" s="2">
        <v>0</v>
      </c>
      <c r="GK401" s="2">
        <f>ROUND(R401*(R12)/100,2)</f>
        <v>0</v>
      </c>
      <c r="GL401" s="2">
        <f t="shared" si="382"/>
        <v>0</v>
      </c>
      <c r="GM401" s="2">
        <f t="shared" si="383"/>
        <v>1268.68</v>
      </c>
      <c r="GN401" s="2">
        <f t="shared" si="384"/>
        <v>0</v>
      </c>
      <c r="GO401" s="2">
        <f t="shared" si="385"/>
        <v>1268.68</v>
      </c>
      <c r="GP401" s="2">
        <f t="shared" si="386"/>
        <v>0</v>
      </c>
      <c r="GQ401" s="2"/>
      <c r="GR401" s="2">
        <v>0</v>
      </c>
      <c r="GS401" s="2">
        <v>2</v>
      </c>
      <c r="GT401" s="2">
        <v>0</v>
      </c>
      <c r="GU401" s="2" t="s">
        <v>3</v>
      </c>
      <c r="GV401" s="2">
        <f t="shared" si="387"/>
        <v>0</v>
      </c>
      <c r="GW401" s="2">
        <v>1</v>
      </c>
      <c r="GX401" s="2">
        <f t="shared" si="388"/>
        <v>0</v>
      </c>
      <c r="GY401" s="2"/>
      <c r="GZ401" s="2"/>
      <c r="HA401" s="2">
        <v>0</v>
      </c>
      <c r="HB401" s="2">
        <v>0</v>
      </c>
      <c r="HC401" s="2"/>
      <c r="HD401" s="2"/>
      <c r="HE401" s="2"/>
      <c r="HF401" s="2"/>
      <c r="HG401" s="2"/>
      <c r="HH401" s="2"/>
      <c r="HI401" s="2"/>
      <c r="HJ401" s="2"/>
      <c r="HK401" s="2"/>
      <c r="HL401" s="2"/>
      <c r="HM401" s="2"/>
      <c r="HN401" s="2"/>
      <c r="HO401" s="2"/>
      <c r="HP401" s="2"/>
      <c r="HQ401" s="2"/>
      <c r="HR401" s="2"/>
      <c r="HS401" s="2"/>
      <c r="HT401" s="2"/>
      <c r="HU401" s="2"/>
      <c r="HV401" s="2"/>
      <c r="HW401" s="2"/>
      <c r="HX401" s="2"/>
      <c r="HY401" s="2"/>
      <c r="HZ401" s="2"/>
      <c r="IA401" s="2"/>
      <c r="IB401" s="2"/>
      <c r="IC401" s="2"/>
      <c r="ID401" s="2"/>
      <c r="IE401" s="2"/>
      <c r="IF401" s="2"/>
      <c r="IG401" s="2"/>
      <c r="IH401" s="2"/>
      <c r="II401" s="2"/>
      <c r="IJ401" s="2"/>
      <c r="IK401" s="2">
        <v>0</v>
      </c>
      <c r="IL401" s="2"/>
      <c r="IM401" s="2"/>
      <c r="IN401" s="2"/>
      <c r="IO401" s="2"/>
      <c r="IP401" s="2"/>
      <c r="IQ401" s="2"/>
      <c r="IR401" s="2"/>
      <c r="IS401" s="2"/>
      <c r="IT401" s="2"/>
      <c r="IU401" s="2"/>
    </row>
    <row r="402" spans="1:255" x14ac:dyDescent="0.2">
      <c r="A402">
        <v>18</v>
      </c>
      <c r="B402">
        <v>1</v>
      </c>
      <c r="C402">
        <v>378</v>
      </c>
      <c r="E402" t="s">
        <v>477</v>
      </c>
      <c r="F402" t="s">
        <v>258</v>
      </c>
      <c r="G402" t="s">
        <v>478</v>
      </c>
      <c r="H402" t="s">
        <v>304</v>
      </c>
      <c r="I402">
        <f>I400*J402</f>
        <v>1</v>
      </c>
      <c r="J402">
        <v>1</v>
      </c>
      <c r="O402">
        <f t="shared" si="350"/>
        <v>6635.2</v>
      </c>
      <c r="P402">
        <f t="shared" si="351"/>
        <v>6635.2</v>
      </c>
      <c r="Q402">
        <f t="shared" si="352"/>
        <v>0</v>
      </c>
      <c r="R402">
        <f t="shared" si="353"/>
        <v>0</v>
      </c>
      <c r="S402">
        <f t="shared" si="354"/>
        <v>0</v>
      </c>
      <c r="T402">
        <f t="shared" si="355"/>
        <v>0</v>
      </c>
      <c r="U402">
        <f t="shared" si="356"/>
        <v>0</v>
      </c>
      <c r="V402">
        <f t="shared" si="357"/>
        <v>0</v>
      </c>
      <c r="W402">
        <f t="shared" si="358"/>
        <v>0</v>
      </c>
      <c r="X402">
        <f t="shared" si="359"/>
        <v>0</v>
      </c>
      <c r="Y402">
        <f t="shared" si="360"/>
        <v>0</v>
      </c>
      <c r="AA402">
        <v>45037307</v>
      </c>
      <c r="AB402">
        <f t="shared" si="361"/>
        <v>1268.68</v>
      </c>
      <c r="AC402">
        <f t="shared" si="362"/>
        <v>1268.68</v>
      </c>
      <c r="AD402">
        <f t="shared" si="389"/>
        <v>0</v>
      </c>
      <c r="AE402">
        <f t="shared" si="389"/>
        <v>0</v>
      </c>
      <c r="AF402">
        <f t="shared" si="389"/>
        <v>0</v>
      </c>
      <c r="AG402">
        <f t="shared" si="366"/>
        <v>0</v>
      </c>
      <c r="AH402">
        <f>(EW402)</f>
        <v>0</v>
      </c>
      <c r="AI402">
        <f>(EX402)</f>
        <v>0</v>
      </c>
      <c r="AJ402">
        <f t="shared" si="369"/>
        <v>0</v>
      </c>
      <c r="AK402">
        <v>1268.68</v>
      </c>
      <c r="AL402">
        <v>1268.68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1</v>
      </c>
      <c r="AW402">
        <v>1</v>
      </c>
      <c r="AZ402">
        <v>1</v>
      </c>
      <c r="BA402">
        <v>1</v>
      </c>
      <c r="BB402">
        <v>1</v>
      </c>
      <c r="BC402">
        <v>5.23</v>
      </c>
      <c r="BD402" t="s">
        <v>3</v>
      </c>
      <c r="BE402" t="s">
        <v>3</v>
      </c>
      <c r="BF402" t="s">
        <v>3</v>
      </c>
      <c r="BG402" t="s">
        <v>3</v>
      </c>
      <c r="BH402">
        <v>3</v>
      </c>
      <c r="BI402">
        <v>2</v>
      </c>
      <c r="BJ402" t="s">
        <v>3</v>
      </c>
      <c r="BM402">
        <v>336</v>
      </c>
      <c r="BN402">
        <v>0</v>
      </c>
      <c r="BO402" t="s">
        <v>3</v>
      </c>
      <c r="BP402">
        <v>0</v>
      </c>
      <c r="BQ402">
        <v>40</v>
      </c>
      <c r="BR402">
        <v>0</v>
      </c>
      <c r="BS402">
        <v>1</v>
      </c>
      <c r="BT402">
        <v>1</v>
      </c>
      <c r="BU402">
        <v>1</v>
      </c>
      <c r="BV402">
        <v>1</v>
      </c>
      <c r="BW402">
        <v>1</v>
      </c>
      <c r="BX402">
        <v>1</v>
      </c>
      <c r="BY402" t="s">
        <v>3</v>
      </c>
      <c r="BZ402">
        <v>0</v>
      </c>
      <c r="CA402">
        <v>0</v>
      </c>
      <c r="CF402">
        <v>0</v>
      </c>
      <c r="CG402">
        <v>0</v>
      </c>
      <c r="CM402">
        <v>0</v>
      </c>
      <c r="CN402" t="s">
        <v>3</v>
      </c>
      <c r="CO402">
        <v>0</v>
      </c>
      <c r="CP402">
        <f t="shared" si="370"/>
        <v>6635.2</v>
      </c>
      <c r="CQ402">
        <f t="shared" si="371"/>
        <v>6635.1964000000007</v>
      </c>
      <c r="CR402">
        <f t="shared" si="372"/>
        <v>0</v>
      </c>
      <c r="CS402">
        <f t="shared" si="373"/>
        <v>0</v>
      </c>
      <c r="CT402">
        <f t="shared" si="374"/>
        <v>0</v>
      </c>
      <c r="CU402">
        <f t="shared" si="375"/>
        <v>0</v>
      </c>
      <c r="CV402">
        <f t="shared" si="376"/>
        <v>0</v>
      </c>
      <c r="CW402">
        <f t="shared" si="377"/>
        <v>0</v>
      </c>
      <c r="CX402">
        <f t="shared" si="378"/>
        <v>0</v>
      </c>
      <c r="CY402">
        <f t="shared" si="379"/>
        <v>0</v>
      </c>
      <c r="CZ402">
        <f t="shared" si="380"/>
        <v>0</v>
      </c>
      <c r="DC402" t="s">
        <v>3</v>
      </c>
      <c r="DD402" t="s">
        <v>3</v>
      </c>
      <c r="DE402" t="s">
        <v>3</v>
      </c>
      <c r="DF402" t="s">
        <v>3</v>
      </c>
      <c r="DG402" t="s">
        <v>3</v>
      </c>
      <c r="DH402" t="s">
        <v>3</v>
      </c>
      <c r="DI402" t="s">
        <v>3</v>
      </c>
      <c r="DJ402" t="s">
        <v>3</v>
      </c>
      <c r="DK402" t="s">
        <v>3</v>
      </c>
      <c r="DL402" t="s">
        <v>3</v>
      </c>
      <c r="DM402" t="s">
        <v>3</v>
      </c>
      <c r="DN402">
        <v>114</v>
      </c>
      <c r="DO402">
        <v>67</v>
      </c>
      <c r="DP402">
        <v>1.0469999999999999</v>
      </c>
      <c r="DQ402">
        <v>1</v>
      </c>
      <c r="DU402">
        <v>1010</v>
      </c>
      <c r="DV402" t="s">
        <v>304</v>
      </c>
      <c r="DW402" t="s">
        <v>304</v>
      </c>
      <c r="DX402">
        <v>1</v>
      </c>
      <c r="EE402">
        <v>44846843</v>
      </c>
      <c r="EF402">
        <v>40</v>
      </c>
      <c r="EG402" t="s">
        <v>453</v>
      </c>
      <c r="EH402">
        <v>0</v>
      </c>
      <c r="EI402" t="s">
        <v>3</v>
      </c>
      <c r="EJ402">
        <v>2</v>
      </c>
      <c r="EK402">
        <v>336</v>
      </c>
      <c r="EL402" t="s">
        <v>454</v>
      </c>
      <c r="EM402" t="s">
        <v>455</v>
      </c>
      <c r="EO402" t="s">
        <v>3</v>
      </c>
      <c r="EQ402">
        <v>0</v>
      </c>
      <c r="ER402">
        <v>6635.18</v>
      </c>
      <c r="ES402">
        <v>1268.68</v>
      </c>
      <c r="ET402">
        <v>0</v>
      </c>
      <c r="EU402">
        <v>0</v>
      </c>
      <c r="EV402">
        <v>0</v>
      </c>
      <c r="EW402">
        <v>0</v>
      </c>
      <c r="EX402">
        <v>0</v>
      </c>
      <c r="EZ402">
        <v>5</v>
      </c>
      <c r="FC402">
        <v>1</v>
      </c>
      <c r="FD402">
        <v>18</v>
      </c>
      <c r="FF402">
        <v>7676</v>
      </c>
      <c r="FQ402">
        <v>0</v>
      </c>
      <c r="FR402">
        <f t="shared" si="381"/>
        <v>0</v>
      </c>
      <c r="FS402">
        <v>0</v>
      </c>
      <c r="FX402">
        <v>114</v>
      </c>
      <c r="FY402">
        <v>67</v>
      </c>
      <c r="GA402" t="s">
        <v>479</v>
      </c>
      <c r="GD402">
        <v>0</v>
      </c>
      <c r="GF402">
        <v>-1586814249</v>
      </c>
      <c r="GG402">
        <v>2</v>
      </c>
      <c r="GH402">
        <v>3</v>
      </c>
      <c r="GI402">
        <v>3</v>
      </c>
      <c r="GJ402">
        <v>0</v>
      </c>
      <c r="GK402">
        <f>ROUND(R402*(S12)/100,2)</f>
        <v>0</v>
      </c>
      <c r="GL402">
        <f t="shared" si="382"/>
        <v>0</v>
      </c>
      <c r="GM402">
        <f t="shared" si="383"/>
        <v>6635.2</v>
      </c>
      <c r="GN402">
        <f t="shared" si="384"/>
        <v>0</v>
      </c>
      <c r="GO402">
        <f t="shared" si="385"/>
        <v>6635.2</v>
      </c>
      <c r="GP402">
        <f t="shared" si="386"/>
        <v>0</v>
      </c>
      <c r="GR402">
        <v>1</v>
      </c>
      <c r="GS402">
        <v>1</v>
      </c>
      <c r="GT402">
        <v>0</v>
      </c>
      <c r="GU402" t="s">
        <v>3</v>
      </c>
      <c r="GV402">
        <f t="shared" si="387"/>
        <v>0</v>
      </c>
      <c r="GW402">
        <v>1</v>
      </c>
      <c r="GX402">
        <f t="shared" si="388"/>
        <v>0</v>
      </c>
      <c r="HA402">
        <v>0</v>
      </c>
      <c r="HB402">
        <v>0</v>
      </c>
      <c r="IK402">
        <v>0</v>
      </c>
    </row>
    <row r="403" spans="1:255" x14ac:dyDescent="0.2">
      <c r="A403" s="2">
        <v>17</v>
      </c>
      <c r="B403" s="2">
        <v>1</v>
      </c>
      <c r="C403" s="2">
        <f>ROW(SmtRes!A381)</f>
        <v>381</v>
      </c>
      <c r="D403" s="2">
        <f>ROW(EtalonRes!A366)</f>
        <v>366</v>
      </c>
      <c r="E403" s="2" t="s">
        <v>480</v>
      </c>
      <c r="F403" s="2" t="s">
        <v>481</v>
      </c>
      <c r="G403" s="2" t="s">
        <v>482</v>
      </c>
      <c r="H403" s="2" t="s">
        <v>483</v>
      </c>
      <c r="I403" s="2">
        <f>ROUND(5/100,9)</f>
        <v>0.05</v>
      </c>
      <c r="J403" s="2">
        <v>0</v>
      </c>
      <c r="K403" s="2"/>
      <c r="L403" s="2"/>
      <c r="M403" s="2"/>
      <c r="N403" s="2"/>
      <c r="O403" s="2">
        <f t="shared" si="350"/>
        <v>29.84</v>
      </c>
      <c r="P403" s="2">
        <f t="shared" si="351"/>
        <v>17.149999999999999</v>
      </c>
      <c r="Q403" s="2">
        <f t="shared" si="352"/>
        <v>2.0499999999999998</v>
      </c>
      <c r="R403" s="2">
        <f t="shared" si="353"/>
        <v>0.34</v>
      </c>
      <c r="S403" s="2">
        <f t="shared" si="354"/>
        <v>10.64</v>
      </c>
      <c r="T403" s="2">
        <f t="shared" si="355"/>
        <v>0</v>
      </c>
      <c r="U403" s="2">
        <f t="shared" si="356"/>
        <v>0.82627499999999987</v>
      </c>
      <c r="V403" s="2">
        <f t="shared" si="357"/>
        <v>0</v>
      </c>
      <c r="W403" s="2">
        <f t="shared" si="358"/>
        <v>0</v>
      </c>
      <c r="X403" s="2">
        <f t="shared" si="359"/>
        <v>0</v>
      </c>
      <c r="Y403" s="2">
        <f t="shared" si="360"/>
        <v>0</v>
      </c>
      <c r="Z403" s="2"/>
      <c r="AA403" s="2">
        <v>45037306</v>
      </c>
      <c r="AB403" s="2">
        <f t="shared" si="361"/>
        <v>596.80849999999998</v>
      </c>
      <c r="AC403" s="2">
        <f t="shared" si="362"/>
        <v>343.03</v>
      </c>
      <c r="AD403" s="2">
        <f>ROUND(((ET403*1.25)),6)</f>
        <v>40.924999999999997</v>
      </c>
      <c r="AE403" s="2">
        <f>ROUND(((EU403*1.25)),6)</f>
        <v>6.8250000000000002</v>
      </c>
      <c r="AF403" s="2">
        <f>ROUND(((EV403*1.15)),6)</f>
        <v>212.8535</v>
      </c>
      <c r="AG403" s="2">
        <f t="shared" si="366"/>
        <v>0</v>
      </c>
      <c r="AH403" s="2">
        <f>((EW403*1.15))</f>
        <v>16.525499999999997</v>
      </c>
      <c r="AI403" s="2">
        <f>((EX403*1.25))</f>
        <v>0</v>
      </c>
      <c r="AJ403" s="2">
        <f t="shared" si="369"/>
        <v>0</v>
      </c>
      <c r="AK403" s="2">
        <v>560.86</v>
      </c>
      <c r="AL403" s="2">
        <v>343.03</v>
      </c>
      <c r="AM403" s="2">
        <v>32.74</v>
      </c>
      <c r="AN403" s="2">
        <v>5.46</v>
      </c>
      <c r="AO403" s="2">
        <v>185.09</v>
      </c>
      <c r="AP403" s="2">
        <v>0</v>
      </c>
      <c r="AQ403" s="2">
        <v>14.37</v>
      </c>
      <c r="AR403" s="2">
        <v>0</v>
      </c>
      <c r="AS403" s="2">
        <v>0</v>
      </c>
      <c r="AT403" s="2">
        <v>0</v>
      </c>
      <c r="AU403" s="2">
        <v>0</v>
      </c>
      <c r="AV403" s="2">
        <v>1</v>
      </c>
      <c r="AW403" s="2">
        <v>1</v>
      </c>
      <c r="AX403" s="2"/>
      <c r="AY403" s="2"/>
      <c r="AZ403" s="2">
        <v>1</v>
      </c>
      <c r="BA403" s="2">
        <v>1</v>
      </c>
      <c r="BB403" s="2">
        <v>1</v>
      </c>
      <c r="BC403" s="2">
        <v>1</v>
      </c>
      <c r="BD403" s="2" t="s">
        <v>3</v>
      </c>
      <c r="BE403" s="2" t="s">
        <v>3</v>
      </c>
      <c r="BF403" s="2" t="s">
        <v>3</v>
      </c>
      <c r="BG403" s="2" t="s">
        <v>3</v>
      </c>
      <c r="BH403" s="2">
        <v>0</v>
      </c>
      <c r="BI403" s="2">
        <v>2</v>
      </c>
      <c r="BJ403" s="2" t="s">
        <v>484</v>
      </c>
      <c r="BK403" s="2"/>
      <c r="BL403" s="2"/>
      <c r="BM403" s="2">
        <v>1518</v>
      </c>
      <c r="BN403" s="2">
        <v>7156650</v>
      </c>
      <c r="BO403" s="2" t="s">
        <v>3</v>
      </c>
      <c r="BP403" s="2">
        <v>0</v>
      </c>
      <c r="BQ403" s="2">
        <v>40</v>
      </c>
      <c r="BR403" s="2">
        <v>0</v>
      </c>
      <c r="BS403" s="2">
        <v>1</v>
      </c>
      <c r="BT403" s="2">
        <v>1</v>
      </c>
      <c r="BU403" s="2">
        <v>1</v>
      </c>
      <c r="BV403" s="2">
        <v>1</v>
      </c>
      <c r="BW403" s="2">
        <v>1</v>
      </c>
      <c r="BX403" s="2">
        <v>1</v>
      </c>
      <c r="BY403" s="2" t="s">
        <v>3</v>
      </c>
      <c r="BZ403" s="2">
        <v>0</v>
      </c>
      <c r="CA403" s="2">
        <v>0</v>
      </c>
      <c r="CB403" s="2"/>
      <c r="CC403" s="2"/>
      <c r="CD403" s="2"/>
      <c r="CE403" s="2"/>
      <c r="CF403" s="2">
        <v>0</v>
      </c>
      <c r="CG403" s="2">
        <v>0</v>
      </c>
      <c r="CH403" s="2"/>
      <c r="CI403" s="2"/>
      <c r="CJ403" s="2"/>
      <c r="CK403" s="2"/>
      <c r="CL403" s="2"/>
      <c r="CM403" s="2">
        <v>0</v>
      </c>
      <c r="CN403" s="2" t="s">
        <v>3</v>
      </c>
      <c r="CO403" s="2">
        <v>0</v>
      </c>
      <c r="CP403" s="2">
        <f t="shared" si="370"/>
        <v>29.84</v>
      </c>
      <c r="CQ403" s="2">
        <f t="shared" si="371"/>
        <v>343.03</v>
      </c>
      <c r="CR403" s="2">
        <f t="shared" si="372"/>
        <v>40.924999999999997</v>
      </c>
      <c r="CS403" s="2">
        <f t="shared" si="373"/>
        <v>6.8250000000000002</v>
      </c>
      <c r="CT403" s="2">
        <f t="shared" si="374"/>
        <v>212.8535</v>
      </c>
      <c r="CU403" s="2">
        <f t="shared" si="375"/>
        <v>0</v>
      </c>
      <c r="CV403" s="2">
        <f t="shared" si="376"/>
        <v>16.525499999999997</v>
      </c>
      <c r="CW403" s="2">
        <f t="shared" si="377"/>
        <v>0</v>
      </c>
      <c r="CX403" s="2">
        <f t="shared" si="378"/>
        <v>0</v>
      </c>
      <c r="CY403" s="2">
        <f t="shared" si="379"/>
        <v>0</v>
      </c>
      <c r="CZ403" s="2">
        <f t="shared" si="380"/>
        <v>0</v>
      </c>
      <c r="DA403" s="2"/>
      <c r="DB403" s="2"/>
      <c r="DC403" s="2" t="s">
        <v>3</v>
      </c>
      <c r="DD403" s="2" t="s">
        <v>3</v>
      </c>
      <c r="DE403" s="2" t="s">
        <v>36</v>
      </c>
      <c r="DF403" s="2" t="s">
        <v>36</v>
      </c>
      <c r="DG403" s="2" t="s">
        <v>37</v>
      </c>
      <c r="DH403" s="2" t="s">
        <v>3</v>
      </c>
      <c r="DI403" s="2" t="s">
        <v>37</v>
      </c>
      <c r="DJ403" s="2" t="s">
        <v>36</v>
      </c>
      <c r="DK403" s="2" t="s">
        <v>3</v>
      </c>
      <c r="DL403" s="2" t="s">
        <v>3</v>
      </c>
      <c r="DM403" s="2" t="s">
        <v>3</v>
      </c>
      <c r="DN403" s="2">
        <v>114</v>
      </c>
      <c r="DO403" s="2">
        <v>67</v>
      </c>
      <c r="DP403" s="2">
        <v>1.0469999999999999</v>
      </c>
      <c r="DQ403" s="2">
        <v>1</v>
      </c>
      <c r="DR403" s="2"/>
      <c r="DS403" s="2"/>
      <c r="DT403" s="2"/>
      <c r="DU403" s="2">
        <v>1003</v>
      </c>
      <c r="DV403" s="2" t="s">
        <v>483</v>
      </c>
      <c r="DW403" s="2" t="s">
        <v>483</v>
      </c>
      <c r="DX403" s="2">
        <v>100</v>
      </c>
      <c r="DY403" s="2"/>
      <c r="DZ403" s="2"/>
      <c r="EA403" s="2"/>
      <c r="EB403" s="2"/>
      <c r="EC403" s="2"/>
      <c r="ED403" s="2"/>
      <c r="EE403" s="2">
        <v>44848025</v>
      </c>
      <c r="EF403" s="2">
        <v>40</v>
      </c>
      <c r="EG403" s="2" t="s">
        <v>453</v>
      </c>
      <c r="EH403" s="2">
        <v>0</v>
      </c>
      <c r="EI403" s="2" t="s">
        <v>3</v>
      </c>
      <c r="EJ403" s="2">
        <v>2</v>
      </c>
      <c r="EK403" s="2">
        <v>1518</v>
      </c>
      <c r="EL403" s="2" t="s">
        <v>485</v>
      </c>
      <c r="EM403" s="2" t="s">
        <v>486</v>
      </c>
      <c r="EN403" s="2"/>
      <c r="EO403" s="2" t="s">
        <v>3</v>
      </c>
      <c r="EP403" s="2"/>
      <c r="EQ403" s="2">
        <v>131072</v>
      </c>
      <c r="ER403" s="2">
        <v>560.86</v>
      </c>
      <c r="ES403" s="2">
        <v>343.03</v>
      </c>
      <c r="ET403" s="2">
        <v>32.74</v>
      </c>
      <c r="EU403" s="2">
        <v>5.46</v>
      </c>
      <c r="EV403" s="2">
        <v>185.09</v>
      </c>
      <c r="EW403" s="2">
        <v>14.37</v>
      </c>
      <c r="EX403" s="2">
        <v>0</v>
      </c>
      <c r="EY403" s="2">
        <v>0</v>
      </c>
      <c r="EZ403" s="2"/>
      <c r="FA403" s="2"/>
      <c r="FB403" s="2"/>
      <c r="FC403" s="2"/>
      <c r="FD403" s="2"/>
      <c r="FE403" s="2"/>
      <c r="FF403" s="2"/>
      <c r="FG403" s="2"/>
      <c r="FH403" s="2"/>
      <c r="FI403" s="2"/>
      <c r="FJ403" s="2"/>
      <c r="FK403" s="2"/>
      <c r="FL403" s="2"/>
      <c r="FM403" s="2"/>
      <c r="FN403" s="2"/>
      <c r="FO403" s="2"/>
      <c r="FP403" s="2"/>
      <c r="FQ403" s="2">
        <v>0</v>
      </c>
      <c r="FR403" s="2">
        <f t="shared" si="381"/>
        <v>0</v>
      </c>
      <c r="FS403" s="2">
        <v>0</v>
      </c>
      <c r="FT403" s="2"/>
      <c r="FU403" s="2"/>
      <c r="FV403" s="2"/>
      <c r="FW403" s="2"/>
      <c r="FX403" s="2">
        <v>114</v>
      </c>
      <c r="FY403" s="2">
        <v>67</v>
      </c>
      <c r="FZ403" s="2"/>
      <c r="GA403" s="2" t="s">
        <v>3</v>
      </c>
      <c r="GB403" s="2"/>
      <c r="GC403" s="2"/>
      <c r="GD403" s="2">
        <v>0</v>
      </c>
      <c r="GE403" s="2"/>
      <c r="GF403" s="2">
        <v>-1956498174</v>
      </c>
      <c r="GG403" s="2">
        <v>2</v>
      </c>
      <c r="GH403" s="2">
        <v>1</v>
      </c>
      <c r="GI403" s="2">
        <v>3</v>
      </c>
      <c r="GJ403" s="2">
        <v>0</v>
      </c>
      <c r="GK403" s="2">
        <f>ROUND(R403*(R12)/100,2)</f>
        <v>0.61</v>
      </c>
      <c r="GL403" s="2">
        <f t="shared" si="382"/>
        <v>0</v>
      </c>
      <c r="GM403" s="2">
        <f t="shared" si="383"/>
        <v>30.45</v>
      </c>
      <c r="GN403" s="2">
        <f t="shared" si="384"/>
        <v>0</v>
      </c>
      <c r="GO403" s="2">
        <f t="shared" si="385"/>
        <v>30.45</v>
      </c>
      <c r="GP403" s="2">
        <f t="shared" si="386"/>
        <v>0</v>
      </c>
      <c r="GQ403" s="2"/>
      <c r="GR403" s="2">
        <v>0</v>
      </c>
      <c r="GS403" s="2">
        <v>3</v>
      </c>
      <c r="GT403" s="2">
        <v>0</v>
      </c>
      <c r="GU403" s="2" t="s">
        <v>3</v>
      </c>
      <c r="GV403" s="2">
        <f t="shared" si="387"/>
        <v>0</v>
      </c>
      <c r="GW403" s="2">
        <v>1</v>
      </c>
      <c r="GX403" s="2">
        <f t="shared" si="388"/>
        <v>0</v>
      </c>
      <c r="GY403" s="2"/>
      <c r="GZ403" s="2"/>
      <c r="HA403" s="2">
        <v>0</v>
      </c>
      <c r="HB403" s="2">
        <v>0</v>
      </c>
      <c r="HC403" s="2"/>
      <c r="HD403" s="2"/>
      <c r="HE403" s="2"/>
      <c r="HF403" s="2"/>
      <c r="HG403" s="2"/>
      <c r="HH403" s="2"/>
      <c r="HI403" s="2"/>
      <c r="HJ403" s="2"/>
      <c r="HK403" s="2"/>
      <c r="HL403" s="2"/>
      <c r="HM403" s="2"/>
      <c r="HN403" s="2"/>
      <c r="HO403" s="2"/>
      <c r="HP403" s="2"/>
      <c r="HQ403" s="2"/>
      <c r="HR403" s="2"/>
      <c r="HS403" s="2"/>
      <c r="HT403" s="2"/>
      <c r="HU403" s="2"/>
      <c r="HV403" s="2"/>
      <c r="HW403" s="2"/>
      <c r="HX403" s="2"/>
      <c r="HY403" s="2"/>
      <c r="HZ403" s="2"/>
      <c r="IA403" s="2"/>
      <c r="IB403" s="2"/>
      <c r="IC403" s="2"/>
      <c r="ID403" s="2"/>
      <c r="IE403" s="2"/>
      <c r="IF403" s="2"/>
      <c r="IG403" s="2"/>
      <c r="IH403" s="2"/>
      <c r="II403" s="2"/>
      <c r="IJ403" s="2"/>
      <c r="IK403" s="2">
        <v>0</v>
      </c>
      <c r="IL403" s="2"/>
      <c r="IM403" s="2"/>
      <c r="IN403" s="2"/>
      <c r="IO403" s="2"/>
      <c r="IP403" s="2"/>
      <c r="IQ403" s="2"/>
      <c r="IR403" s="2"/>
      <c r="IS403" s="2"/>
      <c r="IT403" s="2"/>
      <c r="IU403" s="2"/>
    </row>
    <row r="404" spans="1:255" x14ac:dyDescent="0.2">
      <c r="A404">
        <v>17</v>
      </c>
      <c r="B404">
        <v>1</v>
      </c>
      <c r="C404">
        <f>ROW(SmtRes!A384)</f>
        <v>384</v>
      </c>
      <c r="D404">
        <f>ROW(EtalonRes!A370)</f>
        <v>370</v>
      </c>
      <c r="E404" t="s">
        <v>480</v>
      </c>
      <c r="F404" t="s">
        <v>481</v>
      </c>
      <c r="G404" t="s">
        <v>482</v>
      </c>
      <c r="H404" t="s">
        <v>483</v>
      </c>
      <c r="I404">
        <f>ROUND(5/100,9)</f>
        <v>0.05</v>
      </c>
      <c r="J404">
        <v>0</v>
      </c>
      <c r="O404">
        <f t="shared" si="350"/>
        <v>323</v>
      </c>
      <c r="P404">
        <f t="shared" si="351"/>
        <v>89.7</v>
      </c>
      <c r="Q404">
        <f t="shared" si="352"/>
        <v>16.190000000000001</v>
      </c>
      <c r="R404">
        <f t="shared" si="353"/>
        <v>6.96</v>
      </c>
      <c r="S404">
        <f t="shared" si="354"/>
        <v>217.11</v>
      </c>
      <c r="T404">
        <f t="shared" si="355"/>
        <v>0</v>
      </c>
      <c r="U404">
        <f t="shared" si="356"/>
        <v>0.82627499999999987</v>
      </c>
      <c r="V404">
        <f t="shared" si="357"/>
        <v>0</v>
      </c>
      <c r="W404">
        <f t="shared" si="358"/>
        <v>0</v>
      </c>
      <c r="X404">
        <f t="shared" si="359"/>
        <v>167.17</v>
      </c>
      <c r="Y404">
        <f t="shared" si="360"/>
        <v>89.02</v>
      </c>
      <c r="AA404">
        <v>45037307</v>
      </c>
      <c r="AB404">
        <f t="shared" si="361"/>
        <v>596.80849999999998</v>
      </c>
      <c r="AC404">
        <f t="shared" si="362"/>
        <v>343.03</v>
      </c>
      <c r="AD404">
        <f>ROUND(((ET404*1.25)),6)</f>
        <v>40.924999999999997</v>
      </c>
      <c r="AE404">
        <f>ROUND(((EU404*1.25)),6)</f>
        <v>6.8250000000000002</v>
      </c>
      <c r="AF404">
        <f>ROUND(((EV404*1.15)),6)</f>
        <v>212.8535</v>
      </c>
      <c r="AG404">
        <f t="shared" si="366"/>
        <v>0</v>
      </c>
      <c r="AH404">
        <f>((EW404*1.15))</f>
        <v>16.525499999999997</v>
      </c>
      <c r="AI404">
        <f>((EX404*1.25))</f>
        <v>0</v>
      </c>
      <c r="AJ404">
        <f t="shared" si="369"/>
        <v>0</v>
      </c>
      <c r="AK404">
        <v>560.86</v>
      </c>
      <c r="AL404">
        <v>343.03</v>
      </c>
      <c r="AM404">
        <v>32.74</v>
      </c>
      <c r="AN404">
        <v>5.46</v>
      </c>
      <c r="AO404">
        <v>185.09</v>
      </c>
      <c r="AP404">
        <v>0</v>
      </c>
      <c r="AQ404">
        <v>14.37</v>
      </c>
      <c r="AR404">
        <v>0</v>
      </c>
      <c r="AS404">
        <v>0</v>
      </c>
      <c r="AT404">
        <v>77</v>
      </c>
      <c r="AU404">
        <v>41</v>
      </c>
      <c r="AV404">
        <v>1</v>
      </c>
      <c r="AW404">
        <v>1</v>
      </c>
      <c r="AZ404">
        <v>1</v>
      </c>
      <c r="BA404">
        <v>20.399999999999999</v>
      </c>
      <c r="BB404">
        <v>7.91</v>
      </c>
      <c r="BC404">
        <v>5.23</v>
      </c>
      <c r="BD404" t="s">
        <v>3</v>
      </c>
      <c r="BE404" t="s">
        <v>3</v>
      </c>
      <c r="BF404" t="s">
        <v>3</v>
      </c>
      <c r="BG404" t="s">
        <v>3</v>
      </c>
      <c r="BH404">
        <v>0</v>
      </c>
      <c r="BI404">
        <v>2</v>
      </c>
      <c r="BJ404" t="s">
        <v>484</v>
      </c>
      <c r="BM404">
        <v>1518</v>
      </c>
      <c r="BN404">
        <v>7156650</v>
      </c>
      <c r="BO404" t="s">
        <v>481</v>
      </c>
      <c r="BP404">
        <v>1</v>
      </c>
      <c r="BQ404">
        <v>40</v>
      </c>
      <c r="BR404">
        <v>0</v>
      </c>
      <c r="BS404">
        <v>20.399999999999999</v>
      </c>
      <c r="BT404">
        <v>1</v>
      </c>
      <c r="BU404">
        <v>1</v>
      </c>
      <c r="BV404">
        <v>1</v>
      </c>
      <c r="BW404">
        <v>1</v>
      </c>
      <c r="BX404">
        <v>1</v>
      </c>
      <c r="BY404" t="s">
        <v>3</v>
      </c>
      <c r="BZ404">
        <v>77</v>
      </c>
      <c r="CA404">
        <v>41</v>
      </c>
      <c r="CF404">
        <v>0</v>
      </c>
      <c r="CG404">
        <v>0</v>
      </c>
      <c r="CM404">
        <v>0</v>
      </c>
      <c r="CN404" t="s">
        <v>3</v>
      </c>
      <c r="CO404">
        <v>0</v>
      </c>
      <c r="CP404">
        <f t="shared" si="370"/>
        <v>323</v>
      </c>
      <c r="CQ404">
        <f t="shared" si="371"/>
        <v>1794.0469000000001</v>
      </c>
      <c r="CR404">
        <f t="shared" si="372"/>
        <v>323.71674999999999</v>
      </c>
      <c r="CS404">
        <f t="shared" si="373"/>
        <v>139.22999999999999</v>
      </c>
      <c r="CT404">
        <f t="shared" si="374"/>
        <v>4342.2113999999992</v>
      </c>
      <c r="CU404">
        <f t="shared" si="375"/>
        <v>0</v>
      </c>
      <c r="CV404">
        <f t="shared" si="376"/>
        <v>16.525499999999997</v>
      </c>
      <c r="CW404">
        <f t="shared" si="377"/>
        <v>0</v>
      </c>
      <c r="CX404">
        <f t="shared" si="378"/>
        <v>0</v>
      </c>
      <c r="CY404">
        <f t="shared" si="379"/>
        <v>167.1747</v>
      </c>
      <c r="CZ404">
        <f t="shared" si="380"/>
        <v>89.015100000000004</v>
      </c>
      <c r="DC404" t="s">
        <v>3</v>
      </c>
      <c r="DD404" t="s">
        <v>3</v>
      </c>
      <c r="DE404" t="s">
        <v>36</v>
      </c>
      <c r="DF404" t="s">
        <v>36</v>
      </c>
      <c r="DG404" t="s">
        <v>37</v>
      </c>
      <c r="DH404" t="s">
        <v>3</v>
      </c>
      <c r="DI404" t="s">
        <v>37</v>
      </c>
      <c r="DJ404" t="s">
        <v>36</v>
      </c>
      <c r="DK404" t="s">
        <v>3</v>
      </c>
      <c r="DL404" t="s">
        <v>3</v>
      </c>
      <c r="DM404" t="s">
        <v>3</v>
      </c>
      <c r="DN404">
        <v>114</v>
      </c>
      <c r="DO404">
        <v>67</v>
      </c>
      <c r="DP404">
        <v>1.0469999999999999</v>
      </c>
      <c r="DQ404">
        <v>1</v>
      </c>
      <c r="DU404">
        <v>1003</v>
      </c>
      <c r="DV404" t="s">
        <v>483</v>
      </c>
      <c r="DW404" t="s">
        <v>483</v>
      </c>
      <c r="DX404">
        <v>100</v>
      </c>
      <c r="EE404">
        <v>44848025</v>
      </c>
      <c r="EF404">
        <v>40</v>
      </c>
      <c r="EG404" t="s">
        <v>453</v>
      </c>
      <c r="EH404">
        <v>0</v>
      </c>
      <c r="EI404" t="s">
        <v>3</v>
      </c>
      <c r="EJ404">
        <v>2</v>
      </c>
      <c r="EK404">
        <v>1518</v>
      </c>
      <c r="EL404" t="s">
        <v>485</v>
      </c>
      <c r="EM404" t="s">
        <v>486</v>
      </c>
      <c r="EO404" t="s">
        <v>3</v>
      </c>
      <c r="EQ404">
        <v>131072</v>
      </c>
      <c r="ER404">
        <v>560.86</v>
      </c>
      <c r="ES404">
        <v>343.03</v>
      </c>
      <c r="ET404">
        <v>32.74</v>
      </c>
      <c r="EU404">
        <v>5.46</v>
      </c>
      <c r="EV404">
        <v>185.09</v>
      </c>
      <c r="EW404">
        <v>14.37</v>
      </c>
      <c r="EX404">
        <v>0</v>
      </c>
      <c r="EY404">
        <v>0</v>
      </c>
      <c r="FQ404">
        <v>0</v>
      </c>
      <c r="FR404">
        <f t="shared" si="381"/>
        <v>0</v>
      </c>
      <c r="FS404">
        <v>0</v>
      </c>
      <c r="FX404">
        <v>114</v>
      </c>
      <c r="FY404">
        <v>67</v>
      </c>
      <c r="GA404" t="s">
        <v>3</v>
      </c>
      <c r="GD404">
        <v>0</v>
      </c>
      <c r="GF404">
        <v>-1956498174</v>
      </c>
      <c r="GG404">
        <v>2</v>
      </c>
      <c r="GH404">
        <v>1</v>
      </c>
      <c r="GI404">
        <v>3</v>
      </c>
      <c r="GJ404">
        <v>0</v>
      </c>
      <c r="GK404">
        <f>ROUND(R404*(S12)/100,2)</f>
        <v>11.69</v>
      </c>
      <c r="GL404">
        <f t="shared" si="382"/>
        <v>0</v>
      </c>
      <c r="GM404">
        <f t="shared" si="383"/>
        <v>590.88</v>
      </c>
      <c r="GN404">
        <f t="shared" si="384"/>
        <v>0</v>
      </c>
      <c r="GO404">
        <f t="shared" si="385"/>
        <v>590.88</v>
      </c>
      <c r="GP404">
        <f t="shared" si="386"/>
        <v>0</v>
      </c>
      <c r="GR404">
        <v>0</v>
      </c>
      <c r="GS404">
        <v>3</v>
      </c>
      <c r="GT404">
        <v>0</v>
      </c>
      <c r="GU404" t="s">
        <v>3</v>
      </c>
      <c r="GV404">
        <f t="shared" si="387"/>
        <v>0</v>
      </c>
      <c r="GW404">
        <v>1</v>
      </c>
      <c r="GX404">
        <f t="shared" si="388"/>
        <v>0</v>
      </c>
      <c r="HA404">
        <v>0</v>
      </c>
      <c r="HB404">
        <v>0</v>
      </c>
      <c r="IK404">
        <v>0</v>
      </c>
    </row>
    <row r="405" spans="1:255" x14ac:dyDescent="0.2">
      <c r="A405" s="2">
        <v>18</v>
      </c>
      <c r="B405" s="2">
        <v>1</v>
      </c>
      <c r="C405" s="2">
        <v>380</v>
      </c>
      <c r="D405" s="2"/>
      <c r="E405" s="2" t="s">
        <v>487</v>
      </c>
      <c r="F405" s="2" t="s">
        <v>488</v>
      </c>
      <c r="G405" s="2" t="s">
        <v>489</v>
      </c>
      <c r="H405" s="2" t="s">
        <v>364</v>
      </c>
      <c r="I405" s="2">
        <f>I403*J405</f>
        <v>5.0999999999999996</v>
      </c>
      <c r="J405" s="2">
        <v>101.99999999999999</v>
      </c>
      <c r="K405" s="2"/>
      <c r="L405" s="2"/>
      <c r="M405" s="2"/>
      <c r="N405" s="2"/>
      <c r="O405" s="2">
        <f t="shared" si="350"/>
        <v>13.62</v>
      </c>
      <c r="P405" s="2">
        <f t="shared" si="351"/>
        <v>13.62</v>
      </c>
      <c r="Q405" s="2">
        <f t="shared" si="352"/>
        <v>0</v>
      </c>
      <c r="R405" s="2">
        <f t="shared" si="353"/>
        <v>0</v>
      </c>
      <c r="S405" s="2">
        <f t="shared" si="354"/>
        <v>0</v>
      </c>
      <c r="T405" s="2">
        <f t="shared" si="355"/>
        <v>0</v>
      </c>
      <c r="U405" s="2">
        <f t="shared" si="356"/>
        <v>0</v>
      </c>
      <c r="V405" s="2">
        <f t="shared" si="357"/>
        <v>0</v>
      </c>
      <c r="W405" s="2">
        <f t="shared" si="358"/>
        <v>0</v>
      </c>
      <c r="X405" s="2">
        <f t="shared" si="359"/>
        <v>0</v>
      </c>
      <c r="Y405" s="2">
        <f t="shared" si="360"/>
        <v>0</v>
      </c>
      <c r="Z405" s="2"/>
      <c r="AA405" s="2">
        <v>45037306</v>
      </c>
      <c r="AB405" s="2">
        <f t="shared" si="361"/>
        <v>2.67</v>
      </c>
      <c r="AC405" s="2">
        <f t="shared" si="362"/>
        <v>2.67</v>
      </c>
      <c r="AD405" s="2">
        <f t="shared" ref="AD405:AF408" si="390">ROUND((ET405),6)</f>
        <v>0</v>
      </c>
      <c r="AE405" s="2">
        <f t="shared" si="390"/>
        <v>0</v>
      </c>
      <c r="AF405" s="2">
        <f t="shared" si="390"/>
        <v>0</v>
      </c>
      <c r="AG405" s="2">
        <f t="shared" si="366"/>
        <v>0</v>
      </c>
      <c r="AH405" s="2">
        <f t="shared" ref="AH405:AI408" si="391">(EW405)</f>
        <v>0</v>
      </c>
      <c r="AI405" s="2">
        <f t="shared" si="391"/>
        <v>0</v>
      </c>
      <c r="AJ405" s="2">
        <f t="shared" si="369"/>
        <v>0</v>
      </c>
      <c r="AK405" s="2">
        <v>2.67</v>
      </c>
      <c r="AL405" s="2">
        <v>2.67</v>
      </c>
      <c r="AM405" s="2">
        <v>0</v>
      </c>
      <c r="AN405" s="2">
        <v>0</v>
      </c>
      <c r="AO405" s="2">
        <v>0</v>
      </c>
      <c r="AP405" s="2">
        <v>0</v>
      </c>
      <c r="AQ405" s="2">
        <v>0</v>
      </c>
      <c r="AR405" s="2">
        <v>0</v>
      </c>
      <c r="AS405" s="2">
        <v>0</v>
      </c>
      <c r="AT405" s="2">
        <v>0</v>
      </c>
      <c r="AU405" s="2">
        <v>0</v>
      </c>
      <c r="AV405" s="2">
        <v>1</v>
      </c>
      <c r="AW405" s="2">
        <v>1</v>
      </c>
      <c r="AX405" s="2"/>
      <c r="AY405" s="2"/>
      <c r="AZ405" s="2">
        <v>1</v>
      </c>
      <c r="BA405" s="2">
        <v>1</v>
      </c>
      <c r="BB405" s="2">
        <v>1</v>
      </c>
      <c r="BC405" s="2">
        <v>1</v>
      </c>
      <c r="BD405" s="2" t="s">
        <v>3</v>
      </c>
      <c r="BE405" s="2" t="s">
        <v>3</v>
      </c>
      <c r="BF405" s="2" t="s">
        <v>3</v>
      </c>
      <c r="BG405" s="2" t="s">
        <v>3</v>
      </c>
      <c r="BH405" s="2">
        <v>3</v>
      </c>
      <c r="BI405" s="2">
        <v>2</v>
      </c>
      <c r="BJ405" s="2" t="s">
        <v>490</v>
      </c>
      <c r="BK405" s="2"/>
      <c r="BL405" s="2"/>
      <c r="BM405" s="2">
        <v>1518</v>
      </c>
      <c r="BN405" s="2">
        <v>7156650</v>
      </c>
      <c r="BO405" s="2" t="s">
        <v>3</v>
      </c>
      <c r="BP405" s="2">
        <v>0</v>
      </c>
      <c r="BQ405" s="2">
        <v>40</v>
      </c>
      <c r="BR405" s="2">
        <v>0</v>
      </c>
      <c r="BS405" s="2">
        <v>1</v>
      </c>
      <c r="BT405" s="2">
        <v>1</v>
      </c>
      <c r="BU405" s="2">
        <v>1</v>
      </c>
      <c r="BV405" s="2">
        <v>1</v>
      </c>
      <c r="BW405" s="2">
        <v>1</v>
      </c>
      <c r="BX405" s="2">
        <v>1</v>
      </c>
      <c r="BY405" s="2" t="s">
        <v>3</v>
      </c>
      <c r="BZ405" s="2">
        <v>0</v>
      </c>
      <c r="CA405" s="2">
        <v>0</v>
      </c>
      <c r="CB405" s="2"/>
      <c r="CC405" s="2"/>
      <c r="CD405" s="2"/>
      <c r="CE405" s="2"/>
      <c r="CF405" s="2">
        <v>0</v>
      </c>
      <c r="CG405" s="2">
        <v>0</v>
      </c>
      <c r="CH405" s="2"/>
      <c r="CI405" s="2"/>
      <c r="CJ405" s="2"/>
      <c r="CK405" s="2"/>
      <c r="CL405" s="2"/>
      <c r="CM405" s="2">
        <v>0</v>
      </c>
      <c r="CN405" s="2" t="s">
        <v>3</v>
      </c>
      <c r="CO405" s="2">
        <v>0</v>
      </c>
      <c r="CP405" s="2">
        <f t="shared" si="370"/>
        <v>13.62</v>
      </c>
      <c r="CQ405" s="2">
        <f t="shared" si="371"/>
        <v>2.67</v>
      </c>
      <c r="CR405" s="2">
        <f t="shared" si="372"/>
        <v>0</v>
      </c>
      <c r="CS405" s="2">
        <f t="shared" si="373"/>
        <v>0</v>
      </c>
      <c r="CT405" s="2">
        <f t="shared" si="374"/>
        <v>0</v>
      </c>
      <c r="CU405" s="2">
        <f t="shared" si="375"/>
        <v>0</v>
      </c>
      <c r="CV405" s="2">
        <f t="shared" si="376"/>
        <v>0</v>
      </c>
      <c r="CW405" s="2">
        <f t="shared" si="377"/>
        <v>0</v>
      </c>
      <c r="CX405" s="2">
        <f t="shared" si="378"/>
        <v>0</v>
      </c>
      <c r="CY405" s="2">
        <f t="shared" si="379"/>
        <v>0</v>
      </c>
      <c r="CZ405" s="2">
        <f t="shared" si="380"/>
        <v>0</v>
      </c>
      <c r="DA405" s="2"/>
      <c r="DB405" s="2"/>
      <c r="DC405" s="2" t="s">
        <v>3</v>
      </c>
      <c r="DD405" s="2" t="s">
        <v>3</v>
      </c>
      <c r="DE405" s="2" t="s">
        <v>3</v>
      </c>
      <c r="DF405" s="2" t="s">
        <v>3</v>
      </c>
      <c r="DG405" s="2" t="s">
        <v>3</v>
      </c>
      <c r="DH405" s="2" t="s">
        <v>3</v>
      </c>
      <c r="DI405" s="2" t="s">
        <v>3</v>
      </c>
      <c r="DJ405" s="2" t="s">
        <v>3</v>
      </c>
      <c r="DK405" s="2" t="s">
        <v>3</v>
      </c>
      <c r="DL405" s="2" t="s">
        <v>3</v>
      </c>
      <c r="DM405" s="2" t="s">
        <v>3</v>
      </c>
      <c r="DN405" s="2">
        <v>114</v>
      </c>
      <c r="DO405" s="2">
        <v>67</v>
      </c>
      <c r="DP405" s="2">
        <v>1.0469999999999999</v>
      </c>
      <c r="DQ405" s="2">
        <v>1</v>
      </c>
      <c r="DR405" s="2"/>
      <c r="DS405" s="2"/>
      <c r="DT405" s="2"/>
      <c r="DU405" s="2">
        <v>1003</v>
      </c>
      <c r="DV405" s="2" t="s">
        <v>364</v>
      </c>
      <c r="DW405" s="2" t="s">
        <v>364</v>
      </c>
      <c r="DX405" s="2">
        <v>1</v>
      </c>
      <c r="DY405" s="2"/>
      <c r="DZ405" s="2"/>
      <c r="EA405" s="2"/>
      <c r="EB405" s="2"/>
      <c r="EC405" s="2"/>
      <c r="ED405" s="2"/>
      <c r="EE405" s="2">
        <v>44848025</v>
      </c>
      <c r="EF405" s="2">
        <v>40</v>
      </c>
      <c r="EG405" s="2" t="s">
        <v>453</v>
      </c>
      <c r="EH405" s="2">
        <v>0</v>
      </c>
      <c r="EI405" s="2" t="s">
        <v>3</v>
      </c>
      <c r="EJ405" s="2">
        <v>2</v>
      </c>
      <c r="EK405" s="2">
        <v>1518</v>
      </c>
      <c r="EL405" s="2" t="s">
        <v>485</v>
      </c>
      <c r="EM405" s="2" t="s">
        <v>486</v>
      </c>
      <c r="EN405" s="2"/>
      <c r="EO405" s="2" t="s">
        <v>3</v>
      </c>
      <c r="EP405" s="2"/>
      <c r="EQ405" s="2">
        <v>0</v>
      </c>
      <c r="ER405" s="2">
        <v>2.67</v>
      </c>
      <c r="ES405" s="2">
        <v>2.67</v>
      </c>
      <c r="ET405" s="2">
        <v>0</v>
      </c>
      <c r="EU405" s="2">
        <v>0</v>
      </c>
      <c r="EV405" s="2">
        <v>0</v>
      </c>
      <c r="EW405" s="2">
        <v>0</v>
      </c>
      <c r="EX405" s="2">
        <v>0</v>
      </c>
      <c r="EY405" s="2"/>
      <c r="EZ405" s="2"/>
      <c r="FA405" s="2"/>
      <c r="FB405" s="2"/>
      <c r="FC405" s="2"/>
      <c r="FD405" s="2"/>
      <c r="FE405" s="2"/>
      <c r="FF405" s="2"/>
      <c r="FG405" s="2"/>
      <c r="FH405" s="2"/>
      <c r="FI405" s="2"/>
      <c r="FJ405" s="2"/>
      <c r="FK405" s="2"/>
      <c r="FL405" s="2"/>
      <c r="FM405" s="2"/>
      <c r="FN405" s="2"/>
      <c r="FO405" s="2"/>
      <c r="FP405" s="2"/>
      <c r="FQ405" s="2">
        <v>0</v>
      </c>
      <c r="FR405" s="2">
        <f t="shared" si="381"/>
        <v>0</v>
      </c>
      <c r="FS405" s="2">
        <v>0</v>
      </c>
      <c r="FT405" s="2"/>
      <c r="FU405" s="2"/>
      <c r="FV405" s="2"/>
      <c r="FW405" s="2"/>
      <c r="FX405" s="2">
        <v>114</v>
      </c>
      <c r="FY405" s="2">
        <v>67</v>
      </c>
      <c r="FZ405" s="2"/>
      <c r="GA405" s="2" t="s">
        <v>3</v>
      </c>
      <c r="GB405" s="2"/>
      <c r="GC405" s="2"/>
      <c r="GD405" s="2">
        <v>0</v>
      </c>
      <c r="GE405" s="2"/>
      <c r="GF405" s="2">
        <v>1807865182</v>
      </c>
      <c r="GG405" s="2">
        <v>2</v>
      </c>
      <c r="GH405" s="2">
        <v>1</v>
      </c>
      <c r="GI405" s="2">
        <v>3</v>
      </c>
      <c r="GJ405" s="2">
        <v>0</v>
      </c>
      <c r="GK405" s="2">
        <f>ROUND(R405*(R12)/100,2)</f>
        <v>0</v>
      </c>
      <c r="GL405" s="2">
        <f t="shared" si="382"/>
        <v>0</v>
      </c>
      <c r="GM405" s="2">
        <f t="shared" si="383"/>
        <v>13.62</v>
      </c>
      <c r="GN405" s="2">
        <f t="shared" si="384"/>
        <v>0</v>
      </c>
      <c r="GO405" s="2">
        <f t="shared" si="385"/>
        <v>13.62</v>
      </c>
      <c r="GP405" s="2">
        <f t="shared" si="386"/>
        <v>0</v>
      </c>
      <c r="GQ405" s="2"/>
      <c r="GR405" s="2">
        <v>0</v>
      </c>
      <c r="GS405" s="2">
        <v>3</v>
      </c>
      <c r="GT405" s="2">
        <v>0</v>
      </c>
      <c r="GU405" s="2" t="s">
        <v>3</v>
      </c>
      <c r="GV405" s="2">
        <f t="shared" si="387"/>
        <v>0</v>
      </c>
      <c r="GW405" s="2">
        <v>1</v>
      </c>
      <c r="GX405" s="2">
        <f t="shared" si="388"/>
        <v>0</v>
      </c>
      <c r="GY405" s="2"/>
      <c r="GZ405" s="2"/>
      <c r="HA405" s="2">
        <v>0</v>
      </c>
      <c r="HB405" s="2">
        <v>0</v>
      </c>
      <c r="HC405" s="2"/>
      <c r="HD405" s="2"/>
      <c r="HE405" s="2"/>
      <c r="HF405" s="2"/>
      <c r="HG405" s="2"/>
      <c r="HH405" s="2"/>
      <c r="HI405" s="2"/>
      <c r="HJ405" s="2"/>
      <c r="HK405" s="2"/>
      <c r="HL405" s="2"/>
      <c r="HM405" s="2"/>
      <c r="HN405" s="2"/>
      <c r="HO405" s="2"/>
      <c r="HP405" s="2"/>
      <c r="HQ405" s="2"/>
      <c r="HR405" s="2"/>
      <c r="HS405" s="2"/>
      <c r="HT405" s="2"/>
      <c r="HU405" s="2"/>
      <c r="HV405" s="2"/>
      <c r="HW405" s="2"/>
      <c r="HX405" s="2"/>
      <c r="HY405" s="2"/>
      <c r="HZ405" s="2"/>
      <c r="IA405" s="2"/>
      <c r="IB405" s="2"/>
      <c r="IC405" s="2"/>
      <c r="ID405" s="2"/>
      <c r="IE405" s="2"/>
      <c r="IF405" s="2"/>
      <c r="IG405" s="2"/>
      <c r="IH405" s="2"/>
      <c r="II405" s="2"/>
      <c r="IJ405" s="2"/>
      <c r="IK405" s="2">
        <v>0</v>
      </c>
      <c r="IL405" s="2"/>
      <c r="IM405" s="2"/>
      <c r="IN405" s="2"/>
      <c r="IO405" s="2"/>
      <c r="IP405" s="2"/>
      <c r="IQ405" s="2"/>
      <c r="IR405" s="2"/>
      <c r="IS405" s="2"/>
      <c r="IT405" s="2"/>
      <c r="IU405" s="2"/>
    </row>
    <row r="406" spans="1:255" x14ac:dyDescent="0.2">
      <c r="A406">
        <v>18</v>
      </c>
      <c r="B406">
        <v>1</v>
      </c>
      <c r="C406">
        <v>383</v>
      </c>
      <c r="E406" t="s">
        <v>487</v>
      </c>
      <c r="F406" t="s">
        <v>488</v>
      </c>
      <c r="G406" t="s">
        <v>489</v>
      </c>
      <c r="H406" t="s">
        <v>364</v>
      </c>
      <c r="I406">
        <f>I404*J406</f>
        <v>5.0999999999999996</v>
      </c>
      <c r="J406">
        <v>101.99999999999999</v>
      </c>
      <c r="O406">
        <f t="shared" si="350"/>
        <v>85.38</v>
      </c>
      <c r="P406">
        <f t="shared" si="351"/>
        <v>85.38</v>
      </c>
      <c r="Q406">
        <f t="shared" si="352"/>
        <v>0</v>
      </c>
      <c r="R406">
        <f t="shared" si="353"/>
        <v>0</v>
      </c>
      <c r="S406">
        <f t="shared" si="354"/>
        <v>0</v>
      </c>
      <c r="T406">
        <f t="shared" si="355"/>
        <v>0</v>
      </c>
      <c r="U406">
        <f t="shared" si="356"/>
        <v>0</v>
      </c>
      <c r="V406">
        <f t="shared" si="357"/>
        <v>0</v>
      </c>
      <c r="W406">
        <f t="shared" si="358"/>
        <v>0</v>
      </c>
      <c r="X406">
        <f t="shared" si="359"/>
        <v>0</v>
      </c>
      <c r="Y406">
        <f t="shared" si="360"/>
        <v>0</v>
      </c>
      <c r="AA406">
        <v>45037307</v>
      </c>
      <c r="AB406">
        <f t="shared" si="361"/>
        <v>2.67</v>
      </c>
      <c r="AC406">
        <f t="shared" si="362"/>
        <v>2.67</v>
      </c>
      <c r="AD406">
        <f t="shared" si="390"/>
        <v>0</v>
      </c>
      <c r="AE406">
        <f t="shared" si="390"/>
        <v>0</v>
      </c>
      <c r="AF406">
        <f t="shared" si="390"/>
        <v>0</v>
      </c>
      <c r="AG406">
        <f t="shared" si="366"/>
        <v>0</v>
      </c>
      <c r="AH406">
        <f t="shared" si="391"/>
        <v>0</v>
      </c>
      <c r="AI406">
        <f t="shared" si="391"/>
        <v>0</v>
      </c>
      <c r="AJ406">
        <f t="shared" si="369"/>
        <v>0</v>
      </c>
      <c r="AK406">
        <v>2.67</v>
      </c>
      <c r="AL406">
        <v>2.67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1</v>
      </c>
      <c r="AW406">
        <v>1</v>
      </c>
      <c r="AZ406">
        <v>1</v>
      </c>
      <c r="BA406">
        <v>1</v>
      </c>
      <c r="BB406">
        <v>1</v>
      </c>
      <c r="BC406">
        <v>6.27</v>
      </c>
      <c r="BD406" t="s">
        <v>3</v>
      </c>
      <c r="BE406" t="s">
        <v>3</v>
      </c>
      <c r="BF406" t="s">
        <v>3</v>
      </c>
      <c r="BG406" t="s">
        <v>3</v>
      </c>
      <c r="BH406">
        <v>3</v>
      </c>
      <c r="BI406">
        <v>2</v>
      </c>
      <c r="BJ406" t="s">
        <v>490</v>
      </c>
      <c r="BM406">
        <v>1518</v>
      </c>
      <c r="BN406">
        <v>7156650</v>
      </c>
      <c r="BO406" t="s">
        <v>488</v>
      </c>
      <c r="BP406">
        <v>1</v>
      </c>
      <c r="BQ406">
        <v>40</v>
      </c>
      <c r="BR406">
        <v>0</v>
      </c>
      <c r="BS406">
        <v>1</v>
      </c>
      <c r="BT406">
        <v>1</v>
      </c>
      <c r="BU406">
        <v>1</v>
      </c>
      <c r="BV406">
        <v>1</v>
      </c>
      <c r="BW406">
        <v>1</v>
      </c>
      <c r="BX406">
        <v>1</v>
      </c>
      <c r="BY406" t="s">
        <v>3</v>
      </c>
      <c r="BZ406">
        <v>0</v>
      </c>
      <c r="CA406">
        <v>0</v>
      </c>
      <c r="CF406">
        <v>0</v>
      </c>
      <c r="CG406">
        <v>0</v>
      </c>
      <c r="CM406">
        <v>0</v>
      </c>
      <c r="CN406" t="s">
        <v>3</v>
      </c>
      <c r="CO406">
        <v>0</v>
      </c>
      <c r="CP406">
        <f t="shared" si="370"/>
        <v>85.38</v>
      </c>
      <c r="CQ406">
        <f t="shared" si="371"/>
        <v>16.7409</v>
      </c>
      <c r="CR406">
        <f t="shared" si="372"/>
        <v>0</v>
      </c>
      <c r="CS406">
        <f t="shared" si="373"/>
        <v>0</v>
      </c>
      <c r="CT406">
        <f t="shared" si="374"/>
        <v>0</v>
      </c>
      <c r="CU406">
        <f t="shared" si="375"/>
        <v>0</v>
      </c>
      <c r="CV406">
        <f t="shared" si="376"/>
        <v>0</v>
      </c>
      <c r="CW406">
        <f t="shared" si="377"/>
        <v>0</v>
      </c>
      <c r="CX406">
        <f t="shared" si="378"/>
        <v>0</v>
      </c>
      <c r="CY406">
        <f t="shared" si="379"/>
        <v>0</v>
      </c>
      <c r="CZ406">
        <f t="shared" si="380"/>
        <v>0</v>
      </c>
      <c r="DC406" t="s">
        <v>3</v>
      </c>
      <c r="DD406" t="s">
        <v>3</v>
      </c>
      <c r="DE406" t="s">
        <v>3</v>
      </c>
      <c r="DF406" t="s">
        <v>3</v>
      </c>
      <c r="DG406" t="s">
        <v>3</v>
      </c>
      <c r="DH406" t="s">
        <v>3</v>
      </c>
      <c r="DI406" t="s">
        <v>3</v>
      </c>
      <c r="DJ406" t="s">
        <v>3</v>
      </c>
      <c r="DK406" t="s">
        <v>3</v>
      </c>
      <c r="DL406" t="s">
        <v>3</v>
      </c>
      <c r="DM406" t="s">
        <v>3</v>
      </c>
      <c r="DN406">
        <v>114</v>
      </c>
      <c r="DO406">
        <v>67</v>
      </c>
      <c r="DP406">
        <v>1.0469999999999999</v>
      </c>
      <c r="DQ406">
        <v>1</v>
      </c>
      <c r="DU406">
        <v>1003</v>
      </c>
      <c r="DV406" t="s">
        <v>364</v>
      </c>
      <c r="DW406" t="s">
        <v>364</v>
      </c>
      <c r="DX406">
        <v>1</v>
      </c>
      <c r="EE406">
        <v>44848025</v>
      </c>
      <c r="EF406">
        <v>40</v>
      </c>
      <c r="EG406" t="s">
        <v>453</v>
      </c>
      <c r="EH406">
        <v>0</v>
      </c>
      <c r="EI406" t="s">
        <v>3</v>
      </c>
      <c r="EJ406">
        <v>2</v>
      </c>
      <c r="EK406">
        <v>1518</v>
      </c>
      <c r="EL406" t="s">
        <v>485</v>
      </c>
      <c r="EM406" t="s">
        <v>486</v>
      </c>
      <c r="EO406" t="s">
        <v>3</v>
      </c>
      <c r="EQ406">
        <v>0</v>
      </c>
      <c r="ER406">
        <v>2.67</v>
      </c>
      <c r="ES406">
        <v>2.67</v>
      </c>
      <c r="ET406">
        <v>0</v>
      </c>
      <c r="EU406">
        <v>0</v>
      </c>
      <c r="EV406">
        <v>0</v>
      </c>
      <c r="EW406">
        <v>0</v>
      </c>
      <c r="EX406">
        <v>0</v>
      </c>
      <c r="FQ406">
        <v>0</v>
      </c>
      <c r="FR406">
        <f t="shared" si="381"/>
        <v>0</v>
      </c>
      <c r="FS406">
        <v>0</v>
      </c>
      <c r="FX406">
        <v>114</v>
      </c>
      <c r="FY406">
        <v>67</v>
      </c>
      <c r="GA406" t="s">
        <v>3</v>
      </c>
      <c r="GD406">
        <v>0</v>
      </c>
      <c r="GF406">
        <v>1807865182</v>
      </c>
      <c r="GG406">
        <v>2</v>
      </c>
      <c r="GH406">
        <v>1</v>
      </c>
      <c r="GI406">
        <v>3</v>
      </c>
      <c r="GJ406">
        <v>0</v>
      </c>
      <c r="GK406">
        <f>ROUND(R406*(S12)/100,2)</f>
        <v>0</v>
      </c>
      <c r="GL406">
        <f t="shared" si="382"/>
        <v>0</v>
      </c>
      <c r="GM406">
        <f t="shared" si="383"/>
        <v>85.38</v>
      </c>
      <c r="GN406">
        <f t="shared" si="384"/>
        <v>0</v>
      </c>
      <c r="GO406">
        <f t="shared" si="385"/>
        <v>85.38</v>
      </c>
      <c r="GP406">
        <f t="shared" si="386"/>
        <v>0</v>
      </c>
      <c r="GR406">
        <v>0</v>
      </c>
      <c r="GS406">
        <v>3</v>
      </c>
      <c r="GT406">
        <v>0</v>
      </c>
      <c r="GU406" t="s">
        <v>3</v>
      </c>
      <c r="GV406">
        <f t="shared" si="387"/>
        <v>0</v>
      </c>
      <c r="GW406">
        <v>1</v>
      </c>
      <c r="GX406">
        <f t="shared" si="388"/>
        <v>0</v>
      </c>
      <c r="HA406">
        <v>0</v>
      </c>
      <c r="HB406">
        <v>0</v>
      </c>
      <c r="IK406">
        <v>0</v>
      </c>
    </row>
    <row r="407" spans="1:255" x14ac:dyDescent="0.2">
      <c r="A407" s="2">
        <v>18</v>
      </c>
      <c r="B407" s="2">
        <v>1</v>
      </c>
      <c r="C407" s="2">
        <v>381</v>
      </c>
      <c r="D407" s="2"/>
      <c r="E407" s="2" t="s">
        <v>491</v>
      </c>
      <c r="F407" s="2" t="s">
        <v>492</v>
      </c>
      <c r="G407" s="2" t="s">
        <v>493</v>
      </c>
      <c r="H407" s="2" t="s">
        <v>463</v>
      </c>
      <c r="I407" s="2">
        <f>I403*J407</f>
        <v>0.05</v>
      </c>
      <c r="J407" s="2">
        <v>1</v>
      </c>
      <c r="K407" s="2"/>
      <c r="L407" s="2"/>
      <c r="M407" s="2"/>
      <c r="N407" s="2"/>
      <c r="O407" s="2">
        <f t="shared" si="350"/>
        <v>6.78</v>
      </c>
      <c r="P407" s="2">
        <f t="shared" si="351"/>
        <v>6.78</v>
      </c>
      <c r="Q407" s="2">
        <f t="shared" si="352"/>
        <v>0</v>
      </c>
      <c r="R407" s="2">
        <f t="shared" si="353"/>
        <v>0</v>
      </c>
      <c r="S407" s="2">
        <f t="shared" si="354"/>
        <v>0</v>
      </c>
      <c r="T407" s="2">
        <f t="shared" si="355"/>
        <v>0</v>
      </c>
      <c r="U407" s="2">
        <f t="shared" si="356"/>
        <v>0</v>
      </c>
      <c r="V407" s="2">
        <f t="shared" si="357"/>
        <v>0</v>
      </c>
      <c r="W407" s="2">
        <f t="shared" si="358"/>
        <v>0</v>
      </c>
      <c r="X407" s="2">
        <f t="shared" si="359"/>
        <v>0</v>
      </c>
      <c r="Y407" s="2">
        <f t="shared" si="360"/>
        <v>0</v>
      </c>
      <c r="Z407" s="2"/>
      <c r="AA407" s="2">
        <v>45037306</v>
      </c>
      <c r="AB407" s="2">
        <f t="shared" si="361"/>
        <v>135.68</v>
      </c>
      <c r="AC407" s="2">
        <f t="shared" si="362"/>
        <v>135.68</v>
      </c>
      <c r="AD407" s="2">
        <f t="shared" si="390"/>
        <v>0</v>
      </c>
      <c r="AE407" s="2">
        <f t="shared" si="390"/>
        <v>0</v>
      </c>
      <c r="AF407" s="2">
        <f t="shared" si="390"/>
        <v>0</v>
      </c>
      <c r="AG407" s="2">
        <f t="shared" si="366"/>
        <v>0</v>
      </c>
      <c r="AH407" s="2">
        <f t="shared" si="391"/>
        <v>0</v>
      </c>
      <c r="AI407" s="2">
        <f t="shared" si="391"/>
        <v>0</v>
      </c>
      <c r="AJ407" s="2">
        <f t="shared" si="369"/>
        <v>0</v>
      </c>
      <c r="AK407" s="2">
        <v>135.68</v>
      </c>
      <c r="AL407" s="2">
        <v>135.68</v>
      </c>
      <c r="AM407" s="2">
        <v>0</v>
      </c>
      <c r="AN407" s="2">
        <v>0</v>
      </c>
      <c r="AO407" s="2">
        <v>0</v>
      </c>
      <c r="AP407" s="2">
        <v>0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1</v>
      </c>
      <c r="AW407" s="2">
        <v>1</v>
      </c>
      <c r="AX407" s="2"/>
      <c r="AY407" s="2"/>
      <c r="AZ407" s="2">
        <v>1</v>
      </c>
      <c r="BA407" s="2">
        <v>1</v>
      </c>
      <c r="BB407" s="2">
        <v>1</v>
      </c>
      <c r="BC407" s="2">
        <v>1</v>
      </c>
      <c r="BD407" s="2" t="s">
        <v>3</v>
      </c>
      <c r="BE407" s="2" t="s">
        <v>3</v>
      </c>
      <c r="BF407" s="2" t="s">
        <v>3</v>
      </c>
      <c r="BG407" s="2" t="s">
        <v>3</v>
      </c>
      <c r="BH407" s="2">
        <v>3</v>
      </c>
      <c r="BI407" s="2">
        <v>2</v>
      </c>
      <c r="BJ407" s="2" t="s">
        <v>494</v>
      </c>
      <c r="BK407" s="2"/>
      <c r="BL407" s="2"/>
      <c r="BM407" s="2">
        <v>1518</v>
      </c>
      <c r="BN407" s="2">
        <v>7156650</v>
      </c>
      <c r="BO407" s="2" t="s">
        <v>3</v>
      </c>
      <c r="BP407" s="2">
        <v>0</v>
      </c>
      <c r="BQ407" s="2">
        <v>40</v>
      </c>
      <c r="BR407" s="2">
        <v>0</v>
      </c>
      <c r="BS407" s="2">
        <v>1</v>
      </c>
      <c r="BT407" s="2">
        <v>1</v>
      </c>
      <c r="BU407" s="2">
        <v>1</v>
      </c>
      <c r="BV407" s="2">
        <v>1</v>
      </c>
      <c r="BW407" s="2">
        <v>1</v>
      </c>
      <c r="BX407" s="2">
        <v>1</v>
      </c>
      <c r="BY407" s="2" t="s">
        <v>3</v>
      </c>
      <c r="BZ407" s="2">
        <v>0</v>
      </c>
      <c r="CA407" s="2">
        <v>0</v>
      </c>
      <c r="CB407" s="2"/>
      <c r="CC407" s="2"/>
      <c r="CD407" s="2"/>
      <c r="CE407" s="2"/>
      <c r="CF407" s="2">
        <v>0</v>
      </c>
      <c r="CG407" s="2">
        <v>0</v>
      </c>
      <c r="CH407" s="2"/>
      <c r="CI407" s="2"/>
      <c r="CJ407" s="2"/>
      <c r="CK407" s="2"/>
      <c r="CL407" s="2"/>
      <c r="CM407" s="2">
        <v>0</v>
      </c>
      <c r="CN407" s="2" t="s">
        <v>3</v>
      </c>
      <c r="CO407" s="2">
        <v>0</v>
      </c>
      <c r="CP407" s="2">
        <f t="shared" si="370"/>
        <v>6.78</v>
      </c>
      <c r="CQ407" s="2">
        <f t="shared" si="371"/>
        <v>135.68</v>
      </c>
      <c r="CR407" s="2">
        <f t="shared" si="372"/>
        <v>0</v>
      </c>
      <c r="CS407" s="2">
        <f t="shared" si="373"/>
        <v>0</v>
      </c>
      <c r="CT407" s="2">
        <f t="shared" si="374"/>
        <v>0</v>
      </c>
      <c r="CU407" s="2">
        <f t="shared" si="375"/>
        <v>0</v>
      </c>
      <c r="CV407" s="2">
        <f t="shared" si="376"/>
        <v>0</v>
      </c>
      <c r="CW407" s="2">
        <f t="shared" si="377"/>
        <v>0</v>
      </c>
      <c r="CX407" s="2">
        <f t="shared" si="378"/>
        <v>0</v>
      </c>
      <c r="CY407" s="2">
        <f t="shared" si="379"/>
        <v>0</v>
      </c>
      <c r="CZ407" s="2">
        <f t="shared" si="380"/>
        <v>0</v>
      </c>
      <c r="DA407" s="2"/>
      <c r="DB407" s="2"/>
      <c r="DC407" s="2" t="s">
        <v>3</v>
      </c>
      <c r="DD407" s="2" t="s">
        <v>3</v>
      </c>
      <c r="DE407" s="2" t="s">
        <v>3</v>
      </c>
      <c r="DF407" s="2" t="s">
        <v>3</v>
      </c>
      <c r="DG407" s="2" t="s">
        <v>3</v>
      </c>
      <c r="DH407" s="2" t="s">
        <v>3</v>
      </c>
      <c r="DI407" s="2" t="s">
        <v>3</v>
      </c>
      <c r="DJ407" s="2" t="s">
        <v>3</v>
      </c>
      <c r="DK407" s="2" t="s">
        <v>3</v>
      </c>
      <c r="DL407" s="2" t="s">
        <v>3</v>
      </c>
      <c r="DM407" s="2" t="s">
        <v>3</v>
      </c>
      <c r="DN407" s="2">
        <v>114</v>
      </c>
      <c r="DO407" s="2">
        <v>67</v>
      </c>
      <c r="DP407" s="2">
        <v>1.0469999999999999</v>
      </c>
      <c r="DQ407" s="2">
        <v>1</v>
      </c>
      <c r="DR407" s="2"/>
      <c r="DS407" s="2"/>
      <c r="DT407" s="2"/>
      <c r="DU407" s="2">
        <v>1010</v>
      </c>
      <c r="DV407" s="2" t="s">
        <v>463</v>
      </c>
      <c r="DW407" s="2" t="s">
        <v>463</v>
      </c>
      <c r="DX407" s="2">
        <v>100</v>
      </c>
      <c r="DY407" s="2"/>
      <c r="DZ407" s="2"/>
      <c r="EA407" s="2"/>
      <c r="EB407" s="2"/>
      <c r="EC407" s="2"/>
      <c r="ED407" s="2"/>
      <c r="EE407" s="2">
        <v>44848025</v>
      </c>
      <c r="EF407" s="2">
        <v>40</v>
      </c>
      <c r="EG407" s="2" t="s">
        <v>453</v>
      </c>
      <c r="EH407" s="2">
        <v>0</v>
      </c>
      <c r="EI407" s="2" t="s">
        <v>3</v>
      </c>
      <c r="EJ407" s="2">
        <v>2</v>
      </c>
      <c r="EK407" s="2">
        <v>1518</v>
      </c>
      <c r="EL407" s="2" t="s">
        <v>485</v>
      </c>
      <c r="EM407" s="2" t="s">
        <v>486</v>
      </c>
      <c r="EN407" s="2"/>
      <c r="EO407" s="2" t="s">
        <v>3</v>
      </c>
      <c r="EP407" s="2"/>
      <c r="EQ407" s="2">
        <v>0</v>
      </c>
      <c r="ER407" s="2">
        <v>135.68</v>
      </c>
      <c r="ES407" s="2">
        <v>135.68</v>
      </c>
      <c r="ET407" s="2">
        <v>0</v>
      </c>
      <c r="EU407" s="2">
        <v>0</v>
      </c>
      <c r="EV407" s="2">
        <v>0</v>
      </c>
      <c r="EW407" s="2">
        <v>0</v>
      </c>
      <c r="EX407" s="2">
        <v>0</v>
      </c>
      <c r="EY407" s="2"/>
      <c r="EZ407" s="2"/>
      <c r="FA407" s="2"/>
      <c r="FB407" s="2"/>
      <c r="FC407" s="2"/>
      <c r="FD407" s="2"/>
      <c r="FE407" s="2"/>
      <c r="FF407" s="2"/>
      <c r="FG407" s="2"/>
      <c r="FH407" s="2"/>
      <c r="FI407" s="2"/>
      <c r="FJ407" s="2"/>
      <c r="FK407" s="2"/>
      <c r="FL407" s="2"/>
      <c r="FM407" s="2"/>
      <c r="FN407" s="2"/>
      <c r="FO407" s="2"/>
      <c r="FP407" s="2"/>
      <c r="FQ407" s="2">
        <v>0</v>
      </c>
      <c r="FR407" s="2">
        <f t="shared" si="381"/>
        <v>0</v>
      </c>
      <c r="FS407" s="2">
        <v>0</v>
      </c>
      <c r="FT407" s="2"/>
      <c r="FU407" s="2"/>
      <c r="FV407" s="2"/>
      <c r="FW407" s="2"/>
      <c r="FX407" s="2">
        <v>114</v>
      </c>
      <c r="FY407" s="2">
        <v>67</v>
      </c>
      <c r="FZ407" s="2"/>
      <c r="GA407" s="2" t="s">
        <v>3</v>
      </c>
      <c r="GB407" s="2"/>
      <c r="GC407" s="2"/>
      <c r="GD407" s="2">
        <v>0</v>
      </c>
      <c r="GE407" s="2"/>
      <c r="GF407" s="2">
        <v>-975574283</v>
      </c>
      <c r="GG407" s="2">
        <v>2</v>
      </c>
      <c r="GH407" s="2">
        <v>1</v>
      </c>
      <c r="GI407" s="2">
        <v>3</v>
      </c>
      <c r="GJ407" s="2">
        <v>0</v>
      </c>
      <c r="GK407" s="2">
        <f>ROUND(R407*(R12)/100,2)</f>
        <v>0</v>
      </c>
      <c r="GL407" s="2">
        <f t="shared" si="382"/>
        <v>0</v>
      </c>
      <c r="GM407" s="2">
        <f t="shared" si="383"/>
        <v>6.78</v>
      </c>
      <c r="GN407" s="2">
        <f t="shared" si="384"/>
        <v>0</v>
      </c>
      <c r="GO407" s="2">
        <f t="shared" si="385"/>
        <v>6.78</v>
      </c>
      <c r="GP407" s="2">
        <f t="shared" si="386"/>
        <v>0</v>
      </c>
      <c r="GQ407" s="2"/>
      <c r="GR407" s="2">
        <v>0</v>
      </c>
      <c r="GS407" s="2">
        <v>3</v>
      </c>
      <c r="GT407" s="2">
        <v>0</v>
      </c>
      <c r="GU407" s="2" t="s">
        <v>3</v>
      </c>
      <c r="GV407" s="2">
        <f t="shared" si="387"/>
        <v>0</v>
      </c>
      <c r="GW407" s="2">
        <v>1</v>
      </c>
      <c r="GX407" s="2">
        <f t="shared" si="388"/>
        <v>0</v>
      </c>
      <c r="GY407" s="2"/>
      <c r="GZ407" s="2"/>
      <c r="HA407" s="2">
        <v>0</v>
      </c>
      <c r="HB407" s="2">
        <v>0</v>
      </c>
      <c r="HC407" s="2"/>
      <c r="HD407" s="2"/>
      <c r="HE407" s="2"/>
      <c r="HF407" s="2"/>
      <c r="HG407" s="2"/>
      <c r="HH407" s="2"/>
      <c r="HI407" s="2"/>
      <c r="HJ407" s="2"/>
      <c r="HK407" s="2"/>
      <c r="HL407" s="2"/>
      <c r="HM407" s="2"/>
      <c r="HN407" s="2"/>
      <c r="HO407" s="2"/>
      <c r="HP407" s="2"/>
      <c r="HQ407" s="2"/>
      <c r="HR407" s="2"/>
      <c r="HS407" s="2"/>
      <c r="HT407" s="2"/>
      <c r="HU407" s="2"/>
      <c r="HV407" s="2"/>
      <c r="HW407" s="2"/>
      <c r="HX407" s="2"/>
      <c r="HY407" s="2"/>
      <c r="HZ407" s="2"/>
      <c r="IA407" s="2"/>
      <c r="IB407" s="2"/>
      <c r="IC407" s="2"/>
      <c r="ID407" s="2"/>
      <c r="IE407" s="2"/>
      <c r="IF407" s="2"/>
      <c r="IG407" s="2"/>
      <c r="IH407" s="2"/>
      <c r="II407" s="2"/>
      <c r="IJ407" s="2"/>
      <c r="IK407" s="2">
        <v>0</v>
      </c>
      <c r="IL407" s="2"/>
      <c r="IM407" s="2"/>
      <c r="IN407" s="2"/>
      <c r="IO407" s="2"/>
      <c r="IP407" s="2"/>
      <c r="IQ407" s="2"/>
      <c r="IR407" s="2"/>
      <c r="IS407" s="2"/>
      <c r="IT407" s="2"/>
      <c r="IU407" s="2"/>
    </row>
    <row r="408" spans="1:255" x14ac:dyDescent="0.2">
      <c r="A408">
        <v>18</v>
      </c>
      <c r="B408">
        <v>1</v>
      </c>
      <c r="C408">
        <v>384</v>
      </c>
      <c r="E408" t="s">
        <v>491</v>
      </c>
      <c r="F408" t="s">
        <v>492</v>
      </c>
      <c r="G408" t="s">
        <v>493</v>
      </c>
      <c r="H408" t="s">
        <v>463</v>
      </c>
      <c r="I408">
        <f>I404*J408</f>
        <v>0.05</v>
      </c>
      <c r="J408">
        <v>1</v>
      </c>
      <c r="O408">
        <f t="shared" si="350"/>
        <v>8.6199999999999992</v>
      </c>
      <c r="P408">
        <f t="shared" si="351"/>
        <v>8.6199999999999992</v>
      </c>
      <c r="Q408">
        <f t="shared" si="352"/>
        <v>0</v>
      </c>
      <c r="R408">
        <f t="shared" si="353"/>
        <v>0</v>
      </c>
      <c r="S408">
        <f t="shared" si="354"/>
        <v>0</v>
      </c>
      <c r="T408">
        <f t="shared" si="355"/>
        <v>0</v>
      </c>
      <c r="U408">
        <f t="shared" si="356"/>
        <v>0</v>
      </c>
      <c r="V408">
        <f t="shared" si="357"/>
        <v>0</v>
      </c>
      <c r="W408">
        <f t="shared" si="358"/>
        <v>0</v>
      </c>
      <c r="X408">
        <f t="shared" si="359"/>
        <v>0</v>
      </c>
      <c r="Y408">
        <f t="shared" si="360"/>
        <v>0</v>
      </c>
      <c r="AA408">
        <v>45037307</v>
      </c>
      <c r="AB408">
        <f t="shared" si="361"/>
        <v>135.68</v>
      </c>
      <c r="AC408">
        <f t="shared" si="362"/>
        <v>135.68</v>
      </c>
      <c r="AD408">
        <f t="shared" si="390"/>
        <v>0</v>
      </c>
      <c r="AE408">
        <f t="shared" si="390"/>
        <v>0</v>
      </c>
      <c r="AF408">
        <f t="shared" si="390"/>
        <v>0</v>
      </c>
      <c r="AG408">
        <f t="shared" si="366"/>
        <v>0</v>
      </c>
      <c r="AH408">
        <f t="shared" si="391"/>
        <v>0</v>
      </c>
      <c r="AI408">
        <f t="shared" si="391"/>
        <v>0</v>
      </c>
      <c r="AJ408">
        <f t="shared" si="369"/>
        <v>0</v>
      </c>
      <c r="AK408">
        <v>135.68</v>
      </c>
      <c r="AL408">
        <v>135.68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1</v>
      </c>
      <c r="AW408">
        <v>1</v>
      </c>
      <c r="AZ408">
        <v>1</v>
      </c>
      <c r="BA408">
        <v>1</v>
      </c>
      <c r="BB408">
        <v>1</v>
      </c>
      <c r="BC408">
        <v>1.27</v>
      </c>
      <c r="BD408" t="s">
        <v>3</v>
      </c>
      <c r="BE408" t="s">
        <v>3</v>
      </c>
      <c r="BF408" t="s">
        <v>3</v>
      </c>
      <c r="BG408" t="s">
        <v>3</v>
      </c>
      <c r="BH408">
        <v>3</v>
      </c>
      <c r="BI408">
        <v>2</v>
      </c>
      <c r="BJ408" t="s">
        <v>494</v>
      </c>
      <c r="BM408">
        <v>1518</v>
      </c>
      <c r="BN408">
        <v>7156650</v>
      </c>
      <c r="BO408" t="s">
        <v>492</v>
      </c>
      <c r="BP408">
        <v>1</v>
      </c>
      <c r="BQ408">
        <v>40</v>
      </c>
      <c r="BR408">
        <v>0</v>
      </c>
      <c r="BS408">
        <v>1</v>
      </c>
      <c r="BT408">
        <v>1</v>
      </c>
      <c r="BU408">
        <v>1</v>
      </c>
      <c r="BV408">
        <v>1</v>
      </c>
      <c r="BW408">
        <v>1</v>
      </c>
      <c r="BX408">
        <v>1</v>
      </c>
      <c r="BY408" t="s">
        <v>3</v>
      </c>
      <c r="BZ408">
        <v>0</v>
      </c>
      <c r="CA408">
        <v>0</v>
      </c>
      <c r="CF408">
        <v>0</v>
      </c>
      <c r="CG408">
        <v>0</v>
      </c>
      <c r="CM408">
        <v>0</v>
      </c>
      <c r="CN408" t="s">
        <v>3</v>
      </c>
      <c r="CO408">
        <v>0</v>
      </c>
      <c r="CP408">
        <f t="shared" si="370"/>
        <v>8.6199999999999992</v>
      </c>
      <c r="CQ408">
        <f t="shared" si="371"/>
        <v>172.31360000000001</v>
      </c>
      <c r="CR408">
        <f t="shared" si="372"/>
        <v>0</v>
      </c>
      <c r="CS408">
        <f t="shared" si="373"/>
        <v>0</v>
      </c>
      <c r="CT408">
        <f t="shared" si="374"/>
        <v>0</v>
      </c>
      <c r="CU408">
        <f t="shared" si="375"/>
        <v>0</v>
      </c>
      <c r="CV408">
        <f t="shared" si="376"/>
        <v>0</v>
      </c>
      <c r="CW408">
        <f t="shared" si="377"/>
        <v>0</v>
      </c>
      <c r="CX408">
        <f t="shared" si="378"/>
        <v>0</v>
      </c>
      <c r="CY408">
        <f t="shared" si="379"/>
        <v>0</v>
      </c>
      <c r="CZ408">
        <f t="shared" si="380"/>
        <v>0</v>
      </c>
      <c r="DC408" t="s">
        <v>3</v>
      </c>
      <c r="DD408" t="s">
        <v>3</v>
      </c>
      <c r="DE408" t="s">
        <v>3</v>
      </c>
      <c r="DF408" t="s">
        <v>3</v>
      </c>
      <c r="DG408" t="s">
        <v>3</v>
      </c>
      <c r="DH408" t="s">
        <v>3</v>
      </c>
      <c r="DI408" t="s">
        <v>3</v>
      </c>
      <c r="DJ408" t="s">
        <v>3</v>
      </c>
      <c r="DK408" t="s">
        <v>3</v>
      </c>
      <c r="DL408" t="s">
        <v>3</v>
      </c>
      <c r="DM408" t="s">
        <v>3</v>
      </c>
      <c r="DN408">
        <v>114</v>
      </c>
      <c r="DO408">
        <v>67</v>
      </c>
      <c r="DP408">
        <v>1.0469999999999999</v>
      </c>
      <c r="DQ408">
        <v>1</v>
      </c>
      <c r="DU408">
        <v>1010</v>
      </c>
      <c r="DV408" t="s">
        <v>463</v>
      </c>
      <c r="DW408" t="s">
        <v>463</v>
      </c>
      <c r="DX408">
        <v>100</v>
      </c>
      <c r="EE408">
        <v>44848025</v>
      </c>
      <c r="EF408">
        <v>40</v>
      </c>
      <c r="EG408" t="s">
        <v>453</v>
      </c>
      <c r="EH408">
        <v>0</v>
      </c>
      <c r="EI408" t="s">
        <v>3</v>
      </c>
      <c r="EJ408">
        <v>2</v>
      </c>
      <c r="EK408">
        <v>1518</v>
      </c>
      <c r="EL408" t="s">
        <v>485</v>
      </c>
      <c r="EM408" t="s">
        <v>486</v>
      </c>
      <c r="EO408" t="s">
        <v>3</v>
      </c>
      <c r="EQ408">
        <v>0</v>
      </c>
      <c r="ER408">
        <v>135.68</v>
      </c>
      <c r="ES408">
        <v>135.68</v>
      </c>
      <c r="ET408">
        <v>0</v>
      </c>
      <c r="EU408">
        <v>0</v>
      </c>
      <c r="EV408">
        <v>0</v>
      </c>
      <c r="EW408">
        <v>0</v>
      </c>
      <c r="EX408">
        <v>0</v>
      </c>
      <c r="FQ408">
        <v>0</v>
      </c>
      <c r="FR408">
        <f t="shared" si="381"/>
        <v>0</v>
      </c>
      <c r="FS408">
        <v>0</v>
      </c>
      <c r="FX408">
        <v>114</v>
      </c>
      <c r="FY408">
        <v>67</v>
      </c>
      <c r="GA408" t="s">
        <v>3</v>
      </c>
      <c r="GD408">
        <v>0</v>
      </c>
      <c r="GF408">
        <v>-975574283</v>
      </c>
      <c r="GG408">
        <v>2</v>
      </c>
      <c r="GH408">
        <v>1</v>
      </c>
      <c r="GI408">
        <v>3</v>
      </c>
      <c r="GJ408">
        <v>0</v>
      </c>
      <c r="GK408">
        <f>ROUND(R408*(S12)/100,2)</f>
        <v>0</v>
      </c>
      <c r="GL408">
        <f t="shared" si="382"/>
        <v>0</v>
      </c>
      <c r="GM408">
        <f t="shared" si="383"/>
        <v>8.6199999999999992</v>
      </c>
      <c r="GN408">
        <f t="shared" si="384"/>
        <v>0</v>
      </c>
      <c r="GO408">
        <f t="shared" si="385"/>
        <v>8.6199999999999992</v>
      </c>
      <c r="GP408">
        <f t="shared" si="386"/>
        <v>0</v>
      </c>
      <c r="GR408">
        <v>0</v>
      </c>
      <c r="GS408">
        <v>3</v>
      </c>
      <c r="GT408">
        <v>0</v>
      </c>
      <c r="GU408" t="s">
        <v>3</v>
      </c>
      <c r="GV408">
        <f t="shared" si="387"/>
        <v>0</v>
      </c>
      <c r="GW408">
        <v>1</v>
      </c>
      <c r="GX408">
        <f t="shared" si="388"/>
        <v>0</v>
      </c>
      <c r="HA408">
        <v>0</v>
      </c>
      <c r="HB408">
        <v>0</v>
      </c>
      <c r="IK408">
        <v>0</v>
      </c>
    </row>
    <row r="409" spans="1:255" x14ac:dyDescent="0.2">
      <c r="A409" s="2">
        <v>17</v>
      </c>
      <c r="B409" s="2">
        <v>1</v>
      </c>
      <c r="C409" s="2">
        <f>ROW(SmtRes!A386)</f>
        <v>386</v>
      </c>
      <c r="D409" s="2">
        <f>ROW(EtalonRes!A371)</f>
        <v>371</v>
      </c>
      <c r="E409" s="2" t="s">
        <v>495</v>
      </c>
      <c r="F409" s="2" t="s">
        <v>496</v>
      </c>
      <c r="G409" s="2" t="s">
        <v>497</v>
      </c>
      <c r="H409" s="2" t="s">
        <v>483</v>
      </c>
      <c r="I409" s="2">
        <f>ROUND(5/100,9)</f>
        <v>0.05</v>
      </c>
      <c r="J409" s="2">
        <v>0</v>
      </c>
      <c r="K409" s="2"/>
      <c r="L409" s="2"/>
      <c r="M409" s="2"/>
      <c r="N409" s="2"/>
      <c r="O409" s="2">
        <f t="shared" si="350"/>
        <v>4.0199999999999996</v>
      </c>
      <c r="P409" s="2">
        <f t="shared" si="351"/>
        <v>0.32</v>
      </c>
      <c r="Q409" s="2">
        <f t="shared" si="352"/>
        <v>0.05</v>
      </c>
      <c r="R409" s="2">
        <f t="shared" si="353"/>
        <v>0.01</v>
      </c>
      <c r="S409" s="2">
        <f t="shared" si="354"/>
        <v>3.65</v>
      </c>
      <c r="T409" s="2">
        <f t="shared" si="355"/>
        <v>0</v>
      </c>
      <c r="U409" s="2">
        <f t="shared" si="356"/>
        <v>0.29612500000000003</v>
      </c>
      <c r="V409" s="2">
        <f t="shared" si="357"/>
        <v>0</v>
      </c>
      <c r="W409" s="2">
        <f t="shared" si="358"/>
        <v>0</v>
      </c>
      <c r="X409" s="2">
        <f t="shared" si="359"/>
        <v>0</v>
      </c>
      <c r="Y409" s="2">
        <f t="shared" si="360"/>
        <v>0</v>
      </c>
      <c r="Z409" s="2"/>
      <c r="AA409" s="2">
        <v>45037306</v>
      </c>
      <c r="AB409" s="2">
        <f t="shared" si="361"/>
        <v>80.457499999999996</v>
      </c>
      <c r="AC409" s="2">
        <f t="shared" si="362"/>
        <v>6.37</v>
      </c>
      <c r="AD409" s="2">
        <f>ROUND(((ET409*1.25)),6)</f>
        <v>1.0625</v>
      </c>
      <c r="AE409" s="2">
        <f>ROUND(((EU409*1.25)),6)</f>
        <v>0.25</v>
      </c>
      <c r="AF409" s="2">
        <f>ROUND(((EV409*1.15)),6)</f>
        <v>73.025000000000006</v>
      </c>
      <c r="AG409" s="2">
        <f t="shared" si="366"/>
        <v>0</v>
      </c>
      <c r="AH409" s="2">
        <f>((EW409*1.15))</f>
        <v>5.9225000000000003</v>
      </c>
      <c r="AI409" s="2">
        <f>((EX409*1.25))</f>
        <v>0</v>
      </c>
      <c r="AJ409" s="2">
        <f t="shared" si="369"/>
        <v>0</v>
      </c>
      <c r="AK409" s="2">
        <v>70.72</v>
      </c>
      <c r="AL409" s="2">
        <v>6.37</v>
      </c>
      <c r="AM409" s="2">
        <v>0.85</v>
      </c>
      <c r="AN409" s="2">
        <v>0.2</v>
      </c>
      <c r="AO409" s="2">
        <v>63.5</v>
      </c>
      <c r="AP409" s="2">
        <v>0</v>
      </c>
      <c r="AQ409" s="2">
        <v>5.15</v>
      </c>
      <c r="AR409" s="2">
        <v>0</v>
      </c>
      <c r="AS409" s="2">
        <v>0</v>
      </c>
      <c r="AT409" s="2">
        <v>0</v>
      </c>
      <c r="AU409" s="2">
        <v>0</v>
      </c>
      <c r="AV409" s="2">
        <v>1</v>
      </c>
      <c r="AW409" s="2">
        <v>1</v>
      </c>
      <c r="AX409" s="2"/>
      <c r="AY409" s="2"/>
      <c r="AZ409" s="2">
        <v>1</v>
      </c>
      <c r="BA409" s="2">
        <v>1</v>
      </c>
      <c r="BB409" s="2">
        <v>1</v>
      </c>
      <c r="BC409" s="2">
        <v>1</v>
      </c>
      <c r="BD409" s="2" t="s">
        <v>3</v>
      </c>
      <c r="BE409" s="2" t="s">
        <v>3</v>
      </c>
      <c r="BF409" s="2" t="s">
        <v>3</v>
      </c>
      <c r="BG409" s="2" t="s">
        <v>3</v>
      </c>
      <c r="BH409" s="2">
        <v>0</v>
      </c>
      <c r="BI409" s="2">
        <v>2</v>
      </c>
      <c r="BJ409" s="2" t="s">
        <v>498</v>
      </c>
      <c r="BK409" s="2"/>
      <c r="BL409" s="2"/>
      <c r="BM409" s="2">
        <v>331</v>
      </c>
      <c r="BN409" s="2">
        <v>7156650</v>
      </c>
      <c r="BO409" s="2" t="s">
        <v>3</v>
      </c>
      <c r="BP409" s="2">
        <v>0</v>
      </c>
      <c r="BQ409" s="2">
        <v>40</v>
      </c>
      <c r="BR409" s="2">
        <v>0</v>
      </c>
      <c r="BS409" s="2">
        <v>1</v>
      </c>
      <c r="BT409" s="2">
        <v>1</v>
      </c>
      <c r="BU409" s="2">
        <v>1</v>
      </c>
      <c r="BV409" s="2">
        <v>1</v>
      </c>
      <c r="BW409" s="2">
        <v>1</v>
      </c>
      <c r="BX409" s="2">
        <v>1</v>
      </c>
      <c r="BY409" s="2" t="s">
        <v>3</v>
      </c>
      <c r="BZ409" s="2">
        <v>0</v>
      </c>
      <c r="CA409" s="2">
        <v>0</v>
      </c>
      <c r="CB409" s="2"/>
      <c r="CC409" s="2"/>
      <c r="CD409" s="2"/>
      <c r="CE409" s="2"/>
      <c r="CF409" s="2">
        <v>0</v>
      </c>
      <c r="CG409" s="2">
        <v>0</v>
      </c>
      <c r="CH409" s="2"/>
      <c r="CI409" s="2"/>
      <c r="CJ409" s="2"/>
      <c r="CK409" s="2"/>
      <c r="CL409" s="2"/>
      <c r="CM409" s="2">
        <v>0</v>
      </c>
      <c r="CN409" s="2" t="s">
        <v>3</v>
      </c>
      <c r="CO409" s="2">
        <v>0</v>
      </c>
      <c r="CP409" s="2">
        <f t="shared" si="370"/>
        <v>4.0199999999999996</v>
      </c>
      <c r="CQ409" s="2">
        <f t="shared" si="371"/>
        <v>6.37</v>
      </c>
      <c r="CR409" s="2">
        <f t="shared" si="372"/>
        <v>1.0625</v>
      </c>
      <c r="CS409" s="2">
        <f t="shared" si="373"/>
        <v>0.25</v>
      </c>
      <c r="CT409" s="2">
        <f t="shared" si="374"/>
        <v>73.025000000000006</v>
      </c>
      <c r="CU409" s="2">
        <f t="shared" si="375"/>
        <v>0</v>
      </c>
      <c r="CV409" s="2">
        <f t="shared" si="376"/>
        <v>5.9225000000000003</v>
      </c>
      <c r="CW409" s="2">
        <f t="shared" si="377"/>
        <v>0</v>
      </c>
      <c r="CX409" s="2">
        <f t="shared" si="378"/>
        <v>0</v>
      </c>
      <c r="CY409" s="2">
        <f t="shared" si="379"/>
        <v>0</v>
      </c>
      <c r="CZ409" s="2">
        <f t="shared" si="380"/>
        <v>0</v>
      </c>
      <c r="DA409" s="2"/>
      <c r="DB409" s="2"/>
      <c r="DC409" s="2" t="s">
        <v>3</v>
      </c>
      <c r="DD409" s="2" t="s">
        <v>3</v>
      </c>
      <c r="DE409" s="2" t="s">
        <v>36</v>
      </c>
      <c r="DF409" s="2" t="s">
        <v>36</v>
      </c>
      <c r="DG409" s="2" t="s">
        <v>37</v>
      </c>
      <c r="DH409" s="2" t="s">
        <v>3</v>
      </c>
      <c r="DI409" s="2" t="s">
        <v>37</v>
      </c>
      <c r="DJ409" s="2" t="s">
        <v>36</v>
      </c>
      <c r="DK409" s="2" t="s">
        <v>3</v>
      </c>
      <c r="DL409" s="2" t="s">
        <v>3</v>
      </c>
      <c r="DM409" s="2" t="s">
        <v>3</v>
      </c>
      <c r="DN409" s="2">
        <v>114</v>
      </c>
      <c r="DO409" s="2">
        <v>67</v>
      </c>
      <c r="DP409" s="2">
        <v>1.0469999999999999</v>
      </c>
      <c r="DQ409" s="2">
        <v>1</v>
      </c>
      <c r="DR409" s="2"/>
      <c r="DS409" s="2"/>
      <c r="DT409" s="2"/>
      <c r="DU409" s="2">
        <v>1003</v>
      </c>
      <c r="DV409" s="2" t="s">
        <v>483</v>
      </c>
      <c r="DW409" s="2" t="s">
        <v>483</v>
      </c>
      <c r="DX409" s="2">
        <v>100</v>
      </c>
      <c r="DY409" s="2"/>
      <c r="DZ409" s="2"/>
      <c r="EA409" s="2"/>
      <c r="EB409" s="2"/>
      <c r="EC409" s="2"/>
      <c r="ED409" s="2"/>
      <c r="EE409" s="2">
        <v>44846838</v>
      </c>
      <c r="EF409" s="2">
        <v>40</v>
      </c>
      <c r="EG409" s="2" t="s">
        <v>453</v>
      </c>
      <c r="EH409" s="2">
        <v>0</v>
      </c>
      <c r="EI409" s="2" t="s">
        <v>3</v>
      </c>
      <c r="EJ409" s="2">
        <v>2</v>
      </c>
      <c r="EK409" s="2">
        <v>331</v>
      </c>
      <c r="EL409" s="2" t="s">
        <v>499</v>
      </c>
      <c r="EM409" s="2" t="s">
        <v>500</v>
      </c>
      <c r="EN409" s="2"/>
      <c r="EO409" s="2" t="s">
        <v>3</v>
      </c>
      <c r="EP409" s="2"/>
      <c r="EQ409" s="2">
        <v>131072</v>
      </c>
      <c r="ER409" s="2">
        <v>70.72</v>
      </c>
      <c r="ES409" s="2">
        <v>6.37</v>
      </c>
      <c r="ET409" s="2">
        <v>0.85</v>
      </c>
      <c r="EU409" s="2">
        <v>0.2</v>
      </c>
      <c r="EV409" s="2">
        <v>63.5</v>
      </c>
      <c r="EW409" s="2">
        <v>5.15</v>
      </c>
      <c r="EX409" s="2">
        <v>0</v>
      </c>
      <c r="EY409" s="2">
        <v>0</v>
      </c>
      <c r="EZ409" s="2"/>
      <c r="FA409" s="2"/>
      <c r="FB409" s="2"/>
      <c r="FC409" s="2"/>
      <c r="FD409" s="2"/>
      <c r="FE409" s="2"/>
      <c r="FF409" s="2"/>
      <c r="FG409" s="2"/>
      <c r="FH409" s="2"/>
      <c r="FI409" s="2"/>
      <c r="FJ409" s="2"/>
      <c r="FK409" s="2"/>
      <c r="FL409" s="2"/>
      <c r="FM409" s="2"/>
      <c r="FN409" s="2"/>
      <c r="FO409" s="2"/>
      <c r="FP409" s="2"/>
      <c r="FQ409" s="2">
        <v>0</v>
      </c>
      <c r="FR409" s="2">
        <f t="shared" si="381"/>
        <v>0</v>
      </c>
      <c r="FS409" s="2">
        <v>0</v>
      </c>
      <c r="FT409" s="2"/>
      <c r="FU409" s="2"/>
      <c r="FV409" s="2"/>
      <c r="FW409" s="2"/>
      <c r="FX409" s="2">
        <v>114</v>
      </c>
      <c r="FY409" s="2">
        <v>67</v>
      </c>
      <c r="FZ409" s="2"/>
      <c r="GA409" s="2" t="s">
        <v>3</v>
      </c>
      <c r="GB409" s="2"/>
      <c r="GC409" s="2"/>
      <c r="GD409" s="2">
        <v>0</v>
      </c>
      <c r="GE409" s="2"/>
      <c r="GF409" s="2">
        <v>2086493071</v>
      </c>
      <c r="GG409" s="2">
        <v>2</v>
      </c>
      <c r="GH409" s="2">
        <v>1</v>
      </c>
      <c r="GI409" s="2">
        <v>3</v>
      </c>
      <c r="GJ409" s="2">
        <v>0</v>
      </c>
      <c r="GK409" s="2">
        <f>ROUND(R409*(R12)/100,2)</f>
        <v>0.02</v>
      </c>
      <c r="GL409" s="2">
        <f t="shared" si="382"/>
        <v>0</v>
      </c>
      <c r="GM409" s="2">
        <f t="shared" si="383"/>
        <v>4.04</v>
      </c>
      <c r="GN409" s="2">
        <f t="shared" si="384"/>
        <v>0</v>
      </c>
      <c r="GO409" s="2">
        <f t="shared" si="385"/>
        <v>4.04</v>
      </c>
      <c r="GP409" s="2">
        <f t="shared" si="386"/>
        <v>0</v>
      </c>
      <c r="GQ409" s="2"/>
      <c r="GR409" s="2">
        <v>0</v>
      </c>
      <c r="GS409" s="2">
        <v>3</v>
      </c>
      <c r="GT409" s="2">
        <v>0</v>
      </c>
      <c r="GU409" s="2" t="s">
        <v>3</v>
      </c>
      <c r="GV409" s="2">
        <f t="shared" si="387"/>
        <v>0</v>
      </c>
      <c r="GW409" s="2">
        <v>1</v>
      </c>
      <c r="GX409" s="2">
        <f t="shared" si="388"/>
        <v>0</v>
      </c>
      <c r="GY409" s="2"/>
      <c r="GZ409" s="2"/>
      <c r="HA409" s="2">
        <v>0</v>
      </c>
      <c r="HB409" s="2">
        <v>0</v>
      </c>
      <c r="HC409" s="2"/>
      <c r="HD409" s="2"/>
      <c r="HE409" s="2"/>
      <c r="HF409" s="2"/>
      <c r="HG409" s="2"/>
      <c r="HH409" s="2"/>
      <c r="HI409" s="2"/>
      <c r="HJ409" s="2"/>
      <c r="HK409" s="2"/>
      <c r="HL409" s="2"/>
      <c r="HM409" s="2"/>
      <c r="HN409" s="2"/>
      <c r="HO409" s="2"/>
      <c r="HP409" s="2"/>
      <c r="HQ409" s="2"/>
      <c r="HR409" s="2"/>
      <c r="HS409" s="2"/>
      <c r="HT409" s="2"/>
      <c r="HU409" s="2"/>
      <c r="HV409" s="2"/>
      <c r="HW409" s="2"/>
      <c r="HX409" s="2"/>
      <c r="HY409" s="2"/>
      <c r="HZ409" s="2"/>
      <c r="IA409" s="2"/>
      <c r="IB409" s="2"/>
      <c r="IC409" s="2"/>
      <c r="ID409" s="2"/>
      <c r="IE409" s="2"/>
      <c r="IF409" s="2"/>
      <c r="IG409" s="2"/>
      <c r="IH409" s="2"/>
      <c r="II409" s="2"/>
      <c r="IJ409" s="2"/>
      <c r="IK409" s="2">
        <v>0</v>
      </c>
      <c r="IL409" s="2"/>
      <c r="IM409" s="2"/>
      <c r="IN409" s="2"/>
      <c r="IO409" s="2"/>
      <c r="IP409" s="2"/>
      <c r="IQ409" s="2"/>
      <c r="IR409" s="2"/>
      <c r="IS409" s="2"/>
      <c r="IT409" s="2"/>
      <c r="IU409" s="2"/>
    </row>
    <row r="410" spans="1:255" x14ac:dyDescent="0.2">
      <c r="A410">
        <v>17</v>
      </c>
      <c r="B410">
        <v>1</v>
      </c>
      <c r="C410">
        <f>ROW(SmtRes!A388)</f>
        <v>388</v>
      </c>
      <c r="D410">
        <f>ROW(EtalonRes!A372)</f>
        <v>372</v>
      </c>
      <c r="E410" t="s">
        <v>495</v>
      </c>
      <c r="F410" t="s">
        <v>496</v>
      </c>
      <c r="G410" t="s">
        <v>497</v>
      </c>
      <c r="H410" t="s">
        <v>483</v>
      </c>
      <c r="I410">
        <f>ROUND(5/100,9)</f>
        <v>0.05</v>
      </c>
      <c r="J410">
        <v>0</v>
      </c>
      <c r="O410">
        <f t="shared" si="350"/>
        <v>76.63</v>
      </c>
      <c r="P410">
        <f t="shared" si="351"/>
        <v>1.67</v>
      </c>
      <c r="Q410">
        <f t="shared" si="352"/>
        <v>0.47</v>
      </c>
      <c r="R410">
        <f t="shared" si="353"/>
        <v>0.26</v>
      </c>
      <c r="S410">
        <f t="shared" si="354"/>
        <v>74.489999999999995</v>
      </c>
      <c r="T410">
        <f t="shared" si="355"/>
        <v>0</v>
      </c>
      <c r="U410">
        <f t="shared" si="356"/>
        <v>0.29612500000000003</v>
      </c>
      <c r="V410">
        <f t="shared" si="357"/>
        <v>0</v>
      </c>
      <c r="W410">
        <f t="shared" si="358"/>
        <v>0</v>
      </c>
      <c r="X410">
        <f t="shared" si="359"/>
        <v>57.36</v>
      </c>
      <c r="Y410">
        <f t="shared" si="360"/>
        <v>30.54</v>
      </c>
      <c r="AA410">
        <v>45037307</v>
      </c>
      <c r="AB410">
        <f t="shared" si="361"/>
        <v>80.457499999999996</v>
      </c>
      <c r="AC410">
        <f t="shared" si="362"/>
        <v>6.37</v>
      </c>
      <c r="AD410">
        <f>ROUND(((ET410*1.25)),6)</f>
        <v>1.0625</v>
      </c>
      <c r="AE410">
        <f>ROUND(((EU410*1.25)),6)</f>
        <v>0.25</v>
      </c>
      <c r="AF410">
        <f>ROUND(((EV410*1.15)),6)</f>
        <v>73.025000000000006</v>
      </c>
      <c r="AG410">
        <f t="shared" si="366"/>
        <v>0</v>
      </c>
      <c r="AH410">
        <f>((EW410*1.15))</f>
        <v>5.9225000000000003</v>
      </c>
      <c r="AI410">
        <f>((EX410*1.25))</f>
        <v>0</v>
      </c>
      <c r="AJ410">
        <f t="shared" si="369"/>
        <v>0</v>
      </c>
      <c r="AK410">
        <v>70.72</v>
      </c>
      <c r="AL410">
        <v>6.37</v>
      </c>
      <c r="AM410">
        <v>0.85</v>
      </c>
      <c r="AN410">
        <v>0.2</v>
      </c>
      <c r="AO410">
        <v>63.5</v>
      </c>
      <c r="AP410">
        <v>0</v>
      </c>
      <c r="AQ410">
        <v>5.15</v>
      </c>
      <c r="AR410">
        <v>0</v>
      </c>
      <c r="AS410">
        <v>0</v>
      </c>
      <c r="AT410">
        <v>77</v>
      </c>
      <c r="AU410">
        <v>41</v>
      </c>
      <c r="AV410">
        <v>1</v>
      </c>
      <c r="AW410">
        <v>1</v>
      </c>
      <c r="AZ410">
        <v>1</v>
      </c>
      <c r="BA410">
        <v>20.399999999999999</v>
      </c>
      <c r="BB410">
        <v>8.93</v>
      </c>
      <c r="BC410">
        <v>5.23</v>
      </c>
      <c r="BD410" t="s">
        <v>3</v>
      </c>
      <c r="BE410" t="s">
        <v>3</v>
      </c>
      <c r="BF410" t="s">
        <v>3</v>
      </c>
      <c r="BG410" t="s">
        <v>3</v>
      </c>
      <c r="BH410">
        <v>0</v>
      </c>
      <c r="BI410">
        <v>2</v>
      </c>
      <c r="BJ410" t="s">
        <v>498</v>
      </c>
      <c r="BM410">
        <v>331</v>
      </c>
      <c r="BN410">
        <v>7156650</v>
      </c>
      <c r="BO410" t="s">
        <v>496</v>
      </c>
      <c r="BP410">
        <v>1</v>
      </c>
      <c r="BQ410">
        <v>40</v>
      </c>
      <c r="BR410">
        <v>0</v>
      </c>
      <c r="BS410">
        <v>20.399999999999999</v>
      </c>
      <c r="BT410">
        <v>1</v>
      </c>
      <c r="BU410">
        <v>1</v>
      </c>
      <c r="BV410">
        <v>1</v>
      </c>
      <c r="BW410">
        <v>1</v>
      </c>
      <c r="BX410">
        <v>1</v>
      </c>
      <c r="BY410" t="s">
        <v>3</v>
      </c>
      <c r="BZ410">
        <v>77</v>
      </c>
      <c r="CA410">
        <v>41</v>
      </c>
      <c r="CF410">
        <v>0</v>
      </c>
      <c r="CG410">
        <v>0</v>
      </c>
      <c r="CM410">
        <v>0</v>
      </c>
      <c r="CN410" t="s">
        <v>3</v>
      </c>
      <c r="CO410">
        <v>0</v>
      </c>
      <c r="CP410">
        <f t="shared" si="370"/>
        <v>76.63</v>
      </c>
      <c r="CQ410">
        <f t="shared" si="371"/>
        <v>33.315100000000001</v>
      </c>
      <c r="CR410">
        <f t="shared" si="372"/>
        <v>9.4881250000000001</v>
      </c>
      <c r="CS410">
        <f t="shared" si="373"/>
        <v>5.0999999999999996</v>
      </c>
      <c r="CT410">
        <f t="shared" si="374"/>
        <v>1489.71</v>
      </c>
      <c r="CU410">
        <f t="shared" si="375"/>
        <v>0</v>
      </c>
      <c r="CV410">
        <f t="shared" si="376"/>
        <v>5.9225000000000003</v>
      </c>
      <c r="CW410">
        <f t="shared" si="377"/>
        <v>0</v>
      </c>
      <c r="CX410">
        <f t="shared" si="378"/>
        <v>0</v>
      </c>
      <c r="CY410">
        <f t="shared" si="379"/>
        <v>57.357299999999995</v>
      </c>
      <c r="CZ410">
        <f t="shared" si="380"/>
        <v>30.540899999999997</v>
      </c>
      <c r="DC410" t="s">
        <v>3</v>
      </c>
      <c r="DD410" t="s">
        <v>3</v>
      </c>
      <c r="DE410" t="s">
        <v>36</v>
      </c>
      <c r="DF410" t="s">
        <v>36</v>
      </c>
      <c r="DG410" t="s">
        <v>37</v>
      </c>
      <c r="DH410" t="s">
        <v>3</v>
      </c>
      <c r="DI410" t="s">
        <v>37</v>
      </c>
      <c r="DJ410" t="s">
        <v>36</v>
      </c>
      <c r="DK410" t="s">
        <v>3</v>
      </c>
      <c r="DL410" t="s">
        <v>3</v>
      </c>
      <c r="DM410" t="s">
        <v>3</v>
      </c>
      <c r="DN410">
        <v>114</v>
      </c>
      <c r="DO410">
        <v>67</v>
      </c>
      <c r="DP410">
        <v>1.0469999999999999</v>
      </c>
      <c r="DQ410">
        <v>1</v>
      </c>
      <c r="DU410">
        <v>1003</v>
      </c>
      <c r="DV410" t="s">
        <v>483</v>
      </c>
      <c r="DW410" t="s">
        <v>483</v>
      </c>
      <c r="DX410">
        <v>100</v>
      </c>
      <c r="EE410">
        <v>44846838</v>
      </c>
      <c r="EF410">
        <v>40</v>
      </c>
      <c r="EG410" t="s">
        <v>453</v>
      </c>
      <c r="EH410">
        <v>0</v>
      </c>
      <c r="EI410" t="s">
        <v>3</v>
      </c>
      <c r="EJ410">
        <v>2</v>
      </c>
      <c r="EK410">
        <v>331</v>
      </c>
      <c r="EL410" t="s">
        <v>499</v>
      </c>
      <c r="EM410" t="s">
        <v>500</v>
      </c>
      <c r="EO410" t="s">
        <v>3</v>
      </c>
      <c r="EQ410">
        <v>131072</v>
      </c>
      <c r="ER410">
        <v>70.72</v>
      </c>
      <c r="ES410">
        <v>6.37</v>
      </c>
      <c r="ET410">
        <v>0.85</v>
      </c>
      <c r="EU410">
        <v>0.2</v>
      </c>
      <c r="EV410">
        <v>63.5</v>
      </c>
      <c r="EW410">
        <v>5.15</v>
      </c>
      <c r="EX410">
        <v>0</v>
      </c>
      <c r="EY410">
        <v>0</v>
      </c>
      <c r="FQ410">
        <v>0</v>
      </c>
      <c r="FR410">
        <f t="shared" si="381"/>
        <v>0</v>
      </c>
      <c r="FS410">
        <v>0</v>
      </c>
      <c r="FX410">
        <v>114</v>
      </c>
      <c r="FY410">
        <v>67</v>
      </c>
      <c r="GA410" t="s">
        <v>3</v>
      </c>
      <c r="GD410">
        <v>0</v>
      </c>
      <c r="GF410">
        <v>2086493071</v>
      </c>
      <c r="GG410">
        <v>2</v>
      </c>
      <c r="GH410">
        <v>1</v>
      </c>
      <c r="GI410">
        <v>3</v>
      </c>
      <c r="GJ410">
        <v>0</v>
      </c>
      <c r="GK410">
        <f>ROUND(R410*(S12)/100,2)</f>
        <v>0.44</v>
      </c>
      <c r="GL410">
        <f t="shared" si="382"/>
        <v>0</v>
      </c>
      <c r="GM410">
        <f t="shared" si="383"/>
        <v>164.97</v>
      </c>
      <c r="GN410">
        <f t="shared" si="384"/>
        <v>0</v>
      </c>
      <c r="GO410">
        <f t="shared" si="385"/>
        <v>164.97</v>
      </c>
      <c r="GP410">
        <f t="shared" si="386"/>
        <v>0</v>
      </c>
      <c r="GR410">
        <v>0</v>
      </c>
      <c r="GS410">
        <v>3</v>
      </c>
      <c r="GT410">
        <v>0</v>
      </c>
      <c r="GU410" t="s">
        <v>3</v>
      </c>
      <c r="GV410">
        <f t="shared" si="387"/>
        <v>0</v>
      </c>
      <c r="GW410">
        <v>1</v>
      </c>
      <c r="GX410">
        <f t="shared" si="388"/>
        <v>0</v>
      </c>
      <c r="HA410">
        <v>0</v>
      </c>
      <c r="HB410">
        <v>0</v>
      </c>
      <c r="IK410">
        <v>0</v>
      </c>
    </row>
    <row r="411" spans="1:255" x14ac:dyDescent="0.2">
      <c r="A411" s="2">
        <v>18</v>
      </c>
      <c r="B411" s="2">
        <v>1</v>
      </c>
      <c r="C411" s="2">
        <v>386</v>
      </c>
      <c r="D411" s="2"/>
      <c r="E411" s="2" t="s">
        <v>501</v>
      </c>
      <c r="F411" s="2" t="s">
        <v>258</v>
      </c>
      <c r="G411" s="2" t="s">
        <v>502</v>
      </c>
      <c r="H411" s="2" t="s">
        <v>503</v>
      </c>
      <c r="I411" s="2">
        <f>I409*J411</f>
        <v>5.1000000000000004E-3</v>
      </c>
      <c r="J411" s="2">
        <v>0.10200000000000001</v>
      </c>
      <c r="K411" s="2"/>
      <c r="L411" s="2"/>
      <c r="M411" s="2"/>
      <c r="N411" s="2"/>
      <c r="O411" s="2">
        <f t="shared" si="350"/>
        <v>79.47</v>
      </c>
      <c r="P411" s="2">
        <f t="shared" si="351"/>
        <v>79.47</v>
      </c>
      <c r="Q411" s="2">
        <f t="shared" si="352"/>
        <v>0</v>
      </c>
      <c r="R411" s="2">
        <f t="shared" si="353"/>
        <v>0</v>
      </c>
      <c r="S411" s="2">
        <f t="shared" si="354"/>
        <v>0</v>
      </c>
      <c r="T411" s="2">
        <f t="shared" si="355"/>
        <v>0</v>
      </c>
      <c r="U411" s="2">
        <f t="shared" si="356"/>
        <v>0</v>
      </c>
      <c r="V411" s="2">
        <f t="shared" si="357"/>
        <v>0</v>
      </c>
      <c r="W411" s="2">
        <f t="shared" si="358"/>
        <v>0</v>
      </c>
      <c r="X411" s="2">
        <f t="shared" si="359"/>
        <v>0</v>
      </c>
      <c r="Y411" s="2">
        <f t="shared" si="360"/>
        <v>0</v>
      </c>
      <c r="Z411" s="2"/>
      <c r="AA411" s="2">
        <v>45037306</v>
      </c>
      <c r="AB411" s="2">
        <f t="shared" si="361"/>
        <v>15582.46</v>
      </c>
      <c r="AC411" s="2">
        <f t="shared" si="362"/>
        <v>15582.46</v>
      </c>
      <c r="AD411" s="2">
        <f t="shared" ref="AD411:AF412" si="392">ROUND((ET411),6)</f>
        <v>0</v>
      </c>
      <c r="AE411" s="2">
        <f t="shared" si="392"/>
        <v>0</v>
      </c>
      <c r="AF411" s="2">
        <f t="shared" si="392"/>
        <v>0</v>
      </c>
      <c r="AG411" s="2">
        <f t="shared" si="366"/>
        <v>0</v>
      </c>
      <c r="AH411" s="2">
        <f>(EW411)</f>
        <v>0</v>
      </c>
      <c r="AI411" s="2">
        <f>(EX411)</f>
        <v>0</v>
      </c>
      <c r="AJ411" s="2">
        <f t="shared" si="369"/>
        <v>0</v>
      </c>
      <c r="AK411" s="2">
        <v>15582.460000000001</v>
      </c>
      <c r="AL411" s="2">
        <v>15582.460000000001</v>
      </c>
      <c r="AM411" s="2">
        <v>0</v>
      </c>
      <c r="AN411" s="2">
        <v>0</v>
      </c>
      <c r="AO411" s="2">
        <v>0</v>
      </c>
      <c r="AP411" s="2">
        <v>0</v>
      </c>
      <c r="AQ411" s="2">
        <v>0</v>
      </c>
      <c r="AR411" s="2">
        <v>0</v>
      </c>
      <c r="AS411" s="2">
        <v>0</v>
      </c>
      <c r="AT411" s="2">
        <v>0</v>
      </c>
      <c r="AU411" s="2">
        <v>0</v>
      </c>
      <c r="AV411" s="2">
        <v>1</v>
      </c>
      <c r="AW411" s="2">
        <v>1</v>
      </c>
      <c r="AX411" s="2"/>
      <c r="AY411" s="2"/>
      <c r="AZ411" s="2">
        <v>1</v>
      </c>
      <c r="BA411" s="2">
        <v>1</v>
      </c>
      <c r="BB411" s="2">
        <v>1</v>
      </c>
      <c r="BC411" s="2">
        <v>1</v>
      </c>
      <c r="BD411" s="2" t="s">
        <v>3</v>
      </c>
      <c r="BE411" s="2" t="s">
        <v>3</v>
      </c>
      <c r="BF411" s="2" t="s">
        <v>3</v>
      </c>
      <c r="BG411" s="2" t="s">
        <v>3</v>
      </c>
      <c r="BH411" s="2">
        <v>3</v>
      </c>
      <c r="BI411" s="2">
        <v>2</v>
      </c>
      <c r="BJ411" s="2" t="s">
        <v>504</v>
      </c>
      <c r="BK411" s="2"/>
      <c r="BL411" s="2"/>
      <c r="BM411" s="2">
        <v>331</v>
      </c>
      <c r="BN411" s="2">
        <v>0</v>
      </c>
      <c r="BO411" s="2" t="s">
        <v>3</v>
      </c>
      <c r="BP411" s="2">
        <v>0</v>
      </c>
      <c r="BQ411" s="2">
        <v>40</v>
      </c>
      <c r="BR411" s="2">
        <v>0</v>
      </c>
      <c r="BS411" s="2">
        <v>1</v>
      </c>
      <c r="BT411" s="2">
        <v>1</v>
      </c>
      <c r="BU411" s="2">
        <v>1</v>
      </c>
      <c r="BV411" s="2">
        <v>1</v>
      </c>
      <c r="BW411" s="2">
        <v>1</v>
      </c>
      <c r="BX411" s="2">
        <v>1</v>
      </c>
      <c r="BY411" s="2" t="s">
        <v>3</v>
      </c>
      <c r="BZ411" s="2">
        <v>0</v>
      </c>
      <c r="CA411" s="2">
        <v>0</v>
      </c>
      <c r="CB411" s="2"/>
      <c r="CC411" s="2"/>
      <c r="CD411" s="2"/>
      <c r="CE411" s="2"/>
      <c r="CF411" s="2">
        <v>0</v>
      </c>
      <c r="CG411" s="2">
        <v>0</v>
      </c>
      <c r="CH411" s="2"/>
      <c r="CI411" s="2"/>
      <c r="CJ411" s="2"/>
      <c r="CK411" s="2"/>
      <c r="CL411" s="2"/>
      <c r="CM411" s="2">
        <v>0</v>
      </c>
      <c r="CN411" s="2" t="s">
        <v>3</v>
      </c>
      <c r="CO411" s="2">
        <v>0</v>
      </c>
      <c r="CP411" s="2">
        <f t="shared" si="370"/>
        <v>79.47</v>
      </c>
      <c r="CQ411" s="2">
        <f t="shared" si="371"/>
        <v>15582.46</v>
      </c>
      <c r="CR411" s="2">
        <f t="shared" si="372"/>
        <v>0</v>
      </c>
      <c r="CS411" s="2">
        <f t="shared" si="373"/>
        <v>0</v>
      </c>
      <c r="CT411" s="2">
        <f t="shared" si="374"/>
        <v>0</v>
      </c>
      <c r="CU411" s="2">
        <f t="shared" si="375"/>
        <v>0</v>
      </c>
      <c r="CV411" s="2">
        <f t="shared" si="376"/>
        <v>0</v>
      </c>
      <c r="CW411" s="2">
        <f t="shared" si="377"/>
        <v>0</v>
      </c>
      <c r="CX411" s="2">
        <f t="shared" si="378"/>
        <v>0</v>
      </c>
      <c r="CY411" s="2">
        <f t="shared" si="379"/>
        <v>0</v>
      </c>
      <c r="CZ411" s="2">
        <f t="shared" si="380"/>
        <v>0</v>
      </c>
      <c r="DA411" s="2"/>
      <c r="DB411" s="2"/>
      <c r="DC411" s="2" t="s">
        <v>3</v>
      </c>
      <c r="DD411" s="2" t="s">
        <v>3</v>
      </c>
      <c r="DE411" s="2" t="s">
        <v>3</v>
      </c>
      <c r="DF411" s="2" t="s">
        <v>3</v>
      </c>
      <c r="DG411" s="2" t="s">
        <v>3</v>
      </c>
      <c r="DH411" s="2" t="s">
        <v>3</v>
      </c>
      <c r="DI411" s="2" t="s">
        <v>3</v>
      </c>
      <c r="DJ411" s="2" t="s">
        <v>3</v>
      </c>
      <c r="DK411" s="2" t="s">
        <v>3</v>
      </c>
      <c r="DL411" s="2" t="s">
        <v>3</v>
      </c>
      <c r="DM411" s="2" t="s">
        <v>3</v>
      </c>
      <c r="DN411" s="2">
        <v>114</v>
      </c>
      <c r="DO411" s="2">
        <v>67</v>
      </c>
      <c r="DP411" s="2">
        <v>1.0469999999999999</v>
      </c>
      <c r="DQ411" s="2">
        <v>1</v>
      </c>
      <c r="DR411" s="2"/>
      <c r="DS411" s="2"/>
      <c r="DT411" s="2"/>
      <c r="DU411" s="2">
        <v>1003</v>
      </c>
      <c r="DV411" s="2" t="s">
        <v>503</v>
      </c>
      <c r="DW411" s="2" t="s">
        <v>503</v>
      </c>
      <c r="DX411" s="2">
        <v>1000</v>
      </c>
      <c r="DY411" s="2"/>
      <c r="DZ411" s="2"/>
      <c r="EA411" s="2"/>
      <c r="EB411" s="2"/>
      <c r="EC411" s="2"/>
      <c r="ED411" s="2"/>
      <c r="EE411" s="2">
        <v>44846838</v>
      </c>
      <c r="EF411" s="2">
        <v>40</v>
      </c>
      <c r="EG411" s="2" t="s">
        <v>453</v>
      </c>
      <c r="EH411" s="2">
        <v>0</v>
      </c>
      <c r="EI411" s="2" t="s">
        <v>3</v>
      </c>
      <c r="EJ411" s="2">
        <v>2</v>
      </c>
      <c r="EK411" s="2">
        <v>331</v>
      </c>
      <c r="EL411" s="2" t="s">
        <v>499</v>
      </c>
      <c r="EM411" s="2" t="s">
        <v>500</v>
      </c>
      <c r="EN411" s="2"/>
      <c r="EO411" s="2" t="s">
        <v>3</v>
      </c>
      <c r="EP411" s="2"/>
      <c r="EQ411" s="2">
        <v>0</v>
      </c>
      <c r="ER411" s="2">
        <v>0</v>
      </c>
      <c r="ES411" s="2">
        <v>15582.460000000001</v>
      </c>
      <c r="ET411" s="2">
        <v>0</v>
      </c>
      <c r="EU411" s="2">
        <v>0</v>
      </c>
      <c r="EV411" s="2">
        <v>0</v>
      </c>
      <c r="EW411" s="2">
        <v>0</v>
      </c>
      <c r="EX411" s="2">
        <v>0</v>
      </c>
      <c r="EY411" s="2"/>
      <c r="EZ411" s="2"/>
      <c r="FA411" s="2"/>
      <c r="FB411" s="2"/>
      <c r="FC411" s="2"/>
      <c r="FD411" s="2"/>
      <c r="FE411" s="2"/>
      <c r="FF411" s="2"/>
      <c r="FG411" s="2"/>
      <c r="FH411" s="2"/>
      <c r="FI411" s="2"/>
      <c r="FJ411" s="2"/>
      <c r="FK411" s="2"/>
      <c r="FL411" s="2"/>
      <c r="FM411" s="2"/>
      <c r="FN411" s="2"/>
      <c r="FO411" s="2"/>
      <c r="FP411" s="2"/>
      <c r="FQ411" s="2">
        <v>0</v>
      </c>
      <c r="FR411" s="2">
        <f t="shared" si="381"/>
        <v>0</v>
      </c>
      <c r="FS411" s="2">
        <v>0</v>
      </c>
      <c r="FT411" s="2"/>
      <c r="FU411" s="2"/>
      <c r="FV411" s="2"/>
      <c r="FW411" s="2"/>
      <c r="FX411" s="2">
        <v>114</v>
      </c>
      <c r="FY411" s="2">
        <v>67</v>
      </c>
      <c r="FZ411" s="2"/>
      <c r="GA411" s="2" t="s">
        <v>505</v>
      </c>
      <c r="GB411" s="2"/>
      <c r="GC411" s="2"/>
      <c r="GD411" s="2">
        <v>0</v>
      </c>
      <c r="GE411" s="2"/>
      <c r="GF411" s="2">
        <v>-649410947</v>
      </c>
      <c r="GG411" s="2">
        <v>2</v>
      </c>
      <c r="GH411" s="2">
        <v>4</v>
      </c>
      <c r="GI411" s="2">
        <v>3</v>
      </c>
      <c r="GJ411" s="2">
        <v>0</v>
      </c>
      <c r="GK411" s="2">
        <f>ROUND(R411*(R12)/100,2)</f>
        <v>0</v>
      </c>
      <c r="GL411" s="2">
        <f t="shared" si="382"/>
        <v>0</v>
      </c>
      <c r="GM411" s="2">
        <f t="shared" si="383"/>
        <v>79.47</v>
      </c>
      <c r="GN411" s="2">
        <f t="shared" si="384"/>
        <v>0</v>
      </c>
      <c r="GO411" s="2">
        <f t="shared" si="385"/>
        <v>79.47</v>
      </c>
      <c r="GP411" s="2">
        <f t="shared" si="386"/>
        <v>0</v>
      </c>
      <c r="GQ411" s="2"/>
      <c r="GR411" s="2">
        <v>0</v>
      </c>
      <c r="GS411" s="2">
        <v>2</v>
      </c>
      <c r="GT411" s="2">
        <v>0</v>
      </c>
      <c r="GU411" s="2" t="s">
        <v>3</v>
      </c>
      <c r="GV411" s="2">
        <f t="shared" si="387"/>
        <v>0</v>
      </c>
      <c r="GW411" s="2">
        <v>1</v>
      </c>
      <c r="GX411" s="2">
        <f t="shared" si="388"/>
        <v>0</v>
      </c>
      <c r="GY411" s="2"/>
      <c r="GZ411" s="2"/>
      <c r="HA411" s="2">
        <v>0</v>
      </c>
      <c r="HB411" s="2">
        <v>0</v>
      </c>
      <c r="HC411" s="2"/>
      <c r="HD411" s="2"/>
      <c r="HE411" s="2"/>
      <c r="HF411" s="2"/>
      <c r="HG411" s="2"/>
      <c r="HH411" s="2"/>
      <c r="HI411" s="2"/>
      <c r="HJ411" s="2"/>
      <c r="HK411" s="2"/>
      <c r="HL411" s="2"/>
      <c r="HM411" s="2"/>
      <c r="HN411" s="2"/>
      <c r="HO411" s="2"/>
      <c r="HP411" s="2"/>
      <c r="HQ411" s="2"/>
      <c r="HR411" s="2"/>
      <c r="HS411" s="2"/>
      <c r="HT411" s="2"/>
      <c r="HU411" s="2"/>
      <c r="HV411" s="2"/>
      <c r="HW411" s="2"/>
      <c r="HX411" s="2"/>
      <c r="HY411" s="2"/>
      <c r="HZ411" s="2"/>
      <c r="IA411" s="2"/>
      <c r="IB411" s="2"/>
      <c r="IC411" s="2"/>
      <c r="ID411" s="2"/>
      <c r="IE411" s="2"/>
      <c r="IF411" s="2"/>
      <c r="IG411" s="2"/>
      <c r="IH411" s="2"/>
      <c r="II411" s="2"/>
      <c r="IJ411" s="2"/>
      <c r="IK411" s="2">
        <v>0</v>
      </c>
      <c r="IL411" s="2"/>
      <c r="IM411" s="2"/>
      <c r="IN411" s="2"/>
      <c r="IO411" s="2"/>
      <c r="IP411" s="2"/>
      <c r="IQ411" s="2"/>
      <c r="IR411" s="2"/>
      <c r="IS411" s="2"/>
      <c r="IT411" s="2"/>
      <c r="IU411" s="2"/>
    </row>
    <row r="412" spans="1:255" x14ac:dyDescent="0.2">
      <c r="A412">
        <v>18</v>
      </c>
      <c r="B412">
        <v>1</v>
      </c>
      <c r="C412">
        <v>388</v>
      </c>
      <c r="E412" t="s">
        <v>501</v>
      </c>
      <c r="F412" t="s">
        <v>258</v>
      </c>
      <c r="G412" t="s">
        <v>502</v>
      </c>
      <c r="H412" t="s">
        <v>503</v>
      </c>
      <c r="I412">
        <f>I410*J412</f>
        <v>5.1000000000000004E-3</v>
      </c>
      <c r="J412">
        <v>0.10200000000000001</v>
      </c>
      <c r="O412">
        <f t="shared" si="350"/>
        <v>415.63</v>
      </c>
      <c r="P412">
        <f t="shared" si="351"/>
        <v>415.63</v>
      </c>
      <c r="Q412">
        <f t="shared" si="352"/>
        <v>0</v>
      </c>
      <c r="R412">
        <f t="shared" si="353"/>
        <v>0</v>
      </c>
      <c r="S412">
        <f t="shared" si="354"/>
        <v>0</v>
      </c>
      <c r="T412">
        <f t="shared" si="355"/>
        <v>0</v>
      </c>
      <c r="U412">
        <f t="shared" si="356"/>
        <v>0</v>
      </c>
      <c r="V412">
        <f t="shared" si="357"/>
        <v>0</v>
      </c>
      <c r="W412">
        <f t="shared" si="358"/>
        <v>0</v>
      </c>
      <c r="X412">
        <f t="shared" si="359"/>
        <v>0</v>
      </c>
      <c r="Y412">
        <f t="shared" si="360"/>
        <v>0</v>
      </c>
      <c r="AA412">
        <v>45037307</v>
      </c>
      <c r="AB412">
        <f t="shared" si="361"/>
        <v>15582.46</v>
      </c>
      <c r="AC412">
        <f t="shared" si="362"/>
        <v>15582.46</v>
      </c>
      <c r="AD412">
        <f t="shared" si="392"/>
        <v>0</v>
      </c>
      <c r="AE412">
        <f t="shared" si="392"/>
        <v>0</v>
      </c>
      <c r="AF412">
        <f t="shared" si="392"/>
        <v>0</v>
      </c>
      <c r="AG412">
        <f t="shared" si="366"/>
        <v>0</v>
      </c>
      <c r="AH412">
        <f>(EW412)</f>
        <v>0</v>
      </c>
      <c r="AI412">
        <f>(EX412)</f>
        <v>0</v>
      </c>
      <c r="AJ412">
        <f t="shared" si="369"/>
        <v>0</v>
      </c>
      <c r="AK412">
        <v>15582.460000000001</v>
      </c>
      <c r="AL412">
        <v>15582.460000000001</v>
      </c>
      <c r="AM412">
        <v>0</v>
      </c>
      <c r="AN412">
        <v>0</v>
      </c>
      <c r="AO412">
        <v>0</v>
      </c>
      <c r="AP412">
        <v>0</v>
      </c>
      <c r="AQ412">
        <v>0</v>
      </c>
      <c r="AR412">
        <v>0</v>
      </c>
      <c r="AS412">
        <v>0</v>
      </c>
      <c r="AT412">
        <v>0</v>
      </c>
      <c r="AU412">
        <v>0</v>
      </c>
      <c r="AV412">
        <v>1</v>
      </c>
      <c r="AW412">
        <v>1</v>
      </c>
      <c r="AZ412">
        <v>1</v>
      </c>
      <c r="BA412">
        <v>1</v>
      </c>
      <c r="BB412">
        <v>1</v>
      </c>
      <c r="BC412">
        <v>5.23</v>
      </c>
      <c r="BD412" t="s">
        <v>3</v>
      </c>
      <c r="BE412" t="s">
        <v>3</v>
      </c>
      <c r="BF412" t="s">
        <v>3</v>
      </c>
      <c r="BG412" t="s">
        <v>3</v>
      </c>
      <c r="BH412">
        <v>3</v>
      </c>
      <c r="BI412">
        <v>2</v>
      </c>
      <c r="BJ412" t="s">
        <v>504</v>
      </c>
      <c r="BM412">
        <v>331</v>
      </c>
      <c r="BN412">
        <v>0</v>
      </c>
      <c r="BO412" t="s">
        <v>506</v>
      </c>
      <c r="BP412">
        <v>1</v>
      </c>
      <c r="BQ412">
        <v>40</v>
      </c>
      <c r="BR412">
        <v>0</v>
      </c>
      <c r="BS412">
        <v>1</v>
      </c>
      <c r="BT412">
        <v>1</v>
      </c>
      <c r="BU412">
        <v>1</v>
      </c>
      <c r="BV412">
        <v>1</v>
      </c>
      <c r="BW412">
        <v>1</v>
      </c>
      <c r="BX412">
        <v>1</v>
      </c>
      <c r="BY412" t="s">
        <v>3</v>
      </c>
      <c r="BZ412">
        <v>0</v>
      </c>
      <c r="CA412">
        <v>0</v>
      </c>
      <c r="CF412">
        <v>0</v>
      </c>
      <c r="CG412">
        <v>0</v>
      </c>
      <c r="CM412">
        <v>0</v>
      </c>
      <c r="CN412" t="s">
        <v>3</v>
      </c>
      <c r="CO412">
        <v>0</v>
      </c>
      <c r="CP412">
        <f t="shared" si="370"/>
        <v>415.63</v>
      </c>
      <c r="CQ412">
        <f t="shared" si="371"/>
        <v>81496.265800000008</v>
      </c>
      <c r="CR412">
        <f t="shared" si="372"/>
        <v>0</v>
      </c>
      <c r="CS412">
        <f t="shared" si="373"/>
        <v>0</v>
      </c>
      <c r="CT412">
        <f t="shared" si="374"/>
        <v>0</v>
      </c>
      <c r="CU412">
        <f t="shared" si="375"/>
        <v>0</v>
      </c>
      <c r="CV412">
        <f t="shared" si="376"/>
        <v>0</v>
      </c>
      <c r="CW412">
        <f t="shared" si="377"/>
        <v>0</v>
      </c>
      <c r="CX412">
        <f t="shared" si="378"/>
        <v>0</v>
      </c>
      <c r="CY412">
        <f t="shared" si="379"/>
        <v>0</v>
      </c>
      <c r="CZ412">
        <f t="shared" si="380"/>
        <v>0</v>
      </c>
      <c r="DC412" t="s">
        <v>3</v>
      </c>
      <c r="DD412" t="s">
        <v>3</v>
      </c>
      <c r="DE412" t="s">
        <v>3</v>
      </c>
      <c r="DF412" t="s">
        <v>3</v>
      </c>
      <c r="DG412" t="s">
        <v>3</v>
      </c>
      <c r="DH412" t="s">
        <v>3</v>
      </c>
      <c r="DI412" t="s">
        <v>3</v>
      </c>
      <c r="DJ412" t="s">
        <v>3</v>
      </c>
      <c r="DK412" t="s">
        <v>3</v>
      </c>
      <c r="DL412" t="s">
        <v>3</v>
      </c>
      <c r="DM412" t="s">
        <v>3</v>
      </c>
      <c r="DN412">
        <v>114</v>
      </c>
      <c r="DO412">
        <v>67</v>
      </c>
      <c r="DP412">
        <v>1.0469999999999999</v>
      </c>
      <c r="DQ412">
        <v>1</v>
      </c>
      <c r="DU412">
        <v>1003</v>
      </c>
      <c r="DV412" t="s">
        <v>503</v>
      </c>
      <c r="DW412" t="s">
        <v>503</v>
      </c>
      <c r="DX412">
        <v>1000</v>
      </c>
      <c r="EE412">
        <v>44846838</v>
      </c>
      <c r="EF412">
        <v>40</v>
      </c>
      <c r="EG412" t="s">
        <v>453</v>
      </c>
      <c r="EH412">
        <v>0</v>
      </c>
      <c r="EI412" t="s">
        <v>3</v>
      </c>
      <c r="EJ412">
        <v>2</v>
      </c>
      <c r="EK412">
        <v>331</v>
      </c>
      <c r="EL412" t="s">
        <v>499</v>
      </c>
      <c r="EM412" t="s">
        <v>500</v>
      </c>
      <c r="EO412" t="s">
        <v>3</v>
      </c>
      <c r="EQ412">
        <v>0</v>
      </c>
      <c r="ER412">
        <v>14844.5</v>
      </c>
      <c r="ES412">
        <v>15582.460000000001</v>
      </c>
      <c r="ET412">
        <v>0</v>
      </c>
      <c r="EU412">
        <v>0</v>
      </c>
      <c r="EV412">
        <v>0</v>
      </c>
      <c r="EW412">
        <v>0</v>
      </c>
      <c r="EX412">
        <v>0</v>
      </c>
      <c r="EZ412">
        <v>5</v>
      </c>
      <c r="FC412">
        <v>1</v>
      </c>
      <c r="FD412">
        <v>18</v>
      </c>
      <c r="FF412">
        <v>94280</v>
      </c>
      <c r="FQ412">
        <v>0</v>
      </c>
      <c r="FR412">
        <f t="shared" si="381"/>
        <v>0</v>
      </c>
      <c r="FS412">
        <v>0</v>
      </c>
      <c r="FX412">
        <v>114</v>
      </c>
      <c r="FY412">
        <v>67</v>
      </c>
      <c r="GA412" t="s">
        <v>505</v>
      </c>
      <c r="GD412">
        <v>0</v>
      </c>
      <c r="GF412">
        <v>-649410947</v>
      </c>
      <c r="GG412">
        <v>2</v>
      </c>
      <c r="GH412">
        <v>3</v>
      </c>
      <c r="GI412">
        <v>3</v>
      </c>
      <c r="GJ412">
        <v>0</v>
      </c>
      <c r="GK412">
        <f>ROUND(R412*(S12)/100,2)</f>
        <v>0</v>
      </c>
      <c r="GL412">
        <f t="shared" si="382"/>
        <v>0</v>
      </c>
      <c r="GM412">
        <f t="shared" si="383"/>
        <v>415.63</v>
      </c>
      <c r="GN412">
        <f t="shared" si="384"/>
        <v>0</v>
      </c>
      <c r="GO412">
        <f t="shared" si="385"/>
        <v>415.63</v>
      </c>
      <c r="GP412">
        <f t="shared" si="386"/>
        <v>0</v>
      </c>
      <c r="GR412">
        <v>1</v>
      </c>
      <c r="GS412">
        <v>1</v>
      </c>
      <c r="GT412">
        <v>0</v>
      </c>
      <c r="GU412" t="s">
        <v>3</v>
      </c>
      <c r="GV412">
        <f t="shared" si="387"/>
        <v>0</v>
      </c>
      <c r="GW412">
        <v>1</v>
      </c>
      <c r="GX412">
        <f t="shared" si="388"/>
        <v>0</v>
      </c>
      <c r="HA412">
        <v>0</v>
      </c>
      <c r="HB412">
        <v>0</v>
      </c>
      <c r="IK412">
        <v>0</v>
      </c>
    </row>
    <row r="413" spans="1:255" x14ac:dyDescent="0.2">
      <c r="A413" s="2">
        <v>17</v>
      </c>
      <c r="B413" s="2">
        <v>1</v>
      </c>
      <c r="C413" s="2">
        <f>ROW(SmtRes!A391)</f>
        <v>391</v>
      </c>
      <c r="D413" s="2">
        <f>ROW(EtalonRes!A373)</f>
        <v>373</v>
      </c>
      <c r="E413" s="2" t="s">
        <v>507</v>
      </c>
      <c r="F413" s="2" t="s">
        <v>508</v>
      </c>
      <c r="G413" s="2" t="s">
        <v>509</v>
      </c>
      <c r="H413" s="2" t="s">
        <v>483</v>
      </c>
      <c r="I413" s="2">
        <f>ROUND(51/100,9)</f>
        <v>0.51</v>
      </c>
      <c r="J413" s="2">
        <v>0</v>
      </c>
      <c r="K413" s="2"/>
      <c r="L413" s="2"/>
      <c r="M413" s="2"/>
      <c r="N413" s="2"/>
      <c r="O413" s="2">
        <f t="shared" si="350"/>
        <v>20.61</v>
      </c>
      <c r="P413" s="2">
        <f t="shared" si="351"/>
        <v>4.8899999999999997</v>
      </c>
      <c r="Q413" s="2">
        <f t="shared" si="352"/>
        <v>0.54</v>
      </c>
      <c r="R413" s="2">
        <f t="shared" si="353"/>
        <v>0.13</v>
      </c>
      <c r="S413" s="2">
        <f t="shared" si="354"/>
        <v>15.18</v>
      </c>
      <c r="T413" s="2">
        <f t="shared" si="355"/>
        <v>0</v>
      </c>
      <c r="U413" s="2">
        <f t="shared" si="356"/>
        <v>1.2316500000000001</v>
      </c>
      <c r="V413" s="2">
        <f t="shared" si="357"/>
        <v>0</v>
      </c>
      <c r="W413" s="2">
        <f t="shared" si="358"/>
        <v>0</v>
      </c>
      <c r="X413" s="2">
        <f t="shared" si="359"/>
        <v>0</v>
      </c>
      <c r="Y413" s="2">
        <f t="shared" si="360"/>
        <v>0</v>
      </c>
      <c r="Z413" s="2"/>
      <c r="AA413" s="2">
        <v>45037306</v>
      </c>
      <c r="AB413" s="2">
        <f t="shared" si="361"/>
        <v>40.426000000000002</v>
      </c>
      <c r="AC413" s="2">
        <f t="shared" si="362"/>
        <v>9.59</v>
      </c>
      <c r="AD413" s="2">
        <f>ROUND(((ET413*1.25)),6)</f>
        <v>1.0625</v>
      </c>
      <c r="AE413" s="2">
        <f>ROUND(((EU413*1.25)),6)</f>
        <v>0.25</v>
      </c>
      <c r="AF413" s="2">
        <f>ROUND(((EV413*1.15)),6)</f>
        <v>29.773499999999999</v>
      </c>
      <c r="AG413" s="2">
        <f t="shared" si="366"/>
        <v>0</v>
      </c>
      <c r="AH413" s="2">
        <f>((EW413*1.15))</f>
        <v>2.415</v>
      </c>
      <c r="AI413" s="2">
        <f>((EX413*1.25))</f>
        <v>0</v>
      </c>
      <c r="AJ413" s="2">
        <f t="shared" si="369"/>
        <v>0</v>
      </c>
      <c r="AK413" s="2">
        <v>36.33</v>
      </c>
      <c r="AL413" s="2">
        <v>9.59</v>
      </c>
      <c r="AM413" s="2">
        <v>0.85</v>
      </c>
      <c r="AN413" s="2">
        <v>0.2</v>
      </c>
      <c r="AO413" s="2">
        <v>25.89</v>
      </c>
      <c r="AP413" s="2">
        <v>0</v>
      </c>
      <c r="AQ413" s="2">
        <v>2.1</v>
      </c>
      <c r="AR413" s="2">
        <v>0</v>
      </c>
      <c r="AS413" s="2">
        <v>0</v>
      </c>
      <c r="AT413" s="2">
        <v>0</v>
      </c>
      <c r="AU413" s="2">
        <v>0</v>
      </c>
      <c r="AV413" s="2">
        <v>1</v>
      </c>
      <c r="AW413" s="2">
        <v>1</v>
      </c>
      <c r="AX413" s="2"/>
      <c r="AY413" s="2"/>
      <c r="AZ413" s="2">
        <v>1</v>
      </c>
      <c r="BA413" s="2">
        <v>1</v>
      </c>
      <c r="BB413" s="2">
        <v>1</v>
      </c>
      <c r="BC413" s="2">
        <v>1</v>
      </c>
      <c r="BD413" s="2" t="s">
        <v>3</v>
      </c>
      <c r="BE413" s="2" t="s">
        <v>3</v>
      </c>
      <c r="BF413" s="2" t="s">
        <v>3</v>
      </c>
      <c r="BG413" s="2" t="s">
        <v>3</v>
      </c>
      <c r="BH413" s="2">
        <v>0</v>
      </c>
      <c r="BI413" s="2">
        <v>2</v>
      </c>
      <c r="BJ413" s="2" t="s">
        <v>510</v>
      </c>
      <c r="BK413" s="2"/>
      <c r="BL413" s="2"/>
      <c r="BM413" s="2">
        <v>331</v>
      </c>
      <c r="BN413" s="2">
        <v>7156650</v>
      </c>
      <c r="BO413" s="2" t="s">
        <v>3</v>
      </c>
      <c r="BP413" s="2">
        <v>0</v>
      </c>
      <c r="BQ413" s="2">
        <v>40</v>
      </c>
      <c r="BR413" s="2">
        <v>0</v>
      </c>
      <c r="BS413" s="2">
        <v>1</v>
      </c>
      <c r="BT413" s="2">
        <v>1</v>
      </c>
      <c r="BU413" s="2">
        <v>1</v>
      </c>
      <c r="BV413" s="2">
        <v>1</v>
      </c>
      <c r="BW413" s="2">
        <v>1</v>
      </c>
      <c r="BX413" s="2">
        <v>1</v>
      </c>
      <c r="BY413" s="2" t="s">
        <v>3</v>
      </c>
      <c r="BZ413" s="2">
        <v>0</v>
      </c>
      <c r="CA413" s="2">
        <v>0</v>
      </c>
      <c r="CB413" s="2"/>
      <c r="CC413" s="2"/>
      <c r="CD413" s="2"/>
      <c r="CE413" s="2"/>
      <c r="CF413" s="2">
        <v>0</v>
      </c>
      <c r="CG413" s="2">
        <v>0</v>
      </c>
      <c r="CH413" s="2"/>
      <c r="CI413" s="2"/>
      <c r="CJ413" s="2"/>
      <c r="CK413" s="2"/>
      <c r="CL413" s="2"/>
      <c r="CM413" s="2">
        <v>0</v>
      </c>
      <c r="CN413" s="2" t="s">
        <v>3</v>
      </c>
      <c r="CO413" s="2">
        <v>0</v>
      </c>
      <c r="CP413" s="2">
        <f t="shared" si="370"/>
        <v>20.61</v>
      </c>
      <c r="CQ413" s="2">
        <f t="shared" si="371"/>
        <v>9.59</v>
      </c>
      <c r="CR413" s="2">
        <f t="shared" si="372"/>
        <v>1.0625</v>
      </c>
      <c r="CS413" s="2">
        <f t="shared" si="373"/>
        <v>0.25</v>
      </c>
      <c r="CT413" s="2">
        <f t="shared" si="374"/>
        <v>29.773499999999999</v>
      </c>
      <c r="CU413" s="2">
        <f t="shared" si="375"/>
        <v>0</v>
      </c>
      <c r="CV413" s="2">
        <f t="shared" si="376"/>
        <v>2.415</v>
      </c>
      <c r="CW413" s="2">
        <f t="shared" si="377"/>
        <v>0</v>
      </c>
      <c r="CX413" s="2">
        <f t="shared" si="378"/>
        <v>0</v>
      </c>
      <c r="CY413" s="2">
        <f t="shared" si="379"/>
        <v>0</v>
      </c>
      <c r="CZ413" s="2">
        <f t="shared" si="380"/>
        <v>0</v>
      </c>
      <c r="DA413" s="2"/>
      <c r="DB413" s="2"/>
      <c r="DC413" s="2" t="s">
        <v>3</v>
      </c>
      <c r="DD413" s="2" t="s">
        <v>3</v>
      </c>
      <c r="DE413" s="2" t="s">
        <v>36</v>
      </c>
      <c r="DF413" s="2" t="s">
        <v>36</v>
      </c>
      <c r="DG413" s="2" t="s">
        <v>37</v>
      </c>
      <c r="DH413" s="2" t="s">
        <v>3</v>
      </c>
      <c r="DI413" s="2" t="s">
        <v>37</v>
      </c>
      <c r="DJ413" s="2" t="s">
        <v>36</v>
      </c>
      <c r="DK413" s="2" t="s">
        <v>3</v>
      </c>
      <c r="DL413" s="2" t="s">
        <v>3</v>
      </c>
      <c r="DM413" s="2" t="s">
        <v>3</v>
      </c>
      <c r="DN413" s="2">
        <v>114</v>
      </c>
      <c r="DO413" s="2">
        <v>67</v>
      </c>
      <c r="DP413" s="2">
        <v>1.0469999999999999</v>
      </c>
      <c r="DQ413" s="2">
        <v>1</v>
      </c>
      <c r="DR413" s="2"/>
      <c r="DS413" s="2"/>
      <c r="DT413" s="2"/>
      <c r="DU413" s="2">
        <v>1003</v>
      </c>
      <c r="DV413" s="2" t="s">
        <v>483</v>
      </c>
      <c r="DW413" s="2" t="s">
        <v>483</v>
      </c>
      <c r="DX413" s="2">
        <v>100</v>
      </c>
      <c r="DY413" s="2"/>
      <c r="DZ413" s="2"/>
      <c r="EA413" s="2"/>
      <c r="EB413" s="2"/>
      <c r="EC413" s="2"/>
      <c r="ED413" s="2"/>
      <c r="EE413" s="2">
        <v>44846838</v>
      </c>
      <c r="EF413" s="2">
        <v>40</v>
      </c>
      <c r="EG413" s="2" t="s">
        <v>453</v>
      </c>
      <c r="EH413" s="2">
        <v>0</v>
      </c>
      <c r="EI413" s="2" t="s">
        <v>3</v>
      </c>
      <c r="EJ413" s="2">
        <v>2</v>
      </c>
      <c r="EK413" s="2">
        <v>331</v>
      </c>
      <c r="EL413" s="2" t="s">
        <v>499</v>
      </c>
      <c r="EM413" s="2" t="s">
        <v>500</v>
      </c>
      <c r="EN413" s="2"/>
      <c r="EO413" s="2" t="s">
        <v>3</v>
      </c>
      <c r="EP413" s="2"/>
      <c r="EQ413" s="2">
        <v>131072</v>
      </c>
      <c r="ER413" s="2">
        <v>36.33</v>
      </c>
      <c r="ES413" s="2">
        <v>9.59</v>
      </c>
      <c r="ET413" s="2">
        <v>0.85</v>
      </c>
      <c r="EU413" s="2">
        <v>0.2</v>
      </c>
      <c r="EV413" s="2">
        <v>25.89</v>
      </c>
      <c r="EW413" s="2">
        <v>2.1</v>
      </c>
      <c r="EX413" s="2">
        <v>0</v>
      </c>
      <c r="EY413" s="2">
        <v>0</v>
      </c>
      <c r="EZ413" s="2"/>
      <c r="FA413" s="2"/>
      <c r="FB413" s="2"/>
      <c r="FC413" s="2"/>
      <c r="FD413" s="2"/>
      <c r="FE413" s="2"/>
      <c r="FF413" s="2"/>
      <c r="FG413" s="2"/>
      <c r="FH413" s="2"/>
      <c r="FI413" s="2"/>
      <c r="FJ413" s="2"/>
      <c r="FK413" s="2"/>
      <c r="FL413" s="2"/>
      <c r="FM413" s="2"/>
      <c r="FN413" s="2"/>
      <c r="FO413" s="2"/>
      <c r="FP413" s="2"/>
      <c r="FQ413" s="2">
        <v>0</v>
      </c>
      <c r="FR413" s="2">
        <f t="shared" si="381"/>
        <v>0</v>
      </c>
      <c r="FS413" s="2">
        <v>0</v>
      </c>
      <c r="FT413" s="2"/>
      <c r="FU413" s="2"/>
      <c r="FV413" s="2"/>
      <c r="FW413" s="2"/>
      <c r="FX413" s="2">
        <v>114</v>
      </c>
      <c r="FY413" s="2">
        <v>67</v>
      </c>
      <c r="FZ413" s="2"/>
      <c r="GA413" s="2" t="s">
        <v>3</v>
      </c>
      <c r="GB413" s="2"/>
      <c r="GC413" s="2"/>
      <c r="GD413" s="2">
        <v>0</v>
      </c>
      <c r="GE413" s="2"/>
      <c r="GF413" s="2">
        <v>945129579</v>
      </c>
      <c r="GG413" s="2">
        <v>2</v>
      </c>
      <c r="GH413" s="2">
        <v>1</v>
      </c>
      <c r="GI413" s="2">
        <v>3</v>
      </c>
      <c r="GJ413" s="2">
        <v>0</v>
      </c>
      <c r="GK413" s="2">
        <f>ROUND(R413*(R12)/100,2)</f>
        <v>0.23</v>
      </c>
      <c r="GL413" s="2">
        <f t="shared" si="382"/>
        <v>0</v>
      </c>
      <c r="GM413" s="2">
        <f t="shared" si="383"/>
        <v>20.84</v>
      </c>
      <c r="GN413" s="2">
        <f t="shared" si="384"/>
        <v>0</v>
      </c>
      <c r="GO413" s="2">
        <f t="shared" si="385"/>
        <v>20.84</v>
      </c>
      <c r="GP413" s="2">
        <f t="shared" si="386"/>
        <v>0</v>
      </c>
      <c r="GQ413" s="2"/>
      <c r="GR413" s="2">
        <v>0</v>
      </c>
      <c r="GS413" s="2">
        <v>3</v>
      </c>
      <c r="GT413" s="2">
        <v>0</v>
      </c>
      <c r="GU413" s="2" t="s">
        <v>3</v>
      </c>
      <c r="GV413" s="2">
        <f t="shared" si="387"/>
        <v>0</v>
      </c>
      <c r="GW413" s="2">
        <v>1</v>
      </c>
      <c r="GX413" s="2">
        <f t="shared" si="388"/>
        <v>0</v>
      </c>
      <c r="GY413" s="2"/>
      <c r="GZ413" s="2"/>
      <c r="HA413" s="2">
        <v>0</v>
      </c>
      <c r="HB413" s="2">
        <v>0</v>
      </c>
      <c r="HC413" s="2"/>
      <c r="HD413" s="2"/>
      <c r="HE413" s="2"/>
      <c r="HF413" s="2"/>
      <c r="HG413" s="2"/>
      <c r="HH413" s="2"/>
      <c r="HI413" s="2"/>
      <c r="HJ413" s="2"/>
      <c r="HK413" s="2"/>
      <c r="HL413" s="2"/>
      <c r="HM413" s="2"/>
      <c r="HN413" s="2"/>
      <c r="HO413" s="2"/>
      <c r="HP413" s="2"/>
      <c r="HQ413" s="2"/>
      <c r="HR413" s="2"/>
      <c r="HS413" s="2"/>
      <c r="HT413" s="2"/>
      <c r="HU413" s="2"/>
      <c r="HV413" s="2"/>
      <c r="HW413" s="2"/>
      <c r="HX413" s="2"/>
      <c r="HY413" s="2"/>
      <c r="HZ413" s="2"/>
      <c r="IA413" s="2"/>
      <c r="IB413" s="2"/>
      <c r="IC413" s="2"/>
      <c r="ID413" s="2"/>
      <c r="IE413" s="2"/>
      <c r="IF413" s="2"/>
      <c r="IG413" s="2"/>
      <c r="IH413" s="2"/>
      <c r="II413" s="2"/>
      <c r="IJ413" s="2"/>
      <c r="IK413" s="2">
        <v>0</v>
      </c>
      <c r="IL413" s="2"/>
      <c r="IM413" s="2"/>
      <c r="IN413" s="2"/>
      <c r="IO413" s="2"/>
      <c r="IP413" s="2"/>
      <c r="IQ413" s="2"/>
      <c r="IR413" s="2"/>
      <c r="IS413" s="2"/>
      <c r="IT413" s="2"/>
      <c r="IU413" s="2"/>
    </row>
    <row r="414" spans="1:255" x14ac:dyDescent="0.2">
      <c r="A414">
        <v>17</v>
      </c>
      <c r="B414">
        <v>1</v>
      </c>
      <c r="C414">
        <f>ROW(SmtRes!A394)</f>
        <v>394</v>
      </c>
      <c r="D414">
        <f>ROW(EtalonRes!A374)</f>
        <v>374</v>
      </c>
      <c r="E414" t="s">
        <v>507</v>
      </c>
      <c r="F414" t="s">
        <v>508</v>
      </c>
      <c r="G414" t="s">
        <v>509</v>
      </c>
      <c r="H414" t="s">
        <v>483</v>
      </c>
      <c r="I414">
        <f>ROUND(51/100,9)</f>
        <v>0.51</v>
      </c>
      <c r="J414">
        <v>0</v>
      </c>
      <c r="O414">
        <f t="shared" si="350"/>
        <v>340.18</v>
      </c>
      <c r="P414">
        <f t="shared" si="351"/>
        <v>25.58</v>
      </c>
      <c r="Q414">
        <f t="shared" si="352"/>
        <v>4.84</v>
      </c>
      <c r="R414">
        <f t="shared" si="353"/>
        <v>2.6</v>
      </c>
      <c r="S414">
        <f t="shared" si="354"/>
        <v>309.76</v>
      </c>
      <c r="T414">
        <f t="shared" si="355"/>
        <v>0</v>
      </c>
      <c r="U414">
        <f t="shared" si="356"/>
        <v>1.2316500000000001</v>
      </c>
      <c r="V414">
        <f t="shared" si="357"/>
        <v>0</v>
      </c>
      <c r="W414">
        <f t="shared" si="358"/>
        <v>0</v>
      </c>
      <c r="X414">
        <f t="shared" si="359"/>
        <v>238.52</v>
      </c>
      <c r="Y414">
        <f t="shared" si="360"/>
        <v>127</v>
      </c>
      <c r="AA414">
        <v>45037307</v>
      </c>
      <c r="AB414">
        <f t="shared" si="361"/>
        <v>40.426000000000002</v>
      </c>
      <c r="AC414">
        <f t="shared" si="362"/>
        <v>9.59</v>
      </c>
      <c r="AD414">
        <f>ROUND(((ET414*1.25)),6)</f>
        <v>1.0625</v>
      </c>
      <c r="AE414">
        <f>ROUND(((EU414*1.25)),6)</f>
        <v>0.25</v>
      </c>
      <c r="AF414">
        <f>ROUND(((EV414*1.15)),6)</f>
        <v>29.773499999999999</v>
      </c>
      <c r="AG414">
        <f t="shared" si="366"/>
        <v>0</v>
      </c>
      <c r="AH414">
        <f>((EW414*1.15))</f>
        <v>2.415</v>
      </c>
      <c r="AI414">
        <f>((EX414*1.25))</f>
        <v>0</v>
      </c>
      <c r="AJ414">
        <f t="shared" si="369"/>
        <v>0</v>
      </c>
      <c r="AK414">
        <v>36.33</v>
      </c>
      <c r="AL414">
        <v>9.59</v>
      </c>
      <c r="AM414">
        <v>0.85</v>
      </c>
      <c r="AN414">
        <v>0.2</v>
      </c>
      <c r="AO414">
        <v>25.89</v>
      </c>
      <c r="AP414">
        <v>0</v>
      </c>
      <c r="AQ414">
        <v>2.1</v>
      </c>
      <c r="AR414">
        <v>0</v>
      </c>
      <c r="AS414">
        <v>0</v>
      </c>
      <c r="AT414">
        <v>77</v>
      </c>
      <c r="AU414">
        <v>41</v>
      </c>
      <c r="AV414">
        <v>1</v>
      </c>
      <c r="AW414">
        <v>1</v>
      </c>
      <c r="AZ414">
        <v>1</v>
      </c>
      <c r="BA414">
        <v>20.399999999999999</v>
      </c>
      <c r="BB414">
        <v>8.93</v>
      </c>
      <c r="BC414">
        <v>5.23</v>
      </c>
      <c r="BD414" t="s">
        <v>3</v>
      </c>
      <c r="BE414" t="s">
        <v>3</v>
      </c>
      <c r="BF414" t="s">
        <v>3</v>
      </c>
      <c r="BG414" t="s">
        <v>3</v>
      </c>
      <c r="BH414">
        <v>0</v>
      </c>
      <c r="BI414">
        <v>2</v>
      </c>
      <c r="BJ414" t="s">
        <v>510</v>
      </c>
      <c r="BM414">
        <v>331</v>
      </c>
      <c r="BN414">
        <v>7156650</v>
      </c>
      <c r="BO414" t="s">
        <v>508</v>
      </c>
      <c r="BP414">
        <v>1</v>
      </c>
      <c r="BQ414">
        <v>40</v>
      </c>
      <c r="BR414">
        <v>0</v>
      </c>
      <c r="BS414">
        <v>20.399999999999999</v>
      </c>
      <c r="BT414">
        <v>1</v>
      </c>
      <c r="BU414">
        <v>1</v>
      </c>
      <c r="BV414">
        <v>1</v>
      </c>
      <c r="BW414">
        <v>1</v>
      </c>
      <c r="BX414">
        <v>1</v>
      </c>
      <c r="BY414" t="s">
        <v>3</v>
      </c>
      <c r="BZ414">
        <v>77</v>
      </c>
      <c r="CA414">
        <v>41</v>
      </c>
      <c r="CF414">
        <v>0</v>
      </c>
      <c r="CG414">
        <v>0</v>
      </c>
      <c r="CM414">
        <v>0</v>
      </c>
      <c r="CN414" t="s">
        <v>3</v>
      </c>
      <c r="CO414">
        <v>0</v>
      </c>
      <c r="CP414">
        <f t="shared" si="370"/>
        <v>340.18</v>
      </c>
      <c r="CQ414">
        <f t="shared" si="371"/>
        <v>50.155700000000003</v>
      </c>
      <c r="CR414">
        <f t="shared" si="372"/>
        <v>9.4881250000000001</v>
      </c>
      <c r="CS414">
        <f t="shared" si="373"/>
        <v>5.0999999999999996</v>
      </c>
      <c r="CT414">
        <f t="shared" si="374"/>
        <v>607.37939999999992</v>
      </c>
      <c r="CU414">
        <f t="shared" si="375"/>
        <v>0</v>
      </c>
      <c r="CV414">
        <f t="shared" si="376"/>
        <v>2.415</v>
      </c>
      <c r="CW414">
        <f t="shared" si="377"/>
        <v>0</v>
      </c>
      <c r="CX414">
        <f t="shared" si="378"/>
        <v>0</v>
      </c>
      <c r="CY414">
        <f t="shared" si="379"/>
        <v>238.51519999999999</v>
      </c>
      <c r="CZ414">
        <f t="shared" si="380"/>
        <v>127.00159999999998</v>
      </c>
      <c r="DC414" t="s">
        <v>3</v>
      </c>
      <c r="DD414" t="s">
        <v>3</v>
      </c>
      <c r="DE414" t="s">
        <v>36</v>
      </c>
      <c r="DF414" t="s">
        <v>36</v>
      </c>
      <c r="DG414" t="s">
        <v>37</v>
      </c>
      <c r="DH414" t="s">
        <v>3</v>
      </c>
      <c r="DI414" t="s">
        <v>37</v>
      </c>
      <c r="DJ414" t="s">
        <v>36</v>
      </c>
      <c r="DK414" t="s">
        <v>3</v>
      </c>
      <c r="DL414" t="s">
        <v>3</v>
      </c>
      <c r="DM414" t="s">
        <v>3</v>
      </c>
      <c r="DN414">
        <v>114</v>
      </c>
      <c r="DO414">
        <v>67</v>
      </c>
      <c r="DP414">
        <v>1.0469999999999999</v>
      </c>
      <c r="DQ414">
        <v>1</v>
      </c>
      <c r="DU414">
        <v>1003</v>
      </c>
      <c r="DV414" t="s">
        <v>483</v>
      </c>
      <c r="DW414" t="s">
        <v>483</v>
      </c>
      <c r="DX414">
        <v>100</v>
      </c>
      <c r="EE414">
        <v>44846838</v>
      </c>
      <c r="EF414">
        <v>40</v>
      </c>
      <c r="EG414" t="s">
        <v>453</v>
      </c>
      <c r="EH414">
        <v>0</v>
      </c>
      <c r="EI414" t="s">
        <v>3</v>
      </c>
      <c r="EJ414">
        <v>2</v>
      </c>
      <c r="EK414">
        <v>331</v>
      </c>
      <c r="EL414" t="s">
        <v>499</v>
      </c>
      <c r="EM414" t="s">
        <v>500</v>
      </c>
      <c r="EO414" t="s">
        <v>3</v>
      </c>
      <c r="EQ414">
        <v>131072</v>
      </c>
      <c r="ER414">
        <v>36.33</v>
      </c>
      <c r="ES414">
        <v>9.59</v>
      </c>
      <c r="ET414">
        <v>0.85</v>
      </c>
      <c r="EU414">
        <v>0.2</v>
      </c>
      <c r="EV414">
        <v>25.89</v>
      </c>
      <c r="EW414">
        <v>2.1</v>
      </c>
      <c r="EX414">
        <v>0</v>
      </c>
      <c r="EY414">
        <v>0</v>
      </c>
      <c r="FQ414">
        <v>0</v>
      </c>
      <c r="FR414">
        <f t="shared" si="381"/>
        <v>0</v>
      </c>
      <c r="FS414">
        <v>0</v>
      </c>
      <c r="FX414">
        <v>114</v>
      </c>
      <c r="FY414">
        <v>67</v>
      </c>
      <c r="GA414" t="s">
        <v>3</v>
      </c>
      <c r="GD414">
        <v>0</v>
      </c>
      <c r="GF414">
        <v>945129579</v>
      </c>
      <c r="GG414">
        <v>2</v>
      </c>
      <c r="GH414">
        <v>1</v>
      </c>
      <c r="GI414">
        <v>3</v>
      </c>
      <c r="GJ414">
        <v>0</v>
      </c>
      <c r="GK414">
        <f>ROUND(R414*(S12)/100,2)</f>
        <v>4.37</v>
      </c>
      <c r="GL414">
        <f t="shared" si="382"/>
        <v>0</v>
      </c>
      <c r="GM414">
        <f t="shared" si="383"/>
        <v>710.07</v>
      </c>
      <c r="GN414">
        <f t="shared" si="384"/>
        <v>0</v>
      </c>
      <c r="GO414">
        <f t="shared" si="385"/>
        <v>710.07</v>
      </c>
      <c r="GP414">
        <f t="shared" si="386"/>
        <v>0</v>
      </c>
      <c r="GR414">
        <v>0</v>
      </c>
      <c r="GS414">
        <v>3</v>
      </c>
      <c r="GT414">
        <v>0</v>
      </c>
      <c r="GU414" t="s">
        <v>3</v>
      </c>
      <c r="GV414">
        <f t="shared" si="387"/>
        <v>0</v>
      </c>
      <c r="GW414">
        <v>1</v>
      </c>
      <c r="GX414">
        <f t="shared" si="388"/>
        <v>0</v>
      </c>
      <c r="HA414">
        <v>0</v>
      </c>
      <c r="HB414">
        <v>0</v>
      </c>
      <c r="IK414">
        <v>0</v>
      </c>
    </row>
    <row r="415" spans="1:255" x14ac:dyDescent="0.2">
      <c r="A415" s="2">
        <v>18</v>
      </c>
      <c r="B415" s="2">
        <v>1</v>
      </c>
      <c r="C415" s="2">
        <v>390</v>
      </c>
      <c r="D415" s="2"/>
      <c r="E415" s="2" t="s">
        <v>511</v>
      </c>
      <c r="F415" s="2" t="s">
        <v>512</v>
      </c>
      <c r="G415" s="2" t="s">
        <v>513</v>
      </c>
      <c r="H415" s="2" t="s">
        <v>503</v>
      </c>
      <c r="I415" s="2">
        <f>I413*J415</f>
        <v>7.0000000000000001E-3</v>
      </c>
      <c r="J415" s="2">
        <v>1.3725490196078431E-2</v>
      </c>
      <c r="K415" s="2"/>
      <c r="L415" s="2"/>
      <c r="M415" s="2"/>
      <c r="N415" s="2"/>
      <c r="O415" s="2">
        <f t="shared" si="350"/>
        <v>53.55</v>
      </c>
      <c r="P415" s="2">
        <f t="shared" si="351"/>
        <v>53.55</v>
      </c>
      <c r="Q415" s="2">
        <f t="shared" si="352"/>
        <v>0</v>
      </c>
      <c r="R415" s="2">
        <f t="shared" si="353"/>
        <v>0</v>
      </c>
      <c r="S415" s="2">
        <f t="shared" si="354"/>
        <v>0</v>
      </c>
      <c r="T415" s="2">
        <f t="shared" si="355"/>
        <v>0</v>
      </c>
      <c r="U415" s="2">
        <f t="shared" si="356"/>
        <v>0</v>
      </c>
      <c r="V415" s="2">
        <f t="shared" si="357"/>
        <v>0</v>
      </c>
      <c r="W415" s="2">
        <f t="shared" si="358"/>
        <v>0</v>
      </c>
      <c r="X415" s="2">
        <f t="shared" si="359"/>
        <v>0</v>
      </c>
      <c r="Y415" s="2">
        <f t="shared" si="360"/>
        <v>0</v>
      </c>
      <c r="Z415" s="2"/>
      <c r="AA415" s="2">
        <v>45037306</v>
      </c>
      <c r="AB415" s="2">
        <f t="shared" si="361"/>
        <v>7649.72</v>
      </c>
      <c r="AC415" s="2">
        <f t="shared" si="362"/>
        <v>7649.72</v>
      </c>
      <c r="AD415" s="2">
        <f t="shared" ref="AD415:AF418" si="393">ROUND((ET415),6)</f>
        <v>0</v>
      </c>
      <c r="AE415" s="2">
        <f t="shared" si="393"/>
        <v>0</v>
      </c>
      <c r="AF415" s="2">
        <f t="shared" si="393"/>
        <v>0</v>
      </c>
      <c r="AG415" s="2">
        <f t="shared" si="366"/>
        <v>0</v>
      </c>
      <c r="AH415" s="2">
        <f t="shared" ref="AH415:AI418" si="394">(EW415)</f>
        <v>0</v>
      </c>
      <c r="AI415" s="2">
        <f t="shared" si="394"/>
        <v>0</v>
      </c>
      <c r="AJ415" s="2">
        <f t="shared" si="369"/>
        <v>0</v>
      </c>
      <c r="AK415" s="2">
        <v>7649.72</v>
      </c>
      <c r="AL415" s="2">
        <v>7649.72</v>
      </c>
      <c r="AM415" s="2">
        <v>0</v>
      </c>
      <c r="AN415" s="2">
        <v>0</v>
      </c>
      <c r="AO415" s="2">
        <v>0</v>
      </c>
      <c r="AP415" s="2">
        <v>0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1</v>
      </c>
      <c r="AW415" s="2">
        <v>1</v>
      </c>
      <c r="AX415" s="2"/>
      <c r="AY415" s="2"/>
      <c r="AZ415" s="2">
        <v>1</v>
      </c>
      <c r="BA415" s="2">
        <v>1</v>
      </c>
      <c r="BB415" s="2">
        <v>1</v>
      </c>
      <c r="BC415" s="2">
        <v>1</v>
      </c>
      <c r="BD415" s="2" t="s">
        <v>3</v>
      </c>
      <c r="BE415" s="2" t="s">
        <v>3</v>
      </c>
      <c r="BF415" s="2" t="s">
        <v>3</v>
      </c>
      <c r="BG415" s="2" t="s">
        <v>3</v>
      </c>
      <c r="BH415" s="2">
        <v>3</v>
      </c>
      <c r="BI415" s="2">
        <v>2</v>
      </c>
      <c r="BJ415" s="2" t="s">
        <v>514</v>
      </c>
      <c r="BK415" s="2"/>
      <c r="BL415" s="2"/>
      <c r="BM415" s="2">
        <v>331</v>
      </c>
      <c r="BN415" s="2">
        <v>7156650</v>
      </c>
      <c r="BO415" s="2" t="s">
        <v>3</v>
      </c>
      <c r="BP415" s="2">
        <v>0</v>
      </c>
      <c r="BQ415" s="2">
        <v>40</v>
      </c>
      <c r="BR415" s="2">
        <v>0</v>
      </c>
      <c r="BS415" s="2">
        <v>1</v>
      </c>
      <c r="BT415" s="2">
        <v>1</v>
      </c>
      <c r="BU415" s="2">
        <v>1</v>
      </c>
      <c r="BV415" s="2">
        <v>1</v>
      </c>
      <c r="BW415" s="2">
        <v>1</v>
      </c>
      <c r="BX415" s="2">
        <v>1</v>
      </c>
      <c r="BY415" s="2" t="s">
        <v>3</v>
      </c>
      <c r="BZ415" s="2">
        <v>0</v>
      </c>
      <c r="CA415" s="2">
        <v>0</v>
      </c>
      <c r="CB415" s="2"/>
      <c r="CC415" s="2"/>
      <c r="CD415" s="2"/>
      <c r="CE415" s="2"/>
      <c r="CF415" s="2">
        <v>0</v>
      </c>
      <c r="CG415" s="2">
        <v>0</v>
      </c>
      <c r="CH415" s="2"/>
      <c r="CI415" s="2"/>
      <c r="CJ415" s="2"/>
      <c r="CK415" s="2"/>
      <c r="CL415" s="2"/>
      <c r="CM415" s="2">
        <v>0</v>
      </c>
      <c r="CN415" s="2" t="s">
        <v>3</v>
      </c>
      <c r="CO415" s="2">
        <v>0</v>
      </c>
      <c r="CP415" s="2">
        <f t="shared" si="370"/>
        <v>53.55</v>
      </c>
      <c r="CQ415" s="2">
        <f t="shared" si="371"/>
        <v>7649.72</v>
      </c>
      <c r="CR415" s="2">
        <f t="shared" si="372"/>
        <v>0</v>
      </c>
      <c r="CS415" s="2">
        <f t="shared" si="373"/>
        <v>0</v>
      </c>
      <c r="CT415" s="2">
        <f t="shared" si="374"/>
        <v>0</v>
      </c>
      <c r="CU415" s="2">
        <f t="shared" si="375"/>
        <v>0</v>
      </c>
      <c r="CV415" s="2">
        <f t="shared" si="376"/>
        <v>0</v>
      </c>
      <c r="CW415" s="2">
        <f t="shared" si="377"/>
        <v>0</v>
      </c>
      <c r="CX415" s="2">
        <f t="shared" si="378"/>
        <v>0</v>
      </c>
      <c r="CY415" s="2">
        <f t="shared" si="379"/>
        <v>0</v>
      </c>
      <c r="CZ415" s="2">
        <f t="shared" si="380"/>
        <v>0</v>
      </c>
      <c r="DA415" s="2"/>
      <c r="DB415" s="2"/>
      <c r="DC415" s="2" t="s">
        <v>3</v>
      </c>
      <c r="DD415" s="2" t="s">
        <v>3</v>
      </c>
      <c r="DE415" s="2" t="s">
        <v>3</v>
      </c>
      <c r="DF415" s="2" t="s">
        <v>3</v>
      </c>
      <c r="DG415" s="2" t="s">
        <v>3</v>
      </c>
      <c r="DH415" s="2" t="s">
        <v>3</v>
      </c>
      <c r="DI415" s="2" t="s">
        <v>3</v>
      </c>
      <c r="DJ415" s="2" t="s">
        <v>3</v>
      </c>
      <c r="DK415" s="2" t="s">
        <v>3</v>
      </c>
      <c r="DL415" s="2" t="s">
        <v>3</v>
      </c>
      <c r="DM415" s="2" t="s">
        <v>3</v>
      </c>
      <c r="DN415" s="2">
        <v>114</v>
      </c>
      <c r="DO415" s="2">
        <v>67</v>
      </c>
      <c r="DP415" s="2">
        <v>1.0469999999999999</v>
      </c>
      <c r="DQ415" s="2">
        <v>1</v>
      </c>
      <c r="DR415" s="2"/>
      <c r="DS415" s="2"/>
      <c r="DT415" s="2"/>
      <c r="DU415" s="2">
        <v>1003</v>
      </c>
      <c r="DV415" s="2" t="s">
        <v>503</v>
      </c>
      <c r="DW415" s="2" t="s">
        <v>503</v>
      </c>
      <c r="DX415" s="2">
        <v>1000</v>
      </c>
      <c r="DY415" s="2"/>
      <c r="DZ415" s="2"/>
      <c r="EA415" s="2"/>
      <c r="EB415" s="2"/>
      <c r="EC415" s="2"/>
      <c r="ED415" s="2"/>
      <c r="EE415" s="2">
        <v>44846838</v>
      </c>
      <c r="EF415" s="2">
        <v>40</v>
      </c>
      <c r="EG415" s="2" t="s">
        <v>453</v>
      </c>
      <c r="EH415" s="2">
        <v>0</v>
      </c>
      <c r="EI415" s="2" t="s">
        <v>3</v>
      </c>
      <c r="EJ415" s="2">
        <v>2</v>
      </c>
      <c r="EK415" s="2">
        <v>331</v>
      </c>
      <c r="EL415" s="2" t="s">
        <v>499</v>
      </c>
      <c r="EM415" s="2" t="s">
        <v>500</v>
      </c>
      <c r="EN415" s="2"/>
      <c r="EO415" s="2" t="s">
        <v>3</v>
      </c>
      <c r="EP415" s="2"/>
      <c r="EQ415" s="2">
        <v>0</v>
      </c>
      <c r="ER415" s="2">
        <v>7649.72</v>
      </c>
      <c r="ES415" s="2">
        <v>7649.72</v>
      </c>
      <c r="ET415" s="2">
        <v>0</v>
      </c>
      <c r="EU415" s="2">
        <v>0</v>
      </c>
      <c r="EV415" s="2">
        <v>0</v>
      </c>
      <c r="EW415" s="2">
        <v>0</v>
      </c>
      <c r="EX415" s="2">
        <v>0</v>
      </c>
      <c r="EY415" s="2"/>
      <c r="EZ415" s="2"/>
      <c r="FA415" s="2"/>
      <c r="FB415" s="2"/>
      <c r="FC415" s="2"/>
      <c r="FD415" s="2"/>
      <c r="FE415" s="2"/>
      <c r="FF415" s="2"/>
      <c r="FG415" s="2"/>
      <c r="FH415" s="2"/>
      <c r="FI415" s="2"/>
      <c r="FJ415" s="2"/>
      <c r="FK415" s="2"/>
      <c r="FL415" s="2"/>
      <c r="FM415" s="2"/>
      <c r="FN415" s="2"/>
      <c r="FO415" s="2"/>
      <c r="FP415" s="2"/>
      <c r="FQ415" s="2">
        <v>0</v>
      </c>
      <c r="FR415" s="2">
        <f t="shared" si="381"/>
        <v>0</v>
      </c>
      <c r="FS415" s="2">
        <v>0</v>
      </c>
      <c r="FT415" s="2"/>
      <c r="FU415" s="2"/>
      <c r="FV415" s="2"/>
      <c r="FW415" s="2"/>
      <c r="FX415" s="2">
        <v>114</v>
      </c>
      <c r="FY415" s="2">
        <v>67</v>
      </c>
      <c r="FZ415" s="2"/>
      <c r="GA415" s="2" t="s">
        <v>3</v>
      </c>
      <c r="GB415" s="2"/>
      <c r="GC415" s="2"/>
      <c r="GD415" s="2">
        <v>0</v>
      </c>
      <c r="GE415" s="2"/>
      <c r="GF415" s="2">
        <v>516804880</v>
      </c>
      <c r="GG415" s="2">
        <v>2</v>
      </c>
      <c r="GH415" s="2">
        <v>1</v>
      </c>
      <c r="GI415" s="2">
        <v>3</v>
      </c>
      <c r="GJ415" s="2">
        <v>0</v>
      </c>
      <c r="GK415" s="2">
        <f>ROUND(R415*(R12)/100,2)</f>
        <v>0</v>
      </c>
      <c r="GL415" s="2">
        <f t="shared" si="382"/>
        <v>0</v>
      </c>
      <c r="GM415" s="2">
        <f t="shared" si="383"/>
        <v>53.55</v>
      </c>
      <c r="GN415" s="2">
        <f t="shared" si="384"/>
        <v>0</v>
      </c>
      <c r="GO415" s="2">
        <f t="shared" si="385"/>
        <v>53.55</v>
      </c>
      <c r="GP415" s="2">
        <f t="shared" si="386"/>
        <v>0</v>
      </c>
      <c r="GQ415" s="2"/>
      <c r="GR415" s="2">
        <v>0</v>
      </c>
      <c r="GS415" s="2">
        <v>3</v>
      </c>
      <c r="GT415" s="2">
        <v>0</v>
      </c>
      <c r="GU415" s="2" t="s">
        <v>3</v>
      </c>
      <c r="GV415" s="2">
        <f t="shared" si="387"/>
        <v>0</v>
      </c>
      <c r="GW415" s="2">
        <v>1</v>
      </c>
      <c r="GX415" s="2">
        <f t="shared" si="388"/>
        <v>0</v>
      </c>
      <c r="GY415" s="2"/>
      <c r="GZ415" s="2"/>
      <c r="HA415" s="2">
        <v>0</v>
      </c>
      <c r="HB415" s="2">
        <v>0</v>
      </c>
      <c r="HC415" s="2"/>
      <c r="HD415" s="2"/>
      <c r="HE415" s="2"/>
      <c r="HF415" s="2"/>
      <c r="HG415" s="2"/>
      <c r="HH415" s="2"/>
      <c r="HI415" s="2"/>
      <c r="HJ415" s="2"/>
      <c r="HK415" s="2"/>
      <c r="HL415" s="2"/>
      <c r="HM415" s="2"/>
      <c r="HN415" s="2"/>
      <c r="HO415" s="2"/>
      <c r="HP415" s="2"/>
      <c r="HQ415" s="2"/>
      <c r="HR415" s="2"/>
      <c r="HS415" s="2"/>
      <c r="HT415" s="2"/>
      <c r="HU415" s="2"/>
      <c r="HV415" s="2"/>
      <c r="HW415" s="2"/>
      <c r="HX415" s="2"/>
      <c r="HY415" s="2"/>
      <c r="HZ415" s="2"/>
      <c r="IA415" s="2"/>
      <c r="IB415" s="2"/>
      <c r="IC415" s="2"/>
      <c r="ID415" s="2"/>
      <c r="IE415" s="2"/>
      <c r="IF415" s="2"/>
      <c r="IG415" s="2"/>
      <c r="IH415" s="2"/>
      <c r="II415" s="2"/>
      <c r="IJ415" s="2"/>
      <c r="IK415" s="2">
        <v>0</v>
      </c>
      <c r="IL415" s="2"/>
      <c r="IM415" s="2"/>
      <c r="IN415" s="2"/>
      <c r="IO415" s="2"/>
      <c r="IP415" s="2"/>
      <c r="IQ415" s="2"/>
      <c r="IR415" s="2"/>
      <c r="IS415" s="2"/>
      <c r="IT415" s="2"/>
      <c r="IU415" s="2"/>
    </row>
    <row r="416" spans="1:255" x14ac:dyDescent="0.2">
      <c r="A416">
        <v>18</v>
      </c>
      <c r="B416">
        <v>1</v>
      </c>
      <c r="C416">
        <v>393</v>
      </c>
      <c r="E416" t="s">
        <v>511</v>
      </c>
      <c r="F416" t="s">
        <v>512</v>
      </c>
      <c r="G416" t="s">
        <v>513</v>
      </c>
      <c r="H416" t="s">
        <v>503</v>
      </c>
      <c r="I416">
        <f>I414*J416</f>
        <v>7.0000000000000001E-3</v>
      </c>
      <c r="J416">
        <v>1.3725490196078431E-2</v>
      </c>
      <c r="O416">
        <f t="shared" si="350"/>
        <v>186.88</v>
      </c>
      <c r="P416">
        <f t="shared" si="351"/>
        <v>186.88</v>
      </c>
      <c r="Q416">
        <f t="shared" si="352"/>
        <v>0</v>
      </c>
      <c r="R416">
        <f t="shared" si="353"/>
        <v>0</v>
      </c>
      <c r="S416">
        <f t="shared" si="354"/>
        <v>0</v>
      </c>
      <c r="T416">
        <f t="shared" si="355"/>
        <v>0</v>
      </c>
      <c r="U416">
        <f t="shared" si="356"/>
        <v>0</v>
      </c>
      <c r="V416">
        <f t="shared" si="357"/>
        <v>0</v>
      </c>
      <c r="W416">
        <f t="shared" si="358"/>
        <v>0</v>
      </c>
      <c r="X416">
        <f t="shared" si="359"/>
        <v>0</v>
      </c>
      <c r="Y416">
        <f t="shared" si="360"/>
        <v>0</v>
      </c>
      <c r="AA416">
        <v>45037307</v>
      </c>
      <c r="AB416">
        <f t="shared" si="361"/>
        <v>7649.72</v>
      </c>
      <c r="AC416">
        <f t="shared" si="362"/>
        <v>7649.72</v>
      </c>
      <c r="AD416">
        <f t="shared" si="393"/>
        <v>0</v>
      </c>
      <c r="AE416">
        <f t="shared" si="393"/>
        <v>0</v>
      </c>
      <c r="AF416">
        <f t="shared" si="393"/>
        <v>0</v>
      </c>
      <c r="AG416">
        <f t="shared" si="366"/>
        <v>0</v>
      </c>
      <c r="AH416">
        <f t="shared" si="394"/>
        <v>0</v>
      </c>
      <c r="AI416">
        <f t="shared" si="394"/>
        <v>0</v>
      </c>
      <c r="AJ416">
        <f t="shared" si="369"/>
        <v>0</v>
      </c>
      <c r="AK416">
        <v>7649.72</v>
      </c>
      <c r="AL416">
        <v>7649.72</v>
      </c>
      <c r="AM416">
        <v>0</v>
      </c>
      <c r="AN416">
        <v>0</v>
      </c>
      <c r="AO416">
        <v>0</v>
      </c>
      <c r="AP416">
        <v>0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1</v>
      </c>
      <c r="AW416">
        <v>1</v>
      </c>
      <c r="AZ416">
        <v>1</v>
      </c>
      <c r="BA416">
        <v>1</v>
      </c>
      <c r="BB416">
        <v>1</v>
      </c>
      <c r="BC416">
        <v>3.49</v>
      </c>
      <c r="BD416" t="s">
        <v>3</v>
      </c>
      <c r="BE416" t="s">
        <v>3</v>
      </c>
      <c r="BF416" t="s">
        <v>3</v>
      </c>
      <c r="BG416" t="s">
        <v>3</v>
      </c>
      <c r="BH416">
        <v>3</v>
      </c>
      <c r="BI416">
        <v>2</v>
      </c>
      <c r="BJ416" t="s">
        <v>514</v>
      </c>
      <c r="BM416">
        <v>331</v>
      </c>
      <c r="BN416">
        <v>7156650</v>
      </c>
      <c r="BO416" t="s">
        <v>512</v>
      </c>
      <c r="BP416">
        <v>1</v>
      </c>
      <c r="BQ416">
        <v>40</v>
      </c>
      <c r="BR416">
        <v>0</v>
      </c>
      <c r="BS416">
        <v>1</v>
      </c>
      <c r="BT416">
        <v>1</v>
      </c>
      <c r="BU416">
        <v>1</v>
      </c>
      <c r="BV416">
        <v>1</v>
      </c>
      <c r="BW416">
        <v>1</v>
      </c>
      <c r="BX416">
        <v>1</v>
      </c>
      <c r="BY416" t="s">
        <v>3</v>
      </c>
      <c r="BZ416">
        <v>0</v>
      </c>
      <c r="CA416">
        <v>0</v>
      </c>
      <c r="CF416">
        <v>0</v>
      </c>
      <c r="CG416">
        <v>0</v>
      </c>
      <c r="CM416">
        <v>0</v>
      </c>
      <c r="CN416" t="s">
        <v>3</v>
      </c>
      <c r="CO416">
        <v>0</v>
      </c>
      <c r="CP416">
        <f t="shared" si="370"/>
        <v>186.88</v>
      </c>
      <c r="CQ416">
        <f t="shared" si="371"/>
        <v>26697.522800000002</v>
      </c>
      <c r="CR416">
        <f t="shared" si="372"/>
        <v>0</v>
      </c>
      <c r="CS416">
        <f t="shared" si="373"/>
        <v>0</v>
      </c>
      <c r="CT416">
        <f t="shared" si="374"/>
        <v>0</v>
      </c>
      <c r="CU416">
        <f t="shared" si="375"/>
        <v>0</v>
      </c>
      <c r="CV416">
        <f t="shared" si="376"/>
        <v>0</v>
      </c>
      <c r="CW416">
        <f t="shared" si="377"/>
        <v>0</v>
      </c>
      <c r="CX416">
        <f t="shared" si="378"/>
        <v>0</v>
      </c>
      <c r="CY416">
        <f t="shared" si="379"/>
        <v>0</v>
      </c>
      <c r="CZ416">
        <f t="shared" si="380"/>
        <v>0</v>
      </c>
      <c r="DC416" t="s">
        <v>3</v>
      </c>
      <c r="DD416" t="s">
        <v>3</v>
      </c>
      <c r="DE416" t="s">
        <v>3</v>
      </c>
      <c r="DF416" t="s">
        <v>3</v>
      </c>
      <c r="DG416" t="s">
        <v>3</v>
      </c>
      <c r="DH416" t="s">
        <v>3</v>
      </c>
      <c r="DI416" t="s">
        <v>3</v>
      </c>
      <c r="DJ416" t="s">
        <v>3</v>
      </c>
      <c r="DK416" t="s">
        <v>3</v>
      </c>
      <c r="DL416" t="s">
        <v>3</v>
      </c>
      <c r="DM416" t="s">
        <v>3</v>
      </c>
      <c r="DN416">
        <v>114</v>
      </c>
      <c r="DO416">
        <v>67</v>
      </c>
      <c r="DP416">
        <v>1.0469999999999999</v>
      </c>
      <c r="DQ416">
        <v>1</v>
      </c>
      <c r="DU416">
        <v>1003</v>
      </c>
      <c r="DV416" t="s">
        <v>503</v>
      </c>
      <c r="DW416" t="s">
        <v>503</v>
      </c>
      <c r="DX416">
        <v>1000</v>
      </c>
      <c r="EE416">
        <v>44846838</v>
      </c>
      <c r="EF416">
        <v>40</v>
      </c>
      <c r="EG416" t="s">
        <v>453</v>
      </c>
      <c r="EH416">
        <v>0</v>
      </c>
      <c r="EI416" t="s">
        <v>3</v>
      </c>
      <c r="EJ416">
        <v>2</v>
      </c>
      <c r="EK416">
        <v>331</v>
      </c>
      <c r="EL416" t="s">
        <v>499</v>
      </c>
      <c r="EM416" t="s">
        <v>500</v>
      </c>
      <c r="EO416" t="s">
        <v>3</v>
      </c>
      <c r="EQ416">
        <v>0</v>
      </c>
      <c r="ER416">
        <v>7649.72</v>
      </c>
      <c r="ES416">
        <v>7649.72</v>
      </c>
      <c r="ET416">
        <v>0</v>
      </c>
      <c r="EU416">
        <v>0</v>
      </c>
      <c r="EV416">
        <v>0</v>
      </c>
      <c r="EW416">
        <v>0</v>
      </c>
      <c r="EX416">
        <v>0</v>
      </c>
      <c r="FQ416">
        <v>0</v>
      </c>
      <c r="FR416">
        <f t="shared" si="381"/>
        <v>0</v>
      </c>
      <c r="FS416">
        <v>0</v>
      </c>
      <c r="FX416">
        <v>114</v>
      </c>
      <c r="FY416">
        <v>67</v>
      </c>
      <c r="GA416" t="s">
        <v>3</v>
      </c>
      <c r="GD416">
        <v>0</v>
      </c>
      <c r="GF416">
        <v>516804880</v>
      </c>
      <c r="GG416">
        <v>2</v>
      </c>
      <c r="GH416">
        <v>1</v>
      </c>
      <c r="GI416">
        <v>3</v>
      </c>
      <c r="GJ416">
        <v>0</v>
      </c>
      <c r="GK416">
        <f>ROUND(R416*(S12)/100,2)</f>
        <v>0</v>
      </c>
      <c r="GL416">
        <f t="shared" si="382"/>
        <v>0</v>
      </c>
      <c r="GM416">
        <f t="shared" si="383"/>
        <v>186.88</v>
      </c>
      <c r="GN416">
        <f t="shared" si="384"/>
        <v>0</v>
      </c>
      <c r="GO416">
        <f t="shared" si="385"/>
        <v>186.88</v>
      </c>
      <c r="GP416">
        <f t="shared" si="386"/>
        <v>0</v>
      </c>
      <c r="GR416">
        <v>0</v>
      </c>
      <c r="GS416">
        <v>3</v>
      </c>
      <c r="GT416">
        <v>0</v>
      </c>
      <c r="GU416" t="s">
        <v>3</v>
      </c>
      <c r="GV416">
        <f t="shared" si="387"/>
        <v>0</v>
      </c>
      <c r="GW416">
        <v>1</v>
      </c>
      <c r="GX416">
        <f t="shared" si="388"/>
        <v>0</v>
      </c>
      <c r="HA416">
        <v>0</v>
      </c>
      <c r="HB416">
        <v>0</v>
      </c>
      <c r="IK416">
        <v>0</v>
      </c>
    </row>
    <row r="417" spans="1:255" x14ac:dyDescent="0.2">
      <c r="A417" s="2">
        <v>18</v>
      </c>
      <c r="B417" s="2">
        <v>1</v>
      </c>
      <c r="C417" s="2">
        <v>391</v>
      </c>
      <c r="D417" s="2"/>
      <c r="E417" s="2" t="s">
        <v>515</v>
      </c>
      <c r="F417" s="2" t="s">
        <v>258</v>
      </c>
      <c r="G417" s="2" t="s">
        <v>502</v>
      </c>
      <c r="H417" s="2" t="s">
        <v>503</v>
      </c>
      <c r="I417" s="2">
        <f>I413*J417</f>
        <v>4.5999999999999999E-2</v>
      </c>
      <c r="J417" s="2">
        <v>9.0196078431372548E-2</v>
      </c>
      <c r="K417" s="2"/>
      <c r="L417" s="2"/>
      <c r="M417" s="2"/>
      <c r="N417" s="2"/>
      <c r="O417" s="2">
        <f t="shared" si="350"/>
        <v>716.79</v>
      </c>
      <c r="P417" s="2">
        <f t="shared" si="351"/>
        <v>716.79</v>
      </c>
      <c r="Q417" s="2">
        <f t="shared" si="352"/>
        <v>0</v>
      </c>
      <c r="R417" s="2">
        <f t="shared" si="353"/>
        <v>0</v>
      </c>
      <c r="S417" s="2">
        <f t="shared" si="354"/>
        <v>0</v>
      </c>
      <c r="T417" s="2">
        <f t="shared" si="355"/>
        <v>0</v>
      </c>
      <c r="U417" s="2">
        <f t="shared" si="356"/>
        <v>0</v>
      </c>
      <c r="V417" s="2">
        <f t="shared" si="357"/>
        <v>0</v>
      </c>
      <c r="W417" s="2">
        <f t="shared" si="358"/>
        <v>0</v>
      </c>
      <c r="X417" s="2">
        <f t="shared" si="359"/>
        <v>0</v>
      </c>
      <c r="Y417" s="2">
        <f t="shared" si="360"/>
        <v>0</v>
      </c>
      <c r="Z417" s="2"/>
      <c r="AA417" s="2">
        <v>45037306</v>
      </c>
      <c r="AB417" s="2">
        <f t="shared" si="361"/>
        <v>15582.46</v>
      </c>
      <c r="AC417" s="2">
        <f t="shared" si="362"/>
        <v>15582.46</v>
      </c>
      <c r="AD417" s="2">
        <f t="shared" si="393"/>
        <v>0</v>
      </c>
      <c r="AE417" s="2">
        <f t="shared" si="393"/>
        <v>0</v>
      </c>
      <c r="AF417" s="2">
        <f t="shared" si="393"/>
        <v>0</v>
      </c>
      <c r="AG417" s="2">
        <f t="shared" si="366"/>
        <v>0</v>
      </c>
      <c r="AH417" s="2">
        <f t="shared" si="394"/>
        <v>0</v>
      </c>
      <c r="AI417" s="2">
        <f t="shared" si="394"/>
        <v>0</v>
      </c>
      <c r="AJ417" s="2">
        <f t="shared" si="369"/>
        <v>0</v>
      </c>
      <c r="AK417" s="2">
        <v>15582.460000000001</v>
      </c>
      <c r="AL417" s="2">
        <v>15582.460000000001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1</v>
      </c>
      <c r="AW417" s="2">
        <v>1</v>
      </c>
      <c r="AX417" s="2"/>
      <c r="AY417" s="2"/>
      <c r="AZ417" s="2">
        <v>1</v>
      </c>
      <c r="BA417" s="2">
        <v>1</v>
      </c>
      <c r="BB417" s="2">
        <v>1</v>
      </c>
      <c r="BC417" s="2">
        <v>1</v>
      </c>
      <c r="BD417" s="2" t="s">
        <v>3</v>
      </c>
      <c r="BE417" s="2" t="s">
        <v>3</v>
      </c>
      <c r="BF417" s="2" t="s">
        <v>3</v>
      </c>
      <c r="BG417" s="2" t="s">
        <v>3</v>
      </c>
      <c r="BH417" s="2">
        <v>3</v>
      </c>
      <c r="BI417" s="2">
        <v>2</v>
      </c>
      <c r="BJ417" s="2" t="s">
        <v>504</v>
      </c>
      <c r="BK417" s="2"/>
      <c r="BL417" s="2"/>
      <c r="BM417" s="2">
        <v>331</v>
      </c>
      <c r="BN417" s="2">
        <v>0</v>
      </c>
      <c r="BO417" s="2" t="s">
        <v>3</v>
      </c>
      <c r="BP417" s="2">
        <v>0</v>
      </c>
      <c r="BQ417" s="2">
        <v>40</v>
      </c>
      <c r="BR417" s="2">
        <v>0</v>
      </c>
      <c r="BS417" s="2">
        <v>1</v>
      </c>
      <c r="BT417" s="2">
        <v>1</v>
      </c>
      <c r="BU417" s="2">
        <v>1</v>
      </c>
      <c r="BV417" s="2">
        <v>1</v>
      </c>
      <c r="BW417" s="2">
        <v>1</v>
      </c>
      <c r="BX417" s="2">
        <v>1</v>
      </c>
      <c r="BY417" s="2" t="s">
        <v>3</v>
      </c>
      <c r="BZ417" s="2">
        <v>0</v>
      </c>
      <c r="CA417" s="2">
        <v>0</v>
      </c>
      <c r="CB417" s="2"/>
      <c r="CC417" s="2"/>
      <c r="CD417" s="2"/>
      <c r="CE417" s="2"/>
      <c r="CF417" s="2">
        <v>0</v>
      </c>
      <c r="CG417" s="2">
        <v>0</v>
      </c>
      <c r="CH417" s="2"/>
      <c r="CI417" s="2"/>
      <c r="CJ417" s="2"/>
      <c r="CK417" s="2"/>
      <c r="CL417" s="2"/>
      <c r="CM417" s="2">
        <v>0</v>
      </c>
      <c r="CN417" s="2" t="s">
        <v>3</v>
      </c>
      <c r="CO417" s="2">
        <v>0</v>
      </c>
      <c r="CP417" s="2">
        <f t="shared" si="370"/>
        <v>716.79</v>
      </c>
      <c r="CQ417" s="2">
        <f t="shared" si="371"/>
        <v>15582.46</v>
      </c>
      <c r="CR417" s="2">
        <f t="shared" si="372"/>
        <v>0</v>
      </c>
      <c r="CS417" s="2">
        <f t="shared" si="373"/>
        <v>0</v>
      </c>
      <c r="CT417" s="2">
        <f t="shared" si="374"/>
        <v>0</v>
      </c>
      <c r="CU417" s="2">
        <f t="shared" si="375"/>
        <v>0</v>
      </c>
      <c r="CV417" s="2">
        <f t="shared" si="376"/>
        <v>0</v>
      </c>
      <c r="CW417" s="2">
        <f t="shared" si="377"/>
        <v>0</v>
      </c>
      <c r="CX417" s="2">
        <f t="shared" si="378"/>
        <v>0</v>
      </c>
      <c r="CY417" s="2">
        <f t="shared" si="379"/>
        <v>0</v>
      </c>
      <c r="CZ417" s="2">
        <f t="shared" si="380"/>
        <v>0</v>
      </c>
      <c r="DA417" s="2"/>
      <c r="DB417" s="2"/>
      <c r="DC417" s="2" t="s">
        <v>3</v>
      </c>
      <c r="DD417" s="2" t="s">
        <v>3</v>
      </c>
      <c r="DE417" s="2" t="s">
        <v>3</v>
      </c>
      <c r="DF417" s="2" t="s">
        <v>3</v>
      </c>
      <c r="DG417" s="2" t="s">
        <v>3</v>
      </c>
      <c r="DH417" s="2" t="s">
        <v>3</v>
      </c>
      <c r="DI417" s="2" t="s">
        <v>3</v>
      </c>
      <c r="DJ417" s="2" t="s">
        <v>3</v>
      </c>
      <c r="DK417" s="2" t="s">
        <v>3</v>
      </c>
      <c r="DL417" s="2" t="s">
        <v>3</v>
      </c>
      <c r="DM417" s="2" t="s">
        <v>3</v>
      </c>
      <c r="DN417" s="2">
        <v>114</v>
      </c>
      <c r="DO417" s="2">
        <v>67</v>
      </c>
      <c r="DP417" s="2">
        <v>1.0469999999999999</v>
      </c>
      <c r="DQ417" s="2">
        <v>1</v>
      </c>
      <c r="DR417" s="2"/>
      <c r="DS417" s="2"/>
      <c r="DT417" s="2"/>
      <c r="DU417" s="2">
        <v>1003</v>
      </c>
      <c r="DV417" s="2" t="s">
        <v>503</v>
      </c>
      <c r="DW417" s="2" t="s">
        <v>503</v>
      </c>
      <c r="DX417" s="2">
        <v>1000</v>
      </c>
      <c r="DY417" s="2"/>
      <c r="DZ417" s="2"/>
      <c r="EA417" s="2"/>
      <c r="EB417" s="2"/>
      <c r="EC417" s="2"/>
      <c r="ED417" s="2"/>
      <c r="EE417" s="2">
        <v>44846838</v>
      </c>
      <c r="EF417" s="2">
        <v>40</v>
      </c>
      <c r="EG417" s="2" t="s">
        <v>453</v>
      </c>
      <c r="EH417" s="2">
        <v>0</v>
      </c>
      <c r="EI417" s="2" t="s">
        <v>3</v>
      </c>
      <c r="EJ417" s="2">
        <v>2</v>
      </c>
      <c r="EK417" s="2">
        <v>331</v>
      </c>
      <c r="EL417" s="2" t="s">
        <v>499</v>
      </c>
      <c r="EM417" s="2" t="s">
        <v>500</v>
      </c>
      <c r="EN417" s="2"/>
      <c r="EO417" s="2" t="s">
        <v>3</v>
      </c>
      <c r="EP417" s="2"/>
      <c r="EQ417" s="2">
        <v>0</v>
      </c>
      <c r="ER417" s="2">
        <v>0</v>
      </c>
      <c r="ES417" s="2">
        <v>15582.460000000001</v>
      </c>
      <c r="ET417" s="2">
        <v>0</v>
      </c>
      <c r="EU417" s="2">
        <v>0</v>
      </c>
      <c r="EV417" s="2">
        <v>0</v>
      </c>
      <c r="EW417" s="2">
        <v>0</v>
      </c>
      <c r="EX417" s="2">
        <v>0</v>
      </c>
      <c r="EY417" s="2"/>
      <c r="EZ417" s="2"/>
      <c r="FA417" s="2"/>
      <c r="FB417" s="2"/>
      <c r="FC417" s="2"/>
      <c r="FD417" s="2"/>
      <c r="FE417" s="2"/>
      <c r="FF417" s="2"/>
      <c r="FG417" s="2"/>
      <c r="FH417" s="2"/>
      <c r="FI417" s="2"/>
      <c r="FJ417" s="2"/>
      <c r="FK417" s="2"/>
      <c r="FL417" s="2"/>
      <c r="FM417" s="2"/>
      <c r="FN417" s="2"/>
      <c r="FO417" s="2"/>
      <c r="FP417" s="2"/>
      <c r="FQ417" s="2">
        <v>0</v>
      </c>
      <c r="FR417" s="2">
        <f t="shared" si="381"/>
        <v>0</v>
      </c>
      <c r="FS417" s="2">
        <v>0</v>
      </c>
      <c r="FT417" s="2"/>
      <c r="FU417" s="2"/>
      <c r="FV417" s="2"/>
      <c r="FW417" s="2"/>
      <c r="FX417" s="2">
        <v>114</v>
      </c>
      <c r="FY417" s="2">
        <v>67</v>
      </c>
      <c r="FZ417" s="2"/>
      <c r="GA417" s="2" t="s">
        <v>505</v>
      </c>
      <c r="GB417" s="2"/>
      <c r="GC417" s="2"/>
      <c r="GD417" s="2">
        <v>0</v>
      </c>
      <c r="GE417" s="2"/>
      <c r="GF417" s="2">
        <v>-649410947</v>
      </c>
      <c r="GG417" s="2">
        <v>2</v>
      </c>
      <c r="GH417" s="2">
        <v>4</v>
      </c>
      <c r="GI417" s="2">
        <v>3</v>
      </c>
      <c r="GJ417" s="2">
        <v>0</v>
      </c>
      <c r="GK417" s="2">
        <f>ROUND(R417*(R12)/100,2)</f>
        <v>0</v>
      </c>
      <c r="GL417" s="2">
        <f t="shared" si="382"/>
        <v>0</v>
      </c>
      <c r="GM417" s="2">
        <f t="shared" si="383"/>
        <v>716.79</v>
      </c>
      <c r="GN417" s="2">
        <f t="shared" si="384"/>
        <v>0</v>
      </c>
      <c r="GO417" s="2">
        <f t="shared" si="385"/>
        <v>716.79</v>
      </c>
      <c r="GP417" s="2">
        <f t="shared" si="386"/>
        <v>0</v>
      </c>
      <c r="GQ417" s="2"/>
      <c r="GR417" s="2">
        <v>0</v>
      </c>
      <c r="GS417" s="2">
        <v>2</v>
      </c>
      <c r="GT417" s="2">
        <v>0</v>
      </c>
      <c r="GU417" s="2" t="s">
        <v>3</v>
      </c>
      <c r="GV417" s="2">
        <f t="shared" si="387"/>
        <v>0</v>
      </c>
      <c r="GW417" s="2">
        <v>1</v>
      </c>
      <c r="GX417" s="2">
        <f t="shared" si="388"/>
        <v>0</v>
      </c>
      <c r="GY417" s="2"/>
      <c r="GZ417" s="2"/>
      <c r="HA417" s="2">
        <v>0</v>
      </c>
      <c r="HB417" s="2">
        <v>0</v>
      </c>
      <c r="HC417" s="2"/>
      <c r="HD417" s="2"/>
      <c r="HE417" s="2"/>
      <c r="HF417" s="2"/>
      <c r="HG417" s="2"/>
      <c r="HH417" s="2"/>
      <c r="HI417" s="2"/>
      <c r="HJ417" s="2"/>
      <c r="HK417" s="2"/>
      <c r="HL417" s="2"/>
      <c r="HM417" s="2"/>
      <c r="HN417" s="2"/>
      <c r="HO417" s="2"/>
      <c r="HP417" s="2"/>
      <c r="HQ417" s="2"/>
      <c r="HR417" s="2"/>
      <c r="HS417" s="2"/>
      <c r="HT417" s="2"/>
      <c r="HU417" s="2"/>
      <c r="HV417" s="2"/>
      <c r="HW417" s="2"/>
      <c r="HX417" s="2"/>
      <c r="HY417" s="2"/>
      <c r="HZ417" s="2"/>
      <c r="IA417" s="2"/>
      <c r="IB417" s="2"/>
      <c r="IC417" s="2"/>
      <c r="ID417" s="2"/>
      <c r="IE417" s="2"/>
      <c r="IF417" s="2"/>
      <c r="IG417" s="2"/>
      <c r="IH417" s="2"/>
      <c r="II417" s="2"/>
      <c r="IJ417" s="2"/>
      <c r="IK417" s="2">
        <v>0</v>
      </c>
      <c r="IL417" s="2"/>
      <c r="IM417" s="2"/>
      <c r="IN417" s="2"/>
      <c r="IO417" s="2"/>
      <c r="IP417" s="2"/>
      <c r="IQ417" s="2"/>
      <c r="IR417" s="2"/>
      <c r="IS417" s="2"/>
      <c r="IT417" s="2"/>
      <c r="IU417" s="2"/>
    </row>
    <row r="418" spans="1:255" x14ac:dyDescent="0.2">
      <c r="A418">
        <v>18</v>
      </c>
      <c r="B418">
        <v>1</v>
      </c>
      <c r="C418">
        <v>394</v>
      </c>
      <c r="E418" t="s">
        <v>515</v>
      </c>
      <c r="F418" t="s">
        <v>258</v>
      </c>
      <c r="G418" t="s">
        <v>502</v>
      </c>
      <c r="H418" t="s">
        <v>503</v>
      </c>
      <c r="I418">
        <f>I414*J418</f>
        <v>4.5999999999999999E-2</v>
      </c>
      <c r="J418">
        <v>9.0196078431372548E-2</v>
      </c>
      <c r="O418">
        <f t="shared" si="350"/>
        <v>3748.83</v>
      </c>
      <c r="P418">
        <f t="shared" si="351"/>
        <v>3748.83</v>
      </c>
      <c r="Q418">
        <f t="shared" si="352"/>
        <v>0</v>
      </c>
      <c r="R418">
        <f t="shared" si="353"/>
        <v>0</v>
      </c>
      <c r="S418">
        <f t="shared" si="354"/>
        <v>0</v>
      </c>
      <c r="T418">
        <f t="shared" si="355"/>
        <v>0</v>
      </c>
      <c r="U418">
        <f t="shared" si="356"/>
        <v>0</v>
      </c>
      <c r="V418">
        <f t="shared" si="357"/>
        <v>0</v>
      </c>
      <c r="W418">
        <f t="shared" si="358"/>
        <v>0</v>
      </c>
      <c r="X418">
        <f t="shared" si="359"/>
        <v>0</v>
      </c>
      <c r="Y418">
        <f t="shared" si="360"/>
        <v>0</v>
      </c>
      <c r="AA418">
        <v>45037307</v>
      </c>
      <c r="AB418">
        <f t="shared" si="361"/>
        <v>15582.46</v>
      </c>
      <c r="AC418">
        <f t="shared" si="362"/>
        <v>15582.46</v>
      </c>
      <c r="AD418">
        <f t="shared" si="393"/>
        <v>0</v>
      </c>
      <c r="AE418">
        <f t="shared" si="393"/>
        <v>0</v>
      </c>
      <c r="AF418">
        <f t="shared" si="393"/>
        <v>0</v>
      </c>
      <c r="AG418">
        <f t="shared" si="366"/>
        <v>0</v>
      </c>
      <c r="AH418">
        <f t="shared" si="394"/>
        <v>0</v>
      </c>
      <c r="AI418">
        <f t="shared" si="394"/>
        <v>0</v>
      </c>
      <c r="AJ418">
        <f t="shared" si="369"/>
        <v>0</v>
      </c>
      <c r="AK418">
        <v>15582.460000000001</v>
      </c>
      <c r="AL418">
        <v>15582.460000000001</v>
      </c>
      <c r="AM418">
        <v>0</v>
      </c>
      <c r="AN418">
        <v>0</v>
      </c>
      <c r="AO418">
        <v>0</v>
      </c>
      <c r="AP418">
        <v>0</v>
      </c>
      <c r="AQ418">
        <v>0</v>
      </c>
      <c r="AR418">
        <v>0</v>
      </c>
      <c r="AS418">
        <v>0</v>
      </c>
      <c r="AT418">
        <v>0</v>
      </c>
      <c r="AU418">
        <v>0</v>
      </c>
      <c r="AV418">
        <v>1</v>
      </c>
      <c r="AW418">
        <v>1</v>
      </c>
      <c r="AZ418">
        <v>1</v>
      </c>
      <c r="BA418">
        <v>1</v>
      </c>
      <c r="BB418">
        <v>1</v>
      </c>
      <c r="BC418">
        <v>5.23</v>
      </c>
      <c r="BD418" t="s">
        <v>3</v>
      </c>
      <c r="BE418" t="s">
        <v>3</v>
      </c>
      <c r="BF418" t="s">
        <v>3</v>
      </c>
      <c r="BG418" t="s">
        <v>3</v>
      </c>
      <c r="BH418">
        <v>3</v>
      </c>
      <c r="BI418">
        <v>2</v>
      </c>
      <c r="BJ418" t="s">
        <v>504</v>
      </c>
      <c r="BM418">
        <v>331</v>
      </c>
      <c r="BN418">
        <v>0</v>
      </c>
      <c r="BO418" t="s">
        <v>506</v>
      </c>
      <c r="BP418">
        <v>1</v>
      </c>
      <c r="BQ418">
        <v>40</v>
      </c>
      <c r="BR418">
        <v>0</v>
      </c>
      <c r="BS418">
        <v>1</v>
      </c>
      <c r="BT418">
        <v>1</v>
      </c>
      <c r="BU418">
        <v>1</v>
      </c>
      <c r="BV418">
        <v>1</v>
      </c>
      <c r="BW418">
        <v>1</v>
      </c>
      <c r="BX418">
        <v>1</v>
      </c>
      <c r="BY418" t="s">
        <v>3</v>
      </c>
      <c r="BZ418">
        <v>0</v>
      </c>
      <c r="CA418">
        <v>0</v>
      </c>
      <c r="CF418">
        <v>0</v>
      </c>
      <c r="CG418">
        <v>0</v>
      </c>
      <c r="CM418">
        <v>0</v>
      </c>
      <c r="CN418" t="s">
        <v>3</v>
      </c>
      <c r="CO418">
        <v>0</v>
      </c>
      <c r="CP418">
        <f t="shared" si="370"/>
        <v>3748.83</v>
      </c>
      <c r="CQ418">
        <f t="shared" si="371"/>
        <v>81496.265800000008</v>
      </c>
      <c r="CR418">
        <f t="shared" si="372"/>
        <v>0</v>
      </c>
      <c r="CS418">
        <f t="shared" si="373"/>
        <v>0</v>
      </c>
      <c r="CT418">
        <f t="shared" si="374"/>
        <v>0</v>
      </c>
      <c r="CU418">
        <f t="shared" si="375"/>
        <v>0</v>
      </c>
      <c r="CV418">
        <f t="shared" si="376"/>
        <v>0</v>
      </c>
      <c r="CW418">
        <f t="shared" si="377"/>
        <v>0</v>
      </c>
      <c r="CX418">
        <f t="shared" si="378"/>
        <v>0</v>
      </c>
      <c r="CY418">
        <f t="shared" si="379"/>
        <v>0</v>
      </c>
      <c r="CZ418">
        <f t="shared" si="380"/>
        <v>0</v>
      </c>
      <c r="DC418" t="s">
        <v>3</v>
      </c>
      <c r="DD418" t="s">
        <v>3</v>
      </c>
      <c r="DE418" t="s">
        <v>3</v>
      </c>
      <c r="DF418" t="s">
        <v>3</v>
      </c>
      <c r="DG418" t="s">
        <v>3</v>
      </c>
      <c r="DH418" t="s">
        <v>3</v>
      </c>
      <c r="DI418" t="s">
        <v>3</v>
      </c>
      <c r="DJ418" t="s">
        <v>3</v>
      </c>
      <c r="DK418" t="s">
        <v>3</v>
      </c>
      <c r="DL418" t="s">
        <v>3</v>
      </c>
      <c r="DM418" t="s">
        <v>3</v>
      </c>
      <c r="DN418">
        <v>114</v>
      </c>
      <c r="DO418">
        <v>67</v>
      </c>
      <c r="DP418">
        <v>1.0469999999999999</v>
      </c>
      <c r="DQ418">
        <v>1</v>
      </c>
      <c r="DU418">
        <v>1003</v>
      </c>
      <c r="DV418" t="s">
        <v>503</v>
      </c>
      <c r="DW418" t="s">
        <v>503</v>
      </c>
      <c r="DX418">
        <v>1000</v>
      </c>
      <c r="EE418">
        <v>44846838</v>
      </c>
      <c r="EF418">
        <v>40</v>
      </c>
      <c r="EG418" t="s">
        <v>453</v>
      </c>
      <c r="EH418">
        <v>0</v>
      </c>
      <c r="EI418" t="s">
        <v>3</v>
      </c>
      <c r="EJ418">
        <v>2</v>
      </c>
      <c r="EK418">
        <v>331</v>
      </c>
      <c r="EL418" t="s">
        <v>499</v>
      </c>
      <c r="EM418" t="s">
        <v>500</v>
      </c>
      <c r="EO418" t="s">
        <v>3</v>
      </c>
      <c r="EQ418">
        <v>0</v>
      </c>
      <c r="ER418">
        <v>14844.5</v>
      </c>
      <c r="ES418">
        <v>15582.460000000001</v>
      </c>
      <c r="ET418">
        <v>0</v>
      </c>
      <c r="EU418">
        <v>0</v>
      </c>
      <c r="EV418">
        <v>0</v>
      </c>
      <c r="EW418">
        <v>0</v>
      </c>
      <c r="EX418">
        <v>0</v>
      </c>
      <c r="EZ418">
        <v>5</v>
      </c>
      <c r="FC418">
        <v>1</v>
      </c>
      <c r="FD418">
        <v>18</v>
      </c>
      <c r="FF418">
        <v>94280</v>
      </c>
      <c r="FQ418">
        <v>0</v>
      </c>
      <c r="FR418">
        <f t="shared" si="381"/>
        <v>0</v>
      </c>
      <c r="FS418">
        <v>0</v>
      </c>
      <c r="FX418">
        <v>114</v>
      </c>
      <c r="FY418">
        <v>67</v>
      </c>
      <c r="GA418" t="s">
        <v>505</v>
      </c>
      <c r="GD418">
        <v>0</v>
      </c>
      <c r="GF418">
        <v>-649410947</v>
      </c>
      <c r="GG418">
        <v>2</v>
      </c>
      <c r="GH418">
        <v>3</v>
      </c>
      <c r="GI418">
        <v>3</v>
      </c>
      <c r="GJ418">
        <v>0</v>
      </c>
      <c r="GK418">
        <f>ROUND(R418*(S12)/100,2)</f>
        <v>0</v>
      </c>
      <c r="GL418">
        <f t="shared" si="382"/>
        <v>0</v>
      </c>
      <c r="GM418">
        <f t="shared" si="383"/>
        <v>3748.83</v>
      </c>
      <c r="GN418">
        <f t="shared" si="384"/>
        <v>0</v>
      </c>
      <c r="GO418">
        <f t="shared" si="385"/>
        <v>3748.83</v>
      </c>
      <c r="GP418">
        <f t="shared" si="386"/>
        <v>0</v>
      </c>
      <c r="GR418">
        <v>1</v>
      </c>
      <c r="GS418">
        <v>1</v>
      </c>
      <c r="GT418">
        <v>0</v>
      </c>
      <c r="GU418" t="s">
        <v>3</v>
      </c>
      <c r="GV418">
        <f t="shared" si="387"/>
        <v>0</v>
      </c>
      <c r="GW418">
        <v>1</v>
      </c>
      <c r="GX418">
        <f t="shared" si="388"/>
        <v>0</v>
      </c>
      <c r="HA418">
        <v>0</v>
      </c>
      <c r="HB418">
        <v>0</v>
      </c>
      <c r="IK418">
        <v>0</v>
      </c>
    </row>
    <row r="420" spans="1:255" x14ac:dyDescent="0.2">
      <c r="A420" s="3">
        <v>51</v>
      </c>
      <c r="B420" s="3">
        <f>B387</f>
        <v>1</v>
      </c>
      <c r="C420" s="3">
        <f>A387</f>
        <v>5</v>
      </c>
      <c r="D420" s="3">
        <f>ROW(A387)</f>
        <v>387</v>
      </c>
      <c r="E420" s="3"/>
      <c r="F420" s="3" t="str">
        <f>IF(F387&lt;&gt;"",F387,"")</f>
        <v>Новый подраздел</v>
      </c>
      <c r="G420" s="3" t="str">
        <f>IF(G387&lt;&gt;"",G387,"")</f>
        <v>Сети связи</v>
      </c>
      <c r="H420" s="3">
        <v>0</v>
      </c>
      <c r="I420" s="3"/>
      <c r="J420" s="3"/>
      <c r="K420" s="3"/>
      <c r="L420" s="3"/>
      <c r="M420" s="3"/>
      <c r="N420" s="3"/>
      <c r="O420" s="3">
        <f t="shared" ref="O420:T420" si="395">ROUND(AB420,2)</f>
        <v>2417.37</v>
      </c>
      <c r="P420" s="3">
        <f t="shared" si="395"/>
        <v>2170.6799999999998</v>
      </c>
      <c r="Q420" s="3">
        <f t="shared" si="395"/>
        <v>36.619999999999997</v>
      </c>
      <c r="R420" s="3">
        <f t="shared" si="395"/>
        <v>8.85</v>
      </c>
      <c r="S420" s="3">
        <f t="shared" si="395"/>
        <v>210.07</v>
      </c>
      <c r="T420" s="3">
        <f t="shared" si="395"/>
        <v>0</v>
      </c>
      <c r="U420" s="3">
        <f>AH420</f>
        <v>17.955754999999996</v>
      </c>
      <c r="V420" s="3">
        <f>AI420</f>
        <v>0</v>
      </c>
      <c r="W420" s="3">
        <f>ROUND(AJ420,2)</f>
        <v>0</v>
      </c>
      <c r="X420" s="3">
        <f>ROUND(AK420,2)</f>
        <v>0</v>
      </c>
      <c r="Y420" s="3">
        <f>ROUND(AL420,2)</f>
        <v>0</v>
      </c>
      <c r="Z420" s="3"/>
      <c r="AA420" s="3"/>
      <c r="AB420" s="3">
        <f>ROUND(SUMIF(AA391:AA418,"=45037306",O391:O418),2)</f>
        <v>2417.37</v>
      </c>
      <c r="AC420" s="3">
        <f>ROUND(SUMIF(AA391:AA418,"=45037306",P391:P418),2)</f>
        <v>2170.6799999999998</v>
      </c>
      <c r="AD420" s="3">
        <f>ROUND(SUMIF(AA391:AA418,"=45037306",Q391:Q418),2)</f>
        <v>36.619999999999997</v>
      </c>
      <c r="AE420" s="3">
        <f>ROUND(SUMIF(AA391:AA418,"=45037306",R391:R418),2)</f>
        <v>8.85</v>
      </c>
      <c r="AF420" s="3">
        <f>ROUND(SUMIF(AA391:AA418,"=45037306",S391:S418),2)</f>
        <v>210.07</v>
      </c>
      <c r="AG420" s="3">
        <f>ROUND(SUMIF(AA391:AA418,"=45037306",T391:T418),2)</f>
        <v>0</v>
      </c>
      <c r="AH420" s="3">
        <f>SUMIF(AA391:AA418,"=45037306",U391:U418)</f>
        <v>17.955754999999996</v>
      </c>
      <c r="AI420" s="3">
        <f>SUMIF(AA391:AA418,"=45037306",V391:V418)</f>
        <v>0</v>
      </c>
      <c r="AJ420" s="3">
        <f>ROUND(SUMIF(AA391:AA418,"=45037306",W391:W418),2)</f>
        <v>0</v>
      </c>
      <c r="AK420" s="3">
        <f>ROUND(SUMIF(AA391:AA418,"=45037306",X391:X418),2)</f>
        <v>0</v>
      </c>
      <c r="AL420" s="3">
        <f>ROUND(SUMIF(AA391:AA418,"=45037306",Y391:Y418),2)</f>
        <v>0</v>
      </c>
      <c r="AM420" s="3"/>
      <c r="AN420" s="3"/>
      <c r="AO420" s="3">
        <f t="shared" ref="AO420:BC420" si="396">ROUND(BX420,2)</f>
        <v>0</v>
      </c>
      <c r="AP420" s="3">
        <f t="shared" si="396"/>
        <v>0</v>
      </c>
      <c r="AQ420" s="3">
        <f t="shared" si="396"/>
        <v>0</v>
      </c>
      <c r="AR420" s="3">
        <f t="shared" si="396"/>
        <v>2433.29</v>
      </c>
      <c r="AS420" s="3">
        <f t="shared" si="396"/>
        <v>0</v>
      </c>
      <c r="AT420" s="3">
        <f t="shared" si="396"/>
        <v>2433.29</v>
      </c>
      <c r="AU420" s="3">
        <f t="shared" si="396"/>
        <v>0</v>
      </c>
      <c r="AV420" s="3">
        <f t="shared" si="396"/>
        <v>2170.6799999999998</v>
      </c>
      <c r="AW420" s="3">
        <f t="shared" si="396"/>
        <v>2170.6799999999998</v>
      </c>
      <c r="AX420" s="3">
        <f t="shared" si="396"/>
        <v>0</v>
      </c>
      <c r="AY420" s="3">
        <f t="shared" si="396"/>
        <v>2170.6799999999998</v>
      </c>
      <c r="AZ420" s="3">
        <f t="shared" si="396"/>
        <v>0</v>
      </c>
      <c r="BA420" s="3">
        <f t="shared" si="396"/>
        <v>0</v>
      </c>
      <c r="BB420" s="3">
        <f t="shared" si="396"/>
        <v>0</v>
      </c>
      <c r="BC420" s="3">
        <f t="shared" si="396"/>
        <v>0</v>
      </c>
      <c r="BD420" s="3"/>
      <c r="BE420" s="3"/>
      <c r="BF420" s="3"/>
      <c r="BG420" s="3"/>
      <c r="BH420" s="3"/>
      <c r="BI420" s="3"/>
      <c r="BJ420" s="3"/>
      <c r="BK420" s="3"/>
      <c r="BL420" s="3"/>
      <c r="BM420" s="3"/>
      <c r="BN420" s="3"/>
      <c r="BO420" s="3"/>
      <c r="BP420" s="3"/>
      <c r="BQ420" s="3"/>
      <c r="BR420" s="3"/>
      <c r="BS420" s="3"/>
      <c r="BT420" s="3"/>
      <c r="BU420" s="3"/>
      <c r="BV420" s="3"/>
      <c r="BW420" s="3"/>
      <c r="BX420" s="3">
        <f>ROUND(SUMIF(AA391:AA418,"=45037306",FQ391:FQ418),2)</f>
        <v>0</v>
      </c>
      <c r="BY420" s="3">
        <f>ROUND(SUMIF(AA391:AA418,"=45037306",FR391:FR418),2)</f>
        <v>0</v>
      </c>
      <c r="BZ420" s="3">
        <f>ROUND(SUMIF(AA391:AA418,"=45037306",GL391:GL418),2)</f>
        <v>0</v>
      </c>
      <c r="CA420" s="3">
        <f>ROUND(SUMIF(AA391:AA418,"=45037306",GM391:GM418),2)</f>
        <v>2433.29</v>
      </c>
      <c r="CB420" s="3">
        <f>ROUND(SUMIF(AA391:AA418,"=45037306",GN391:GN418),2)</f>
        <v>0</v>
      </c>
      <c r="CC420" s="3">
        <f>ROUND(SUMIF(AA391:AA418,"=45037306",GO391:GO418),2)</f>
        <v>2433.29</v>
      </c>
      <c r="CD420" s="3">
        <f>ROUND(SUMIF(AA391:AA418,"=45037306",GP391:GP418),2)</f>
        <v>0</v>
      </c>
      <c r="CE420" s="3">
        <f>AC420-BX420</f>
        <v>2170.6799999999998</v>
      </c>
      <c r="CF420" s="3">
        <f>AC420-BY420</f>
        <v>2170.6799999999998</v>
      </c>
      <c r="CG420" s="3">
        <f>BX420-BZ420</f>
        <v>0</v>
      </c>
      <c r="CH420" s="3">
        <f>AC420-BX420-BY420+BZ420</f>
        <v>2170.6799999999998</v>
      </c>
      <c r="CI420" s="3">
        <f>BY420-BZ420</f>
        <v>0</v>
      </c>
      <c r="CJ420" s="3">
        <f>ROUND(SUMIF(AA391:AA418,"=45037306",GX391:GX418),2)</f>
        <v>0</v>
      </c>
      <c r="CK420" s="3">
        <f>ROUND(SUMIF(AA391:AA418,"=45037306",GY391:GY418),2)</f>
        <v>0</v>
      </c>
      <c r="CL420" s="3">
        <f>ROUND(SUMIF(AA391:AA418,"=45037306",GZ391:GZ418),2)</f>
        <v>0</v>
      </c>
      <c r="CM420" s="3"/>
      <c r="CN420" s="3"/>
      <c r="CO420" s="3"/>
      <c r="CP420" s="3"/>
      <c r="CQ420" s="3"/>
      <c r="CR420" s="3"/>
      <c r="CS420" s="3"/>
      <c r="CT420" s="3"/>
      <c r="CU420" s="3"/>
      <c r="CV420" s="3"/>
      <c r="CW420" s="3"/>
      <c r="CX420" s="3"/>
      <c r="CY420" s="3"/>
      <c r="CZ420" s="3"/>
      <c r="DA420" s="3"/>
      <c r="DB420" s="3"/>
      <c r="DC420" s="3"/>
      <c r="DD420" s="3"/>
      <c r="DE420" s="3"/>
      <c r="DF420" s="3"/>
      <c r="DG420" s="4">
        <f t="shared" ref="DG420:DL420" si="397">ROUND(DT420,2)</f>
        <v>15863.23</v>
      </c>
      <c r="DH420" s="4">
        <f t="shared" si="397"/>
        <v>11246.79</v>
      </c>
      <c r="DI420" s="4">
        <f t="shared" si="397"/>
        <v>330.75</v>
      </c>
      <c r="DJ420" s="4">
        <f t="shared" si="397"/>
        <v>180.54</v>
      </c>
      <c r="DK420" s="4">
        <f t="shared" si="397"/>
        <v>4285.6899999999996</v>
      </c>
      <c r="DL420" s="4">
        <f t="shared" si="397"/>
        <v>0</v>
      </c>
      <c r="DM420" s="4">
        <f>DZ420</f>
        <v>17.955754999999996</v>
      </c>
      <c r="DN420" s="4">
        <f>EA420</f>
        <v>0</v>
      </c>
      <c r="DO420" s="4">
        <f>ROUND(EB420,2)</f>
        <v>0</v>
      </c>
      <c r="DP420" s="4">
        <f>ROUND(EC420,2)</f>
        <v>3299.98</v>
      </c>
      <c r="DQ420" s="4">
        <f>ROUND(ED420,2)</f>
        <v>1757.12</v>
      </c>
      <c r="DR420" s="4"/>
      <c r="DS420" s="4"/>
      <c r="DT420" s="4">
        <f>ROUND(SUMIF(AA391:AA418,"=45037307",O391:O418),2)</f>
        <v>15863.23</v>
      </c>
      <c r="DU420" s="4">
        <f>ROUND(SUMIF(AA391:AA418,"=45037307",P391:P418),2)</f>
        <v>11246.79</v>
      </c>
      <c r="DV420" s="4">
        <f>ROUND(SUMIF(AA391:AA418,"=45037307",Q391:Q418),2)</f>
        <v>330.75</v>
      </c>
      <c r="DW420" s="4">
        <f>ROUND(SUMIF(AA391:AA418,"=45037307",R391:R418),2)</f>
        <v>180.54</v>
      </c>
      <c r="DX420" s="4">
        <f>ROUND(SUMIF(AA391:AA418,"=45037307",S391:S418),2)</f>
        <v>4285.6899999999996</v>
      </c>
      <c r="DY420" s="4">
        <f>ROUND(SUMIF(AA391:AA418,"=45037307",T391:T418),2)</f>
        <v>0</v>
      </c>
      <c r="DZ420" s="4">
        <f>SUMIF(AA391:AA418,"=45037307",U391:U418)</f>
        <v>17.955754999999996</v>
      </c>
      <c r="EA420" s="4">
        <f>SUMIF(AA391:AA418,"=45037307",V391:V418)</f>
        <v>0</v>
      </c>
      <c r="EB420" s="4">
        <f>ROUND(SUMIF(AA391:AA418,"=45037307",W391:W418),2)</f>
        <v>0</v>
      </c>
      <c r="EC420" s="4">
        <f>ROUND(SUMIF(AA391:AA418,"=45037307",X391:X418),2)</f>
        <v>3299.98</v>
      </c>
      <c r="ED420" s="4">
        <f>ROUND(SUMIF(AA391:AA418,"=45037307",Y391:Y418),2)</f>
        <v>1757.12</v>
      </c>
      <c r="EE420" s="4"/>
      <c r="EF420" s="4"/>
      <c r="EG420" s="4">
        <f t="shared" ref="EG420:EU420" si="398">ROUND(FP420,2)</f>
        <v>0</v>
      </c>
      <c r="EH420" s="4">
        <f t="shared" si="398"/>
        <v>0</v>
      </c>
      <c r="EI420" s="4">
        <f t="shared" si="398"/>
        <v>0</v>
      </c>
      <c r="EJ420" s="4">
        <f t="shared" si="398"/>
        <v>21223.64</v>
      </c>
      <c r="EK420" s="4">
        <f t="shared" si="398"/>
        <v>0</v>
      </c>
      <c r="EL420" s="4">
        <f t="shared" si="398"/>
        <v>21223.64</v>
      </c>
      <c r="EM420" s="4">
        <f t="shared" si="398"/>
        <v>0</v>
      </c>
      <c r="EN420" s="4">
        <f t="shared" si="398"/>
        <v>11246.79</v>
      </c>
      <c r="EO420" s="4">
        <f t="shared" si="398"/>
        <v>11246.79</v>
      </c>
      <c r="EP420" s="4">
        <f t="shared" si="398"/>
        <v>0</v>
      </c>
      <c r="EQ420" s="4">
        <f t="shared" si="398"/>
        <v>11246.79</v>
      </c>
      <c r="ER420" s="4">
        <f t="shared" si="398"/>
        <v>0</v>
      </c>
      <c r="ES420" s="4">
        <f t="shared" si="398"/>
        <v>0</v>
      </c>
      <c r="ET420" s="4">
        <f t="shared" si="398"/>
        <v>0</v>
      </c>
      <c r="EU420" s="4">
        <f t="shared" si="398"/>
        <v>0</v>
      </c>
      <c r="EV420" s="4"/>
      <c r="EW420" s="4"/>
      <c r="EX420" s="4"/>
      <c r="EY420" s="4"/>
      <c r="EZ420" s="4"/>
      <c r="FA420" s="4"/>
      <c r="FB420" s="4"/>
      <c r="FC420" s="4"/>
      <c r="FD420" s="4"/>
      <c r="FE420" s="4"/>
      <c r="FF420" s="4"/>
      <c r="FG420" s="4"/>
      <c r="FH420" s="4"/>
      <c r="FI420" s="4"/>
      <c r="FJ420" s="4"/>
      <c r="FK420" s="4"/>
      <c r="FL420" s="4"/>
      <c r="FM420" s="4"/>
      <c r="FN420" s="4"/>
      <c r="FO420" s="4"/>
      <c r="FP420" s="4">
        <f>ROUND(SUMIF(AA391:AA418,"=45037307",FQ391:FQ418),2)</f>
        <v>0</v>
      </c>
      <c r="FQ420" s="4">
        <f>ROUND(SUMIF(AA391:AA418,"=45037307",FR391:FR418),2)</f>
        <v>0</v>
      </c>
      <c r="FR420" s="4">
        <f>ROUND(SUMIF(AA391:AA418,"=45037307",GL391:GL418),2)</f>
        <v>0</v>
      </c>
      <c r="FS420" s="4">
        <f>ROUND(SUMIF(AA391:AA418,"=45037307",GM391:GM418),2)</f>
        <v>21223.64</v>
      </c>
      <c r="FT420" s="4">
        <f>ROUND(SUMIF(AA391:AA418,"=45037307",GN391:GN418),2)</f>
        <v>0</v>
      </c>
      <c r="FU420" s="4">
        <f>ROUND(SUMIF(AA391:AA418,"=45037307",GO391:GO418),2)</f>
        <v>21223.64</v>
      </c>
      <c r="FV420" s="4">
        <f>ROUND(SUMIF(AA391:AA418,"=45037307",GP391:GP418),2)</f>
        <v>0</v>
      </c>
      <c r="FW420" s="4">
        <f>DU420-FP420</f>
        <v>11246.79</v>
      </c>
      <c r="FX420" s="4">
        <f>DU420-FQ420</f>
        <v>11246.79</v>
      </c>
      <c r="FY420" s="4">
        <f>FP420-FR420</f>
        <v>0</v>
      </c>
      <c r="FZ420" s="4">
        <f>DU420-FP420-FQ420+FR420</f>
        <v>11246.79</v>
      </c>
      <c r="GA420" s="4">
        <f>FQ420-FR420</f>
        <v>0</v>
      </c>
      <c r="GB420" s="4">
        <f>ROUND(SUMIF(AA391:AA418,"=45037307",GX391:GX418),2)</f>
        <v>0</v>
      </c>
      <c r="GC420" s="4">
        <f>ROUND(SUMIF(AA391:AA418,"=45037307",GY391:GY418),2)</f>
        <v>0</v>
      </c>
      <c r="GD420" s="4">
        <f>ROUND(SUMIF(AA391:AA418,"=45037307",GZ391:GZ418),2)</f>
        <v>0</v>
      </c>
      <c r="GE420" s="4"/>
      <c r="GF420" s="4"/>
      <c r="GG420" s="4"/>
      <c r="GH420" s="4"/>
      <c r="GI420" s="4"/>
      <c r="GJ420" s="4"/>
      <c r="GK420" s="4"/>
      <c r="GL420" s="4"/>
      <c r="GM420" s="4"/>
      <c r="GN420" s="4"/>
      <c r="GO420" s="4"/>
      <c r="GP420" s="4"/>
      <c r="GQ420" s="4"/>
      <c r="GR420" s="4"/>
      <c r="GS420" s="4"/>
      <c r="GT420" s="4"/>
      <c r="GU420" s="4"/>
      <c r="GV420" s="4"/>
      <c r="GW420" s="4"/>
      <c r="GX420" s="4">
        <v>0</v>
      </c>
    </row>
    <row r="422" spans="1:255" x14ac:dyDescent="0.2">
      <c r="A422" s="5">
        <v>50</v>
      </c>
      <c r="B422" s="5">
        <v>0</v>
      </c>
      <c r="C422" s="5">
        <v>0</v>
      </c>
      <c r="D422" s="5">
        <v>1</v>
      </c>
      <c r="E422" s="5">
        <v>201</v>
      </c>
      <c r="F422" s="5">
        <f>ROUND(Source!O420,O422)</f>
        <v>2417.37</v>
      </c>
      <c r="G422" s="5" t="s">
        <v>117</v>
      </c>
      <c r="H422" s="5" t="s">
        <v>118</v>
      </c>
      <c r="I422" s="5"/>
      <c r="J422" s="5"/>
      <c r="K422" s="5">
        <v>201</v>
      </c>
      <c r="L422" s="5">
        <v>1</v>
      </c>
      <c r="M422" s="5">
        <v>3</v>
      </c>
      <c r="N422" s="5" t="s">
        <v>3</v>
      </c>
      <c r="O422" s="5">
        <v>2</v>
      </c>
      <c r="P422" s="5">
        <f>ROUND(Source!DG420,O422)</f>
        <v>15863.23</v>
      </c>
      <c r="Q422" s="5"/>
      <c r="R422" s="5"/>
      <c r="S422" s="5"/>
      <c r="T422" s="5"/>
      <c r="U422" s="5"/>
      <c r="V422" s="5"/>
      <c r="W422" s="5"/>
    </row>
    <row r="423" spans="1:255" x14ac:dyDescent="0.2">
      <c r="A423" s="5">
        <v>50</v>
      </c>
      <c r="B423" s="5">
        <v>0</v>
      </c>
      <c r="C423" s="5">
        <v>0</v>
      </c>
      <c r="D423" s="5">
        <v>1</v>
      </c>
      <c r="E423" s="5">
        <v>202</v>
      </c>
      <c r="F423" s="5">
        <f>ROUND(Source!P420,O423)</f>
        <v>2170.6799999999998</v>
      </c>
      <c r="G423" s="5" t="s">
        <v>119</v>
      </c>
      <c r="H423" s="5" t="s">
        <v>120</v>
      </c>
      <c r="I423" s="5"/>
      <c r="J423" s="5"/>
      <c r="K423" s="5">
        <v>202</v>
      </c>
      <c r="L423" s="5">
        <v>2</v>
      </c>
      <c r="M423" s="5">
        <v>3</v>
      </c>
      <c r="N423" s="5" t="s">
        <v>3</v>
      </c>
      <c r="O423" s="5">
        <v>2</v>
      </c>
      <c r="P423" s="5">
        <f>ROUND(Source!DH420,O423)</f>
        <v>11246.79</v>
      </c>
      <c r="Q423" s="5"/>
      <c r="R423" s="5"/>
      <c r="S423" s="5"/>
      <c r="T423" s="5"/>
      <c r="U423" s="5"/>
      <c r="V423" s="5"/>
      <c r="W423" s="5"/>
    </row>
    <row r="424" spans="1:255" x14ac:dyDescent="0.2">
      <c r="A424" s="5">
        <v>50</v>
      </c>
      <c r="B424" s="5">
        <v>0</v>
      </c>
      <c r="C424" s="5">
        <v>0</v>
      </c>
      <c r="D424" s="5">
        <v>1</v>
      </c>
      <c r="E424" s="5">
        <v>227</v>
      </c>
      <c r="F424" s="5">
        <f>ROUND(Source!AO420,O424)</f>
        <v>0</v>
      </c>
      <c r="G424" s="5" t="s">
        <v>121</v>
      </c>
      <c r="H424" s="5" t="s">
        <v>122</v>
      </c>
      <c r="I424" s="5"/>
      <c r="J424" s="5"/>
      <c r="K424" s="5">
        <v>222</v>
      </c>
      <c r="L424" s="5">
        <v>3</v>
      </c>
      <c r="M424" s="5">
        <v>3</v>
      </c>
      <c r="N424" s="5" t="s">
        <v>3</v>
      </c>
      <c r="O424" s="5">
        <v>2</v>
      </c>
      <c r="P424" s="5">
        <f>ROUND(Source!EG420,O424)</f>
        <v>0</v>
      </c>
      <c r="Q424" s="5"/>
      <c r="R424" s="5"/>
      <c r="S424" s="5"/>
      <c r="T424" s="5"/>
      <c r="U424" s="5"/>
      <c r="V424" s="5"/>
      <c r="W424" s="5"/>
    </row>
    <row r="425" spans="1:255" x14ac:dyDescent="0.2">
      <c r="A425" s="5">
        <v>50</v>
      </c>
      <c r="B425" s="5">
        <v>0</v>
      </c>
      <c r="C425" s="5">
        <v>0</v>
      </c>
      <c r="D425" s="5">
        <v>1</v>
      </c>
      <c r="E425" s="5">
        <v>225</v>
      </c>
      <c r="F425" s="5">
        <f>ROUND(Source!AV420,O425)</f>
        <v>2170.6799999999998</v>
      </c>
      <c r="G425" s="5" t="s">
        <v>123</v>
      </c>
      <c r="H425" s="5" t="s">
        <v>124</v>
      </c>
      <c r="I425" s="5"/>
      <c r="J425" s="5"/>
      <c r="K425" s="5">
        <v>225</v>
      </c>
      <c r="L425" s="5">
        <v>4</v>
      </c>
      <c r="M425" s="5">
        <v>3</v>
      </c>
      <c r="N425" s="5" t="s">
        <v>3</v>
      </c>
      <c r="O425" s="5">
        <v>2</v>
      </c>
      <c r="P425" s="5">
        <f>ROUND(Source!EN420,O425)</f>
        <v>11246.79</v>
      </c>
      <c r="Q425" s="5"/>
      <c r="R425" s="5"/>
      <c r="S425" s="5"/>
      <c r="T425" s="5"/>
      <c r="U425" s="5"/>
      <c r="V425" s="5"/>
      <c r="W425" s="5"/>
    </row>
    <row r="426" spans="1:255" x14ac:dyDescent="0.2">
      <c r="A426" s="5">
        <v>50</v>
      </c>
      <c r="B426" s="5">
        <v>0</v>
      </c>
      <c r="C426" s="5">
        <v>0</v>
      </c>
      <c r="D426" s="5">
        <v>1</v>
      </c>
      <c r="E426" s="5">
        <v>226</v>
      </c>
      <c r="F426" s="5">
        <f>ROUND(Source!AW420,O426)</f>
        <v>2170.6799999999998</v>
      </c>
      <c r="G426" s="5" t="s">
        <v>125</v>
      </c>
      <c r="H426" s="5" t="s">
        <v>126</v>
      </c>
      <c r="I426" s="5"/>
      <c r="J426" s="5"/>
      <c r="K426" s="5">
        <v>226</v>
      </c>
      <c r="L426" s="5">
        <v>5</v>
      </c>
      <c r="M426" s="5">
        <v>3</v>
      </c>
      <c r="N426" s="5" t="s">
        <v>3</v>
      </c>
      <c r="O426" s="5">
        <v>2</v>
      </c>
      <c r="P426" s="5">
        <f>ROUND(Source!EO420,O426)</f>
        <v>11246.79</v>
      </c>
      <c r="Q426" s="5"/>
      <c r="R426" s="5"/>
      <c r="S426" s="5"/>
      <c r="T426" s="5"/>
      <c r="U426" s="5"/>
      <c r="V426" s="5"/>
      <c r="W426" s="5"/>
    </row>
    <row r="427" spans="1:255" x14ac:dyDescent="0.2">
      <c r="A427" s="5">
        <v>50</v>
      </c>
      <c r="B427" s="5">
        <v>0</v>
      </c>
      <c r="C427" s="5">
        <v>0</v>
      </c>
      <c r="D427" s="5">
        <v>1</v>
      </c>
      <c r="E427" s="5">
        <v>0</v>
      </c>
      <c r="F427" s="5">
        <f>ROUND(Source!AX420,O427)</f>
        <v>0</v>
      </c>
      <c r="G427" s="5" t="s">
        <v>127</v>
      </c>
      <c r="H427" s="5" t="s">
        <v>128</v>
      </c>
      <c r="I427" s="5"/>
      <c r="J427" s="5"/>
      <c r="K427" s="5">
        <v>227</v>
      </c>
      <c r="L427" s="5">
        <v>6</v>
      </c>
      <c r="M427" s="5">
        <v>3</v>
      </c>
      <c r="N427" s="5" t="s">
        <v>3</v>
      </c>
      <c r="O427" s="5">
        <v>2</v>
      </c>
      <c r="P427" s="5">
        <f>ROUND(Source!EP420,O427)</f>
        <v>0</v>
      </c>
      <c r="Q427" s="5"/>
      <c r="R427" s="5"/>
      <c r="S427" s="5"/>
      <c r="T427" s="5"/>
      <c r="U427" s="5"/>
      <c r="V427" s="5"/>
      <c r="W427" s="5"/>
    </row>
    <row r="428" spans="1:255" x14ac:dyDescent="0.2">
      <c r="A428" s="5">
        <v>50</v>
      </c>
      <c r="B428" s="5">
        <v>0</v>
      </c>
      <c r="C428" s="5">
        <v>0</v>
      </c>
      <c r="D428" s="5">
        <v>1</v>
      </c>
      <c r="E428" s="5">
        <v>228</v>
      </c>
      <c r="F428" s="5">
        <f>ROUND(Source!AY420,O428)</f>
        <v>2170.6799999999998</v>
      </c>
      <c r="G428" s="5" t="s">
        <v>129</v>
      </c>
      <c r="H428" s="5" t="s">
        <v>130</v>
      </c>
      <c r="I428" s="5"/>
      <c r="J428" s="5"/>
      <c r="K428" s="5">
        <v>228</v>
      </c>
      <c r="L428" s="5">
        <v>7</v>
      </c>
      <c r="M428" s="5">
        <v>3</v>
      </c>
      <c r="N428" s="5" t="s">
        <v>3</v>
      </c>
      <c r="O428" s="5">
        <v>2</v>
      </c>
      <c r="P428" s="5">
        <f>ROUND(Source!EQ420,O428)</f>
        <v>11246.79</v>
      </c>
      <c r="Q428" s="5"/>
      <c r="R428" s="5"/>
      <c r="S428" s="5"/>
      <c r="T428" s="5"/>
      <c r="U428" s="5"/>
      <c r="V428" s="5"/>
      <c r="W428" s="5"/>
    </row>
    <row r="429" spans="1:255" x14ac:dyDescent="0.2">
      <c r="A429" s="5">
        <v>50</v>
      </c>
      <c r="B429" s="5">
        <v>0</v>
      </c>
      <c r="C429" s="5">
        <v>0</v>
      </c>
      <c r="D429" s="5">
        <v>1</v>
      </c>
      <c r="E429" s="5">
        <v>216</v>
      </c>
      <c r="F429" s="5">
        <f>ROUND(Source!AP420,O429)</f>
        <v>0</v>
      </c>
      <c r="G429" s="5" t="s">
        <v>131</v>
      </c>
      <c r="H429" s="5" t="s">
        <v>132</v>
      </c>
      <c r="I429" s="5"/>
      <c r="J429" s="5"/>
      <c r="K429" s="5">
        <v>216</v>
      </c>
      <c r="L429" s="5">
        <v>8</v>
      </c>
      <c r="M429" s="5">
        <v>3</v>
      </c>
      <c r="N429" s="5" t="s">
        <v>3</v>
      </c>
      <c r="O429" s="5">
        <v>2</v>
      </c>
      <c r="P429" s="5">
        <f>ROUND(Source!EH420,O429)</f>
        <v>0</v>
      </c>
      <c r="Q429" s="5"/>
      <c r="R429" s="5"/>
      <c r="S429" s="5"/>
      <c r="T429" s="5"/>
      <c r="U429" s="5"/>
      <c r="V429" s="5"/>
      <c r="W429" s="5"/>
    </row>
    <row r="430" spans="1:255" x14ac:dyDescent="0.2">
      <c r="A430" s="5">
        <v>50</v>
      </c>
      <c r="B430" s="5">
        <v>0</v>
      </c>
      <c r="C430" s="5">
        <v>0</v>
      </c>
      <c r="D430" s="5">
        <v>1</v>
      </c>
      <c r="E430" s="5">
        <v>223</v>
      </c>
      <c r="F430" s="5">
        <f>ROUND(Source!AQ420,O430)</f>
        <v>0</v>
      </c>
      <c r="G430" s="5" t="s">
        <v>133</v>
      </c>
      <c r="H430" s="5" t="s">
        <v>134</v>
      </c>
      <c r="I430" s="5"/>
      <c r="J430" s="5"/>
      <c r="K430" s="5">
        <v>223</v>
      </c>
      <c r="L430" s="5">
        <v>9</v>
      </c>
      <c r="M430" s="5">
        <v>3</v>
      </c>
      <c r="N430" s="5" t="s">
        <v>3</v>
      </c>
      <c r="O430" s="5">
        <v>2</v>
      </c>
      <c r="P430" s="5">
        <f>ROUND(Source!EI420,O430)</f>
        <v>0</v>
      </c>
      <c r="Q430" s="5"/>
      <c r="R430" s="5"/>
      <c r="S430" s="5"/>
      <c r="T430" s="5"/>
      <c r="U430" s="5"/>
      <c r="V430" s="5"/>
      <c r="W430" s="5"/>
    </row>
    <row r="431" spans="1:255" x14ac:dyDescent="0.2">
      <c r="A431" s="5">
        <v>50</v>
      </c>
      <c r="B431" s="5">
        <v>0</v>
      </c>
      <c r="C431" s="5">
        <v>0</v>
      </c>
      <c r="D431" s="5">
        <v>1</v>
      </c>
      <c r="E431" s="5">
        <v>229</v>
      </c>
      <c r="F431" s="5">
        <f>ROUND(Source!AZ420,O431)</f>
        <v>0</v>
      </c>
      <c r="G431" s="5" t="s">
        <v>135</v>
      </c>
      <c r="H431" s="5" t="s">
        <v>136</v>
      </c>
      <c r="I431" s="5"/>
      <c r="J431" s="5"/>
      <c r="K431" s="5">
        <v>229</v>
      </c>
      <c r="L431" s="5">
        <v>10</v>
      </c>
      <c r="M431" s="5">
        <v>3</v>
      </c>
      <c r="N431" s="5" t="s">
        <v>3</v>
      </c>
      <c r="O431" s="5">
        <v>2</v>
      </c>
      <c r="P431" s="5">
        <f>ROUND(Source!ER420,O431)</f>
        <v>0</v>
      </c>
      <c r="Q431" s="5"/>
      <c r="R431" s="5"/>
      <c r="S431" s="5"/>
      <c r="T431" s="5"/>
      <c r="U431" s="5"/>
      <c r="V431" s="5"/>
      <c r="W431" s="5"/>
    </row>
    <row r="432" spans="1:255" x14ac:dyDescent="0.2">
      <c r="A432" s="5">
        <v>50</v>
      </c>
      <c r="B432" s="5">
        <v>0</v>
      </c>
      <c r="C432" s="5">
        <v>0</v>
      </c>
      <c r="D432" s="5">
        <v>1</v>
      </c>
      <c r="E432" s="5">
        <v>203</v>
      </c>
      <c r="F432" s="5">
        <f>ROUND(Source!Q420,O432)</f>
        <v>36.619999999999997</v>
      </c>
      <c r="G432" s="5" t="s">
        <v>137</v>
      </c>
      <c r="H432" s="5" t="s">
        <v>138</v>
      </c>
      <c r="I432" s="5"/>
      <c r="J432" s="5"/>
      <c r="K432" s="5">
        <v>203</v>
      </c>
      <c r="L432" s="5">
        <v>11</v>
      </c>
      <c r="M432" s="5">
        <v>3</v>
      </c>
      <c r="N432" s="5" t="s">
        <v>3</v>
      </c>
      <c r="O432" s="5">
        <v>2</v>
      </c>
      <c r="P432" s="5">
        <f>ROUND(Source!DI420,O432)</f>
        <v>330.75</v>
      </c>
      <c r="Q432" s="5"/>
      <c r="R432" s="5"/>
      <c r="S432" s="5"/>
      <c r="T432" s="5"/>
      <c r="U432" s="5"/>
      <c r="V432" s="5"/>
      <c r="W432" s="5"/>
    </row>
    <row r="433" spans="1:23" x14ac:dyDescent="0.2">
      <c r="A433" s="5">
        <v>50</v>
      </c>
      <c r="B433" s="5">
        <v>0</v>
      </c>
      <c r="C433" s="5">
        <v>0</v>
      </c>
      <c r="D433" s="5">
        <v>1</v>
      </c>
      <c r="E433" s="5">
        <v>231</v>
      </c>
      <c r="F433" s="5">
        <f>ROUND(Source!BB420,O433)</f>
        <v>0</v>
      </c>
      <c r="G433" s="5" t="s">
        <v>139</v>
      </c>
      <c r="H433" s="5" t="s">
        <v>140</v>
      </c>
      <c r="I433" s="5"/>
      <c r="J433" s="5"/>
      <c r="K433" s="5">
        <v>231</v>
      </c>
      <c r="L433" s="5">
        <v>12</v>
      </c>
      <c r="M433" s="5">
        <v>3</v>
      </c>
      <c r="N433" s="5" t="s">
        <v>3</v>
      </c>
      <c r="O433" s="5">
        <v>2</v>
      </c>
      <c r="P433" s="5">
        <f>ROUND(Source!ET420,O433)</f>
        <v>0</v>
      </c>
      <c r="Q433" s="5"/>
      <c r="R433" s="5"/>
      <c r="S433" s="5"/>
      <c r="T433" s="5"/>
      <c r="U433" s="5"/>
      <c r="V433" s="5"/>
      <c r="W433" s="5"/>
    </row>
    <row r="434" spans="1:23" x14ac:dyDescent="0.2">
      <c r="A434" s="5">
        <v>50</v>
      </c>
      <c r="B434" s="5">
        <v>0</v>
      </c>
      <c r="C434" s="5">
        <v>0</v>
      </c>
      <c r="D434" s="5">
        <v>1</v>
      </c>
      <c r="E434" s="5">
        <v>204</v>
      </c>
      <c r="F434" s="5">
        <f>ROUND(Source!R420,O434)</f>
        <v>8.85</v>
      </c>
      <c r="G434" s="5" t="s">
        <v>141</v>
      </c>
      <c r="H434" s="5" t="s">
        <v>142</v>
      </c>
      <c r="I434" s="5"/>
      <c r="J434" s="5"/>
      <c r="K434" s="5">
        <v>204</v>
      </c>
      <c r="L434" s="5">
        <v>13</v>
      </c>
      <c r="M434" s="5">
        <v>3</v>
      </c>
      <c r="N434" s="5" t="s">
        <v>3</v>
      </c>
      <c r="O434" s="5">
        <v>2</v>
      </c>
      <c r="P434" s="5">
        <f>ROUND(Source!DJ420,O434)</f>
        <v>180.54</v>
      </c>
      <c r="Q434" s="5"/>
      <c r="R434" s="5"/>
      <c r="S434" s="5"/>
      <c r="T434" s="5"/>
      <c r="U434" s="5"/>
      <c r="V434" s="5"/>
      <c r="W434" s="5"/>
    </row>
    <row r="435" spans="1:23" x14ac:dyDescent="0.2">
      <c r="A435" s="5">
        <v>50</v>
      </c>
      <c r="B435" s="5">
        <v>0</v>
      </c>
      <c r="C435" s="5">
        <v>0</v>
      </c>
      <c r="D435" s="5">
        <v>1</v>
      </c>
      <c r="E435" s="5">
        <v>205</v>
      </c>
      <c r="F435" s="5">
        <f>ROUND(Source!S420,O435)</f>
        <v>210.07</v>
      </c>
      <c r="G435" s="5" t="s">
        <v>143</v>
      </c>
      <c r="H435" s="5" t="s">
        <v>144</v>
      </c>
      <c r="I435" s="5"/>
      <c r="J435" s="5"/>
      <c r="K435" s="5">
        <v>205</v>
      </c>
      <c r="L435" s="5">
        <v>14</v>
      </c>
      <c r="M435" s="5">
        <v>3</v>
      </c>
      <c r="N435" s="5" t="s">
        <v>3</v>
      </c>
      <c r="O435" s="5">
        <v>2</v>
      </c>
      <c r="P435" s="5">
        <f>ROUND(Source!DK420,O435)</f>
        <v>4285.6899999999996</v>
      </c>
      <c r="Q435" s="5"/>
      <c r="R435" s="5"/>
      <c r="S435" s="5"/>
      <c r="T435" s="5"/>
      <c r="U435" s="5"/>
      <c r="V435" s="5"/>
      <c r="W435" s="5"/>
    </row>
    <row r="436" spans="1:23" x14ac:dyDescent="0.2">
      <c r="A436" s="5">
        <v>50</v>
      </c>
      <c r="B436" s="5">
        <v>0</v>
      </c>
      <c r="C436" s="5">
        <v>0</v>
      </c>
      <c r="D436" s="5">
        <v>1</v>
      </c>
      <c r="E436" s="5">
        <v>232</v>
      </c>
      <c r="F436" s="5">
        <f>ROUND(Source!BC420,O436)</f>
        <v>0</v>
      </c>
      <c r="G436" s="5" t="s">
        <v>145</v>
      </c>
      <c r="H436" s="5" t="s">
        <v>146</v>
      </c>
      <c r="I436" s="5"/>
      <c r="J436" s="5"/>
      <c r="K436" s="5">
        <v>232</v>
      </c>
      <c r="L436" s="5">
        <v>15</v>
      </c>
      <c r="M436" s="5">
        <v>3</v>
      </c>
      <c r="N436" s="5" t="s">
        <v>3</v>
      </c>
      <c r="O436" s="5">
        <v>2</v>
      </c>
      <c r="P436" s="5">
        <f>ROUND(Source!EU420,O436)</f>
        <v>0</v>
      </c>
      <c r="Q436" s="5"/>
      <c r="R436" s="5"/>
      <c r="S436" s="5"/>
      <c r="T436" s="5"/>
      <c r="U436" s="5"/>
      <c r="V436" s="5"/>
      <c r="W436" s="5"/>
    </row>
    <row r="437" spans="1:23" x14ac:dyDescent="0.2">
      <c r="A437" s="5">
        <v>50</v>
      </c>
      <c r="B437" s="5">
        <v>0</v>
      </c>
      <c r="C437" s="5">
        <v>0</v>
      </c>
      <c r="D437" s="5">
        <v>1</v>
      </c>
      <c r="E437" s="5">
        <v>214</v>
      </c>
      <c r="F437" s="5">
        <f>ROUND(Source!AS420,O437)</f>
        <v>0</v>
      </c>
      <c r="G437" s="5" t="s">
        <v>147</v>
      </c>
      <c r="H437" s="5" t="s">
        <v>148</v>
      </c>
      <c r="I437" s="5"/>
      <c r="J437" s="5"/>
      <c r="K437" s="5">
        <v>214</v>
      </c>
      <c r="L437" s="5">
        <v>16</v>
      </c>
      <c r="M437" s="5">
        <v>3</v>
      </c>
      <c r="N437" s="5" t="s">
        <v>3</v>
      </c>
      <c r="O437" s="5">
        <v>2</v>
      </c>
      <c r="P437" s="5">
        <f>ROUND(Source!EK420,O437)</f>
        <v>0</v>
      </c>
      <c r="Q437" s="5"/>
      <c r="R437" s="5"/>
      <c r="S437" s="5"/>
      <c r="T437" s="5"/>
      <c r="U437" s="5"/>
      <c r="V437" s="5"/>
      <c r="W437" s="5"/>
    </row>
    <row r="438" spans="1:23" x14ac:dyDescent="0.2">
      <c r="A438" s="5">
        <v>50</v>
      </c>
      <c r="B438" s="5">
        <v>0</v>
      </c>
      <c r="C438" s="5">
        <v>0</v>
      </c>
      <c r="D438" s="5">
        <v>1</v>
      </c>
      <c r="E438" s="5">
        <v>215</v>
      </c>
      <c r="F438" s="5">
        <f>ROUND(Source!AT420,O438)</f>
        <v>2433.29</v>
      </c>
      <c r="G438" s="5" t="s">
        <v>149</v>
      </c>
      <c r="H438" s="5" t="s">
        <v>150</v>
      </c>
      <c r="I438" s="5"/>
      <c r="J438" s="5"/>
      <c r="K438" s="5">
        <v>215</v>
      </c>
      <c r="L438" s="5">
        <v>17</v>
      </c>
      <c r="M438" s="5">
        <v>3</v>
      </c>
      <c r="N438" s="5" t="s">
        <v>3</v>
      </c>
      <c r="O438" s="5">
        <v>2</v>
      </c>
      <c r="P438" s="5">
        <f>ROUND(Source!EL420,O438)</f>
        <v>21223.64</v>
      </c>
      <c r="Q438" s="5"/>
      <c r="R438" s="5"/>
      <c r="S438" s="5"/>
      <c r="T438" s="5"/>
      <c r="U438" s="5"/>
      <c r="V438" s="5"/>
      <c r="W438" s="5"/>
    </row>
    <row r="439" spans="1:23" x14ac:dyDescent="0.2">
      <c r="A439" s="5">
        <v>50</v>
      </c>
      <c r="B439" s="5">
        <v>0</v>
      </c>
      <c r="C439" s="5">
        <v>0</v>
      </c>
      <c r="D439" s="5">
        <v>1</v>
      </c>
      <c r="E439" s="5">
        <v>217</v>
      </c>
      <c r="F439" s="5">
        <f>ROUND(Source!AU420,O439)</f>
        <v>0</v>
      </c>
      <c r="G439" s="5" t="s">
        <v>151</v>
      </c>
      <c r="H439" s="5" t="s">
        <v>152</v>
      </c>
      <c r="I439" s="5"/>
      <c r="J439" s="5"/>
      <c r="K439" s="5">
        <v>217</v>
      </c>
      <c r="L439" s="5">
        <v>18</v>
      </c>
      <c r="M439" s="5">
        <v>3</v>
      </c>
      <c r="N439" s="5" t="s">
        <v>3</v>
      </c>
      <c r="O439" s="5">
        <v>2</v>
      </c>
      <c r="P439" s="5">
        <f>ROUND(Source!EM420,O439)</f>
        <v>0</v>
      </c>
      <c r="Q439" s="5"/>
      <c r="R439" s="5"/>
      <c r="S439" s="5"/>
      <c r="T439" s="5"/>
      <c r="U439" s="5"/>
      <c r="V439" s="5"/>
      <c r="W439" s="5"/>
    </row>
    <row r="440" spans="1:23" x14ac:dyDescent="0.2">
      <c r="A440" s="5">
        <v>50</v>
      </c>
      <c r="B440" s="5">
        <v>0</v>
      </c>
      <c r="C440" s="5">
        <v>0</v>
      </c>
      <c r="D440" s="5">
        <v>1</v>
      </c>
      <c r="E440" s="5">
        <v>230</v>
      </c>
      <c r="F440" s="5">
        <f>ROUND(Source!BA420,O440)</f>
        <v>0</v>
      </c>
      <c r="G440" s="5" t="s">
        <v>153</v>
      </c>
      <c r="H440" s="5" t="s">
        <v>154</v>
      </c>
      <c r="I440" s="5"/>
      <c r="J440" s="5"/>
      <c r="K440" s="5">
        <v>230</v>
      </c>
      <c r="L440" s="5">
        <v>19</v>
      </c>
      <c r="M440" s="5">
        <v>3</v>
      </c>
      <c r="N440" s="5" t="s">
        <v>3</v>
      </c>
      <c r="O440" s="5">
        <v>2</v>
      </c>
      <c r="P440" s="5">
        <f>ROUND(Source!ES420,O440)</f>
        <v>0</v>
      </c>
      <c r="Q440" s="5"/>
      <c r="R440" s="5"/>
      <c r="S440" s="5"/>
      <c r="T440" s="5"/>
      <c r="U440" s="5"/>
      <c r="V440" s="5"/>
      <c r="W440" s="5"/>
    </row>
    <row r="441" spans="1:23" x14ac:dyDescent="0.2">
      <c r="A441" s="5">
        <v>50</v>
      </c>
      <c r="B441" s="5">
        <v>0</v>
      </c>
      <c r="C441" s="5">
        <v>0</v>
      </c>
      <c r="D441" s="5">
        <v>1</v>
      </c>
      <c r="E441" s="5">
        <v>206</v>
      </c>
      <c r="F441" s="5">
        <f>ROUND(Source!T420,O441)</f>
        <v>0</v>
      </c>
      <c r="G441" s="5" t="s">
        <v>155</v>
      </c>
      <c r="H441" s="5" t="s">
        <v>156</v>
      </c>
      <c r="I441" s="5"/>
      <c r="J441" s="5"/>
      <c r="K441" s="5">
        <v>206</v>
      </c>
      <c r="L441" s="5">
        <v>20</v>
      </c>
      <c r="M441" s="5">
        <v>3</v>
      </c>
      <c r="N441" s="5" t="s">
        <v>3</v>
      </c>
      <c r="O441" s="5">
        <v>2</v>
      </c>
      <c r="P441" s="5">
        <f>ROUND(Source!DL420,O441)</f>
        <v>0</v>
      </c>
      <c r="Q441" s="5"/>
      <c r="R441" s="5"/>
      <c r="S441" s="5"/>
      <c r="T441" s="5"/>
      <c r="U441" s="5"/>
      <c r="V441" s="5"/>
      <c r="W441" s="5"/>
    </row>
    <row r="442" spans="1:23" x14ac:dyDescent="0.2">
      <c r="A442" s="5">
        <v>50</v>
      </c>
      <c r="B442" s="5">
        <v>0</v>
      </c>
      <c r="C442" s="5">
        <v>0</v>
      </c>
      <c r="D442" s="5">
        <v>1</v>
      </c>
      <c r="E442" s="5">
        <v>207</v>
      </c>
      <c r="F442" s="5">
        <f>Source!U420</f>
        <v>17.955754999999996</v>
      </c>
      <c r="G442" s="5" t="s">
        <v>157</v>
      </c>
      <c r="H442" s="5" t="s">
        <v>158</v>
      </c>
      <c r="I442" s="5"/>
      <c r="J442" s="5"/>
      <c r="K442" s="5">
        <v>207</v>
      </c>
      <c r="L442" s="5">
        <v>21</v>
      </c>
      <c r="M442" s="5">
        <v>3</v>
      </c>
      <c r="N442" s="5" t="s">
        <v>3</v>
      </c>
      <c r="O442" s="5">
        <v>-1</v>
      </c>
      <c r="P442" s="5">
        <f>Source!DM420</f>
        <v>17.955754999999996</v>
      </c>
      <c r="Q442" s="5"/>
      <c r="R442" s="5"/>
      <c r="S442" s="5"/>
      <c r="T442" s="5"/>
      <c r="U442" s="5"/>
      <c r="V442" s="5"/>
      <c r="W442" s="5"/>
    </row>
    <row r="443" spans="1:23" x14ac:dyDescent="0.2">
      <c r="A443" s="5">
        <v>50</v>
      </c>
      <c r="B443" s="5">
        <v>0</v>
      </c>
      <c r="C443" s="5">
        <v>0</v>
      </c>
      <c r="D443" s="5">
        <v>1</v>
      </c>
      <c r="E443" s="5">
        <v>208</v>
      </c>
      <c r="F443" s="5">
        <f>Source!V420</f>
        <v>0</v>
      </c>
      <c r="G443" s="5" t="s">
        <v>159</v>
      </c>
      <c r="H443" s="5" t="s">
        <v>160</v>
      </c>
      <c r="I443" s="5"/>
      <c r="J443" s="5"/>
      <c r="K443" s="5">
        <v>208</v>
      </c>
      <c r="L443" s="5">
        <v>22</v>
      </c>
      <c r="M443" s="5">
        <v>3</v>
      </c>
      <c r="N443" s="5" t="s">
        <v>3</v>
      </c>
      <c r="O443" s="5">
        <v>-1</v>
      </c>
      <c r="P443" s="5">
        <f>Source!DN420</f>
        <v>0</v>
      </c>
      <c r="Q443" s="5"/>
      <c r="R443" s="5"/>
      <c r="S443" s="5"/>
      <c r="T443" s="5"/>
      <c r="U443" s="5"/>
      <c r="V443" s="5"/>
      <c r="W443" s="5"/>
    </row>
    <row r="444" spans="1:23" x14ac:dyDescent="0.2">
      <c r="A444" s="5">
        <v>50</v>
      </c>
      <c r="B444" s="5">
        <v>0</v>
      </c>
      <c r="C444" s="5">
        <v>0</v>
      </c>
      <c r="D444" s="5">
        <v>1</v>
      </c>
      <c r="E444" s="5">
        <v>209</v>
      </c>
      <c r="F444" s="5">
        <f>ROUND(Source!W420,O444)</f>
        <v>0</v>
      </c>
      <c r="G444" s="5" t="s">
        <v>161</v>
      </c>
      <c r="H444" s="5" t="s">
        <v>162</v>
      </c>
      <c r="I444" s="5"/>
      <c r="J444" s="5"/>
      <c r="K444" s="5">
        <v>209</v>
      </c>
      <c r="L444" s="5">
        <v>23</v>
      </c>
      <c r="M444" s="5">
        <v>3</v>
      </c>
      <c r="N444" s="5" t="s">
        <v>3</v>
      </c>
      <c r="O444" s="5">
        <v>2</v>
      </c>
      <c r="P444" s="5">
        <f>ROUND(Source!DO420,O444)</f>
        <v>0</v>
      </c>
      <c r="Q444" s="5"/>
      <c r="R444" s="5"/>
      <c r="S444" s="5"/>
      <c r="T444" s="5"/>
      <c r="U444" s="5"/>
      <c r="V444" s="5"/>
      <c r="W444" s="5"/>
    </row>
    <row r="445" spans="1:23" x14ac:dyDescent="0.2">
      <c r="A445" s="5">
        <v>50</v>
      </c>
      <c r="B445" s="5">
        <v>0</v>
      </c>
      <c r="C445" s="5">
        <v>0</v>
      </c>
      <c r="D445" s="5">
        <v>1</v>
      </c>
      <c r="E445" s="5">
        <v>210</v>
      </c>
      <c r="F445" s="5">
        <f>ROUND(Source!X420,O445)</f>
        <v>0</v>
      </c>
      <c r="G445" s="5" t="s">
        <v>163</v>
      </c>
      <c r="H445" s="5" t="s">
        <v>164</v>
      </c>
      <c r="I445" s="5"/>
      <c r="J445" s="5"/>
      <c r="K445" s="5">
        <v>210</v>
      </c>
      <c r="L445" s="5">
        <v>24</v>
      </c>
      <c r="M445" s="5">
        <v>3</v>
      </c>
      <c r="N445" s="5" t="s">
        <v>3</v>
      </c>
      <c r="O445" s="5">
        <v>2</v>
      </c>
      <c r="P445" s="5">
        <f>ROUND(Source!DP420,O445)</f>
        <v>3299.98</v>
      </c>
      <c r="Q445" s="5"/>
      <c r="R445" s="5"/>
      <c r="S445" s="5"/>
      <c r="T445" s="5"/>
      <c r="U445" s="5"/>
      <c r="V445" s="5"/>
      <c r="W445" s="5"/>
    </row>
    <row r="446" spans="1:23" x14ac:dyDescent="0.2">
      <c r="A446" s="5">
        <v>50</v>
      </c>
      <c r="B446" s="5">
        <v>0</v>
      </c>
      <c r="C446" s="5">
        <v>0</v>
      </c>
      <c r="D446" s="5">
        <v>1</v>
      </c>
      <c r="E446" s="5">
        <v>211</v>
      </c>
      <c r="F446" s="5">
        <f>ROUND(Source!Y420,O446)</f>
        <v>0</v>
      </c>
      <c r="G446" s="5" t="s">
        <v>165</v>
      </c>
      <c r="H446" s="5" t="s">
        <v>166</v>
      </c>
      <c r="I446" s="5"/>
      <c r="J446" s="5"/>
      <c r="K446" s="5">
        <v>211</v>
      </c>
      <c r="L446" s="5">
        <v>25</v>
      </c>
      <c r="M446" s="5">
        <v>3</v>
      </c>
      <c r="N446" s="5" t="s">
        <v>3</v>
      </c>
      <c r="O446" s="5">
        <v>2</v>
      </c>
      <c r="P446" s="5">
        <f>ROUND(Source!DQ420,O446)</f>
        <v>1757.12</v>
      </c>
      <c r="Q446" s="5"/>
      <c r="R446" s="5"/>
      <c r="S446" s="5"/>
      <c r="T446" s="5"/>
      <c r="U446" s="5"/>
      <c r="V446" s="5"/>
      <c r="W446" s="5"/>
    </row>
    <row r="447" spans="1:23" x14ac:dyDescent="0.2">
      <c r="A447" s="5">
        <v>50</v>
      </c>
      <c r="B447" s="5">
        <v>0</v>
      </c>
      <c r="C447" s="5">
        <v>0</v>
      </c>
      <c r="D447" s="5">
        <v>1</v>
      </c>
      <c r="E447" s="5">
        <v>224</v>
      </c>
      <c r="F447" s="5">
        <f>ROUND(Source!AR420,O447)</f>
        <v>2433.29</v>
      </c>
      <c r="G447" s="5" t="s">
        <v>167</v>
      </c>
      <c r="H447" s="5" t="s">
        <v>168</v>
      </c>
      <c r="I447" s="5"/>
      <c r="J447" s="5"/>
      <c r="K447" s="5">
        <v>224</v>
      </c>
      <c r="L447" s="5">
        <v>26</v>
      </c>
      <c r="M447" s="5">
        <v>3</v>
      </c>
      <c r="N447" s="5" t="s">
        <v>3</v>
      </c>
      <c r="O447" s="5">
        <v>2</v>
      </c>
      <c r="P447" s="5">
        <f>ROUND(Source!EJ420,O447)</f>
        <v>21223.64</v>
      </c>
      <c r="Q447" s="5"/>
      <c r="R447" s="5"/>
      <c r="S447" s="5"/>
      <c r="T447" s="5"/>
      <c r="U447" s="5"/>
      <c r="V447" s="5"/>
      <c r="W447" s="5"/>
    </row>
    <row r="449" spans="1:255" x14ac:dyDescent="0.2">
      <c r="A449" s="1">
        <v>5</v>
      </c>
      <c r="B449" s="1">
        <v>1</v>
      </c>
      <c r="C449" s="1"/>
      <c r="D449" s="1">
        <f>ROW(A482)</f>
        <v>482</v>
      </c>
      <c r="E449" s="1"/>
      <c r="F449" s="1" t="s">
        <v>170</v>
      </c>
      <c r="G449" s="1" t="s">
        <v>516</v>
      </c>
      <c r="H449" s="1" t="s">
        <v>3</v>
      </c>
      <c r="I449" s="1">
        <v>0</v>
      </c>
      <c r="J449" s="1"/>
      <c r="K449" s="1">
        <v>0</v>
      </c>
      <c r="L449" s="1"/>
      <c r="M449" s="1"/>
      <c r="N449" s="1"/>
      <c r="O449" s="1"/>
      <c r="P449" s="1"/>
      <c r="Q449" s="1"/>
      <c r="R449" s="1"/>
      <c r="S449" s="1"/>
      <c r="T449" s="1"/>
      <c r="U449" s="1" t="s">
        <v>3</v>
      </c>
      <c r="V449" s="1">
        <v>0</v>
      </c>
      <c r="W449" s="1"/>
      <c r="X449" s="1"/>
      <c r="Y449" s="1"/>
      <c r="Z449" s="1"/>
      <c r="AA449" s="1"/>
      <c r="AB449" s="1" t="s">
        <v>3</v>
      </c>
      <c r="AC449" s="1" t="s">
        <v>3</v>
      </c>
      <c r="AD449" s="1" t="s">
        <v>3</v>
      </c>
      <c r="AE449" s="1" t="s">
        <v>3</v>
      </c>
      <c r="AF449" s="1" t="s">
        <v>3</v>
      </c>
      <c r="AG449" s="1" t="s">
        <v>3</v>
      </c>
      <c r="AH449" s="1"/>
      <c r="AI449" s="1"/>
      <c r="AJ449" s="1"/>
      <c r="AK449" s="1"/>
      <c r="AL449" s="1"/>
      <c r="AM449" s="1"/>
      <c r="AN449" s="1"/>
      <c r="AO449" s="1"/>
      <c r="AP449" s="1" t="s">
        <v>3</v>
      </c>
      <c r="AQ449" s="1" t="s">
        <v>3</v>
      </c>
      <c r="AR449" s="1" t="s">
        <v>3</v>
      </c>
      <c r="AS449" s="1"/>
      <c r="AT449" s="1"/>
      <c r="AU449" s="1"/>
      <c r="AV449" s="1"/>
      <c r="AW449" s="1"/>
      <c r="AX449" s="1"/>
      <c r="AY449" s="1"/>
      <c r="AZ449" s="1" t="s">
        <v>3</v>
      </c>
      <c r="BA449" s="1"/>
      <c r="BB449" s="1" t="s">
        <v>3</v>
      </c>
      <c r="BC449" s="1" t="s">
        <v>3</v>
      </c>
      <c r="BD449" s="1" t="s">
        <v>3</v>
      </c>
      <c r="BE449" s="1" t="s">
        <v>3</v>
      </c>
      <c r="BF449" s="1" t="s">
        <v>3</v>
      </c>
      <c r="BG449" s="1" t="s">
        <v>3</v>
      </c>
      <c r="BH449" s="1" t="s">
        <v>3</v>
      </c>
      <c r="BI449" s="1" t="s">
        <v>3</v>
      </c>
      <c r="BJ449" s="1" t="s">
        <v>3</v>
      </c>
      <c r="BK449" s="1" t="s">
        <v>3</v>
      </c>
      <c r="BL449" s="1" t="s">
        <v>3</v>
      </c>
      <c r="BM449" s="1" t="s">
        <v>3</v>
      </c>
      <c r="BN449" s="1" t="s">
        <v>3</v>
      </c>
      <c r="BO449" s="1" t="s">
        <v>3</v>
      </c>
      <c r="BP449" s="1" t="s">
        <v>3</v>
      </c>
      <c r="BQ449" s="1"/>
      <c r="BR449" s="1"/>
      <c r="BS449" s="1"/>
      <c r="BT449" s="1"/>
      <c r="BU449" s="1"/>
      <c r="BV449" s="1"/>
      <c r="BW449" s="1"/>
      <c r="BX449" s="1">
        <v>0</v>
      </c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>
        <v>0</v>
      </c>
    </row>
    <row r="451" spans="1:255" x14ac:dyDescent="0.2">
      <c r="A451" s="3">
        <v>52</v>
      </c>
      <c r="B451" s="3">
        <f t="shared" ref="B451:G451" si="399">B482</f>
        <v>1</v>
      </c>
      <c r="C451" s="3">
        <f t="shared" si="399"/>
        <v>5</v>
      </c>
      <c r="D451" s="3">
        <f t="shared" si="399"/>
        <v>449</v>
      </c>
      <c r="E451" s="3">
        <f t="shared" si="399"/>
        <v>0</v>
      </c>
      <c r="F451" s="3" t="str">
        <f t="shared" si="399"/>
        <v>Новый подраздел</v>
      </c>
      <c r="G451" s="3" t="str">
        <f t="shared" si="399"/>
        <v>Электромонтажные работы</v>
      </c>
      <c r="H451" s="3"/>
      <c r="I451" s="3"/>
      <c r="J451" s="3"/>
      <c r="K451" s="3"/>
      <c r="L451" s="3"/>
      <c r="M451" s="3"/>
      <c r="N451" s="3"/>
      <c r="O451" s="3">
        <f t="shared" ref="O451:AT451" si="400">O482</f>
        <v>7843.17</v>
      </c>
      <c r="P451" s="3">
        <f t="shared" si="400"/>
        <v>7570.51</v>
      </c>
      <c r="Q451" s="3">
        <f t="shared" si="400"/>
        <v>19.36</v>
      </c>
      <c r="R451" s="3">
        <f t="shared" si="400"/>
        <v>3.74</v>
      </c>
      <c r="S451" s="3">
        <f t="shared" si="400"/>
        <v>253.3</v>
      </c>
      <c r="T451" s="3">
        <f t="shared" si="400"/>
        <v>0</v>
      </c>
      <c r="U451" s="3">
        <f t="shared" si="400"/>
        <v>20.545899999999996</v>
      </c>
      <c r="V451" s="3">
        <f t="shared" si="400"/>
        <v>0</v>
      </c>
      <c r="W451" s="3">
        <f t="shared" si="400"/>
        <v>0</v>
      </c>
      <c r="X451" s="3">
        <f t="shared" si="400"/>
        <v>0</v>
      </c>
      <c r="Y451" s="3">
        <f t="shared" si="400"/>
        <v>0</v>
      </c>
      <c r="Z451" s="3">
        <f t="shared" si="400"/>
        <v>0</v>
      </c>
      <c r="AA451" s="3">
        <f t="shared" si="400"/>
        <v>0</v>
      </c>
      <c r="AB451" s="3">
        <f t="shared" si="400"/>
        <v>7843.17</v>
      </c>
      <c r="AC451" s="3">
        <f t="shared" si="400"/>
        <v>7570.51</v>
      </c>
      <c r="AD451" s="3">
        <f t="shared" si="400"/>
        <v>19.36</v>
      </c>
      <c r="AE451" s="3">
        <f t="shared" si="400"/>
        <v>3.74</v>
      </c>
      <c r="AF451" s="3">
        <f t="shared" si="400"/>
        <v>253.3</v>
      </c>
      <c r="AG451" s="3">
        <f t="shared" si="400"/>
        <v>0</v>
      </c>
      <c r="AH451" s="3">
        <f t="shared" si="400"/>
        <v>20.545899999999996</v>
      </c>
      <c r="AI451" s="3">
        <f t="shared" si="400"/>
        <v>0</v>
      </c>
      <c r="AJ451" s="3">
        <f t="shared" si="400"/>
        <v>0</v>
      </c>
      <c r="AK451" s="3">
        <f t="shared" si="400"/>
        <v>0</v>
      </c>
      <c r="AL451" s="3">
        <f t="shared" si="400"/>
        <v>0</v>
      </c>
      <c r="AM451" s="3">
        <f t="shared" si="400"/>
        <v>0</v>
      </c>
      <c r="AN451" s="3">
        <f t="shared" si="400"/>
        <v>0</v>
      </c>
      <c r="AO451" s="3">
        <f t="shared" si="400"/>
        <v>0</v>
      </c>
      <c r="AP451" s="3">
        <f t="shared" si="400"/>
        <v>0</v>
      </c>
      <c r="AQ451" s="3">
        <f t="shared" si="400"/>
        <v>0</v>
      </c>
      <c r="AR451" s="3">
        <f t="shared" si="400"/>
        <v>7849.91</v>
      </c>
      <c r="AS451" s="3">
        <f t="shared" si="400"/>
        <v>0</v>
      </c>
      <c r="AT451" s="3">
        <f t="shared" si="400"/>
        <v>7849.91</v>
      </c>
      <c r="AU451" s="3">
        <f t="shared" ref="AU451:BZ451" si="401">AU482</f>
        <v>0</v>
      </c>
      <c r="AV451" s="3">
        <f t="shared" si="401"/>
        <v>7570.51</v>
      </c>
      <c r="AW451" s="3">
        <f t="shared" si="401"/>
        <v>7570.51</v>
      </c>
      <c r="AX451" s="3">
        <f t="shared" si="401"/>
        <v>0</v>
      </c>
      <c r="AY451" s="3">
        <f t="shared" si="401"/>
        <v>7570.51</v>
      </c>
      <c r="AZ451" s="3">
        <f t="shared" si="401"/>
        <v>0</v>
      </c>
      <c r="BA451" s="3">
        <f t="shared" si="401"/>
        <v>0</v>
      </c>
      <c r="BB451" s="3">
        <f t="shared" si="401"/>
        <v>0</v>
      </c>
      <c r="BC451" s="3">
        <f t="shared" si="401"/>
        <v>0</v>
      </c>
      <c r="BD451" s="3">
        <f t="shared" si="401"/>
        <v>0</v>
      </c>
      <c r="BE451" s="3">
        <f t="shared" si="401"/>
        <v>0</v>
      </c>
      <c r="BF451" s="3">
        <f t="shared" si="401"/>
        <v>0</v>
      </c>
      <c r="BG451" s="3">
        <f t="shared" si="401"/>
        <v>0</v>
      </c>
      <c r="BH451" s="3">
        <f t="shared" si="401"/>
        <v>0</v>
      </c>
      <c r="BI451" s="3">
        <f t="shared" si="401"/>
        <v>0</v>
      </c>
      <c r="BJ451" s="3">
        <f t="shared" si="401"/>
        <v>0</v>
      </c>
      <c r="BK451" s="3">
        <f t="shared" si="401"/>
        <v>0</v>
      </c>
      <c r="BL451" s="3">
        <f t="shared" si="401"/>
        <v>0</v>
      </c>
      <c r="BM451" s="3">
        <f t="shared" si="401"/>
        <v>0</v>
      </c>
      <c r="BN451" s="3">
        <f t="shared" si="401"/>
        <v>0</v>
      </c>
      <c r="BO451" s="3">
        <f t="shared" si="401"/>
        <v>0</v>
      </c>
      <c r="BP451" s="3">
        <f t="shared" si="401"/>
        <v>0</v>
      </c>
      <c r="BQ451" s="3">
        <f t="shared" si="401"/>
        <v>0</v>
      </c>
      <c r="BR451" s="3">
        <f t="shared" si="401"/>
        <v>0</v>
      </c>
      <c r="BS451" s="3">
        <f t="shared" si="401"/>
        <v>0</v>
      </c>
      <c r="BT451" s="3">
        <f t="shared" si="401"/>
        <v>0</v>
      </c>
      <c r="BU451" s="3">
        <f t="shared" si="401"/>
        <v>0</v>
      </c>
      <c r="BV451" s="3">
        <f t="shared" si="401"/>
        <v>0</v>
      </c>
      <c r="BW451" s="3">
        <f t="shared" si="401"/>
        <v>0</v>
      </c>
      <c r="BX451" s="3">
        <f t="shared" si="401"/>
        <v>0</v>
      </c>
      <c r="BY451" s="3">
        <f t="shared" si="401"/>
        <v>0</v>
      </c>
      <c r="BZ451" s="3">
        <f t="shared" si="401"/>
        <v>0</v>
      </c>
      <c r="CA451" s="3">
        <f t="shared" ref="CA451:DF451" si="402">CA482</f>
        <v>7849.91</v>
      </c>
      <c r="CB451" s="3">
        <f t="shared" si="402"/>
        <v>0</v>
      </c>
      <c r="CC451" s="3">
        <f t="shared" si="402"/>
        <v>7849.91</v>
      </c>
      <c r="CD451" s="3">
        <f t="shared" si="402"/>
        <v>0</v>
      </c>
      <c r="CE451" s="3">
        <f t="shared" si="402"/>
        <v>7570.51</v>
      </c>
      <c r="CF451" s="3">
        <f t="shared" si="402"/>
        <v>7570.51</v>
      </c>
      <c r="CG451" s="3">
        <f t="shared" si="402"/>
        <v>0</v>
      </c>
      <c r="CH451" s="3">
        <f t="shared" si="402"/>
        <v>7570.51</v>
      </c>
      <c r="CI451" s="3">
        <f t="shared" si="402"/>
        <v>0</v>
      </c>
      <c r="CJ451" s="3">
        <f t="shared" si="402"/>
        <v>0</v>
      </c>
      <c r="CK451" s="3">
        <f t="shared" si="402"/>
        <v>0</v>
      </c>
      <c r="CL451" s="3">
        <f t="shared" si="402"/>
        <v>0</v>
      </c>
      <c r="CM451" s="3">
        <f t="shared" si="402"/>
        <v>0</v>
      </c>
      <c r="CN451" s="3">
        <f t="shared" si="402"/>
        <v>0</v>
      </c>
      <c r="CO451" s="3">
        <f t="shared" si="402"/>
        <v>0</v>
      </c>
      <c r="CP451" s="3">
        <f t="shared" si="402"/>
        <v>0</v>
      </c>
      <c r="CQ451" s="3">
        <f t="shared" si="402"/>
        <v>0</v>
      </c>
      <c r="CR451" s="3">
        <f t="shared" si="402"/>
        <v>0</v>
      </c>
      <c r="CS451" s="3">
        <f t="shared" si="402"/>
        <v>0</v>
      </c>
      <c r="CT451" s="3">
        <f t="shared" si="402"/>
        <v>0</v>
      </c>
      <c r="CU451" s="3">
        <f t="shared" si="402"/>
        <v>0</v>
      </c>
      <c r="CV451" s="3">
        <f t="shared" si="402"/>
        <v>0</v>
      </c>
      <c r="CW451" s="3">
        <f t="shared" si="402"/>
        <v>0</v>
      </c>
      <c r="CX451" s="3">
        <f t="shared" si="402"/>
        <v>0</v>
      </c>
      <c r="CY451" s="3">
        <f t="shared" si="402"/>
        <v>0</v>
      </c>
      <c r="CZ451" s="3">
        <f t="shared" si="402"/>
        <v>0</v>
      </c>
      <c r="DA451" s="3">
        <f t="shared" si="402"/>
        <v>0</v>
      </c>
      <c r="DB451" s="3">
        <f t="shared" si="402"/>
        <v>0</v>
      </c>
      <c r="DC451" s="3">
        <f t="shared" si="402"/>
        <v>0</v>
      </c>
      <c r="DD451" s="3">
        <f t="shared" si="402"/>
        <v>0</v>
      </c>
      <c r="DE451" s="3">
        <f t="shared" si="402"/>
        <v>0</v>
      </c>
      <c r="DF451" s="3">
        <f t="shared" si="402"/>
        <v>0</v>
      </c>
      <c r="DG451" s="4">
        <f t="shared" ref="DG451:EL451" si="403">DG482</f>
        <v>27310.06</v>
      </c>
      <c r="DH451" s="4">
        <f t="shared" si="403"/>
        <v>21982.02</v>
      </c>
      <c r="DI451" s="4">
        <f t="shared" si="403"/>
        <v>160.63999999999999</v>
      </c>
      <c r="DJ451" s="4">
        <f t="shared" si="403"/>
        <v>76.17</v>
      </c>
      <c r="DK451" s="4">
        <f t="shared" si="403"/>
        <v>5167.3999999999996</v>
      </c>
      <c r="DL451" s="4">
        <f t="shared" si="403"/>
        <v>0</v>
      </c>
      <c r="DM451" s="4">
        <f t="shared" si="403"/>
        <v>20.545899999999996</v>
      </c>
      <c r="DN451" s="4">
        <f t="shared" si="403"/>
        <v>0</v>
      </c>
      <c r="DO451" s="4">
        <f t="shared" si="403"/>
        <v>0</v>
      </c>
      <c r="DP451" s="4">
        <f t="shared" si="403"/>
        <v>3978.9</v>
      </c>
      <c r="DQ451" s="4">
        <f t="shared" si="403"/>
        <v>2118.63</v>
      </c>
      <c r="DR451" s="4">
        <f t="shared" si="403"/>
        <v>0</v>
      </c>
      <c r="DS451" s="4">
        <f t="shared" si="403"/>
        <v>0</v>
      </c>
      <c r="DT451" s="4">
        <f t="shared" si="403"/>
        <v>27310.06</v>
      </c>
      <c r="DU451" s="4">
        <f t="shared" si="403"/>
        <v>21982.02</v>
      </c>
      <c r="DV451" s="4">
        <f t="shared" si="403"/>
        <v>160.63999999999999</v>
      </c>
      <c r="DW451" s="4">
        <f t="shared" si="403"/>
        <v>76.17</v>
      </c>
      <c r="DX451" s="4">
        <f t="shared" si="403"/>
        <v>5167.3999999999996</v>
      </c>
      <c r="DY451" s="4">
        <f t="shared" si="403"/>
        <v>0</v>
      </c>
      <c r="DZ451" s="4">
        <f t="shared" si="403"/>
        <v>20.545899999999996</v>
      </c>
      <c r="EA451" s="4">
        <f t="shared" si="403"/>
        <v>0</v>
      </c>
      <c r="EB451" s="4">
        <f t="shared" si="403"/>
        <v>0</v>
      </c>
      <c r="EC451" s="4">
        <f t="shared" si="403"/>
        <v>3978.9</v>
      </c>
      <c r="ED451" s="4">
        <f t="shared" si="403"/>
        <v>2118.63</v>
      </c>
      <c r="EE451" s="4">
        <f t="shared" si="403"/>
        <v>0</v>
      </c>
      <c r="EF451" s="4">
        <f t="shared" si="403"/>
        <v>0</v>
      </c>
      <c r="EG451" s="4">
        <f t="shared" si="403"/>
        <v>0</v>
      </c>
      <c r="EH451" s="4">
        <f t="shared" si="403"/>
        <v>0</v>
      </c>
      <c r="EI451" s="4">
        <f t="shared" si="403"/>
        <v>0</v>
      </c>
      <c r="EJ451" s="4">
        <f t="shared" si="403"/>
        <v>33535.56</v>
      </c>
      <c r="EK451" s="4">
        <f t="shared" si="403"/>
        <v>0</v>
      </c>
      <c r="EL451" s="4">
        <f t="shared" si="403"/>
        <v>33535.56</v>
      </c>
      <c r="EM451" s="4">
        <f t="shared" ref="EM451:FR451" si="404">EM482</f>
        <v>0</v>
      </c>
      <c r="EN451" s="4">
        <f t="shared" si="404"/>
        <v>21982.02</v>
      </c>
      <c r="EO451" s="4">
        <f t="shared" si="404"/>
        <v>21982.02</v>
      </c>
      <c r="EP451" s="4">
        <f t="shared" si="404"/>
        <v>0</v>
      </c>
      <c r="EQ451" s="4">
        <f t="shared" si="404"/>
        <v>21982.02</v>
      </c>
      <c r="ER451" s="4">
        <f t="shared" si="404"/>
        <v>0</v>
      </c>
      <c r="ES451" s="4">
        <f t="shared" si="404"/>
        <v>0</v>
      </c>
      <c r="ET451" s="4">
        <f t="shared" si="404"/>
        <v>0</v>
      </c>
      <c r="EU451" s="4">
        <f t="shared" si="404"/>
        <v>0</v>
      </c>
      <c r="EV451" s="4">
        <f t="shared" si="404"/>
        <v>0</v>
      </c>
      <c r="EW451" s="4">
        <f t="shared" si="404"/>
        <v>0</v>
      </c>
      <c r="EX451" s="4">
        <f t="shared" si="404"/>
        <v>0</v>
      </c>
      <c r="EY451" s="4">
        <f t="shared" si="404"/>
        <v>0</v>
      </c>
      <c r="EZ451" s="4">
        <f t="shared" si="404"/>
        <v>0</v>
      </c>
      <c r="FA451" s="4">
        <f t="shared" si="404"/>
        <v>0</v>
      </c>
      <c r="FB451" s="4">
        <f t="shared" si="404"/>
        <v>0</v>
      </c>
      <c r="FC451" s="4">
        <f t="shared" si="404"/>
        <v>0</v>
      </c>
      <c r="FD451" s="4">
        <f t="shared" si="404"/>
        <v>0</v>
      </c>
      <c r="FE451" s="4">
        <f t="shared" si="404"/>
        <v>0</v>
      </c>
      <c r="FF451" s="4">
        <f t="shared" si="404"/>
        <v>0</v>
      </c>
      <c r="FG451" s="4">
        <f t="shared" si="404"/>
        <v>0</v>
      </c>
      <c r="FH451" s="4">
        <f t="shared" si="404"/>
        <v>0</v>
      </c>
      <c r="FI451" s="4">
        <f t="shared" si="404"/>
        <v>0</v>
      </c>
      <c r="FJ451" s="4">
        <f t="shared" si="404"/>
        <v>0</v>
      </c>
      <c r="FK451" s="4">
        <f t="shared" si="404"/>
        <v>0</v>
      </c>
      <c r="FL451" s="4">
        <f t="shared" si="404"/>
        <v>0</v>
      </c>
      <c r="FM451" s="4">
        <f t="shared" si="404"/>
        <v>0</v>
      </c>
      <c r="FN451" s="4">
        <f t="shared" si="404"/>
        <v>0</v>
      </c>
      <c r="FO451" s="4">
        <f t="shared" si="404"/>
        <v>0</v>
      </c>
      <c r="FP451" s="4">
        <f t="shared" si="404"/>
        <v>0</v>
      </c>
      <c r="FQ451" s="4">
        <f t="shared" si="404"/>
        <v>0</v>
      </c>
      <c r="FR451" s="4">
        <f t="shared" si="404"/>
        <v>0</v>
      </c>
      <c r="FS451" s="4">
        <f t="shared" ref="FS451:GX451" si="405">FS482</f>
        <v>33535.56</v>
      </c>
      <c r="FT451" s="4">
        <f t="shared" si="405"/>
        <v>0</v>
      </c>
      <c r="FU451" s="4">
        <f t="shared" si="405"/>
        <v>33535.56</v>
      </c>
      <c r="FV451" s="4">
        <f t="shared" si="405"/>
        <v>0</v>
      </c>
      <c r="FW451" s="4">
        <f t="shared" si="405"/>
        <v>21982.02</v>
      </c>
      <c r="FX451" s="4">
        <f t="shared" si="405"/>
        <v>21982.02</v>
      </c>
      <c r="FY451" s="4">
        <f t="shared" si="405"/>
        <v>0</v>
      </c>
      <c r="FZ451" s="4">
        <f t="shared" si="405"/>
        <v>21982.02</v>
      </c>
      <c r="GA451" s="4">
        <f t="shared" si="405"/>
        <v>0</v>
      </c>
      <c r="GB451" s="4">
        <f t="shared" si="405"/>
        <v>0</v>
      </c>
      <c r="GC451" s="4">
        <f t="shared" si="405"/>
        <v>0</v>
      </c>
      <c r="GD451" s="4">
        <f t="shared" si="405"/>
        <v>0</v>
      </c>
      <c r="GE451" s="4">
        <f t="shared" si="405"/>
        <v>0</v>
      </c>
      <c r="GF451" s="4">
        <f t="shared" si="405"/>
        <v>0</v>
      </c>
      <c r="GG451" s="4">
        <f t="shared" si="405"/>
        <v>0</v>
      </c>
      <c r="GH451" s="4">
        <f t="shared" si="405"/>
        <v>0</v>
      </c>
      <c r="GI451" s="4">
        <f t="shared" si="405"/>
        <v>0</v>
      </c>
      <c r="GJ451" s="4">
        <f t="shared" si="405"/>
        <v>0</v>
      </c>
      <c r="GK451" s="4">
        <f t="shared" si="405"/>
        <v>0</v>
      </c>
      <c r="GL451" s="4">
        <f t="shared" si="405"/>
        <v>0</v>
      </c>
      <c r="GM451" s="4">
        <f t="shared" si="405"/>
        <v>0</v>
      </c>
      <c r="GN451" s="4">
        <f t="shared" si="405"/>
        <v>0</v>
      </c>
      <c r="GO451" s="4">
        <f t="shared" si="405"/>
        <v>0</v>
      </c>
      <c r="GP451" s="4">
        <f t="shared" si="405"/>
        <v>0</v>
      </c>
      <c r="GQ451" s="4">
        <f t="shared" si="405"/>
        <v>0</v>
      </c>
      <c r="GR451" s="4">
        <f t="shared" si="405"/>
        <v>0</v>
      </c>
      <c r="GS451" s="4">
        <f t="shared" si="405"/>
        <v>0</v>
      </c>
      <c r="GT451" s="4">
        <f t="shared" si="405"/>
        <v>0</v>
      </c>
      <c r="GU451" s="4">
        <f t="shared" si="405"/>
        <v>0</v>
      </c>
      <c r="GV451" s="4">
        <f t="shared" si="405"/>
        <v>0</v>
      </c>
      <c r="GW451" s="4">
        <f t="shared" si="405"/>
        <v>0</v>
      </c>
      <c r="GX451" s="4">
        <f t="shared" si="405"/>
        <v>0</v>
      </c>
    </row>
    <row r="453" spans="1:255" x14ac:dyDescent="0.2">
      <c r="A453" s="2">
        <v>17</v>
      </c>
      <c r="B453" s="2">
        <v>1</v>
      </c>
      <c r="C453" s="2">
        <f>ROW(SmtRes!A397)</f>
        <v>397</v>
      </c>
      <c r="D453" s="2">
        <f>ROW(EtalonRes!A382)</f>
        <v>382</v>
      </c>
      <c r="E453" s="2" t="s">
        <v>517</v>
      </c>
      <c r="F453" s="2" t="s">
        <v>518</v>
      </c>
      <c r="G453" s="2" t="s">
        <v>519</v>
      </c>
      <c r="H453" s="2" t="s">
        <v>483</v>
      </c>
      <c r="I453" s="2">
        <f>ROUND(30/100,9)</f>
        <v>0.3</v>
      </c>
      <c r="J453" s="2">
        <v>0</v>
      </c>
      <c r="K453" s="2"/>
      <c r="L453" s="2"/>
      <c r="M453" s="2"/>
      <c r="N453" s="2"/>
      <c r="O453" s="2">
        <f t="shared" ref="O453:O480" si="406">ROUND(CP453,2)</f>
        <v>454.57</v>
      </c>
      <c r="P453" s="2">
        <f t="shared" ref="P453:P480" si="407">ROUND(CQ453*I453,2)</f>
        <v>305.48</v>
      </c>
      <c r="Q453" s="2">
        <f t="shared" ref="Q453:Q480" si="408">ROUND(CR453*I453,2)</f>
        <v>9.19</v>
      </c>
      <c r="R453" s="2">
        <f t="shared" ref="R453:R480" si="409">ROUND(CS453*I453,2)</f>
        <v>1.37</v>
      </c>
      <c r="S453" s="2">
        <f t="shared" ref="S453:S480" si="410">ROUND(CT453*I453,2)</f>
        <v>139.9</v>
      </c>
      <c r="T453" s="2">
        <f t="shared" ref="T453:T480" si="411">ROUND(CU453*I453,2)</f>
        <v>0</v>
      </c>
      <c r="U453" s="2">
        <f t="shared" ref="U453:U480" si="412">CV453*I453</f>
        <v>11.657549999999999</v>
      </c>
      <c r="V453" s="2">
        <f t="shared" ref="V453:V480" si="413">CW453*I453</f>
        <v>0</v>
      </c>
      <c r="W453" s="2">
        <f t="shared" ref="W453:W480" si="414">ROUND(CX453*I453,2)</f>
        <v>0</v>
      </c>
      <c r="X453" s="2">
        <f t="shared" ref="X453:X480" si="415">ROUND(CY453,2)</f>
        <v>0</v>
      </c>
      <c r="Y453" s="2">
        <f t="shared" ref="Y453:Y480" si="416">ROUND(CZ453,2)</f>
        <v>0</v>
      </c>
      <c r="Z453" s="2"/>
      <c r="AA453" s="2">
        <v>45037306</v>
      </c>
      <c r="AB453" s="2">
        <f t="shared" ref="AB453:AB480" si="417">ROUND((AC453+AD453+AF453),6)</f>
        <v>1515.2325000000001</v>
      </c>
      <c r="AC453" s="2">
        <f t="shared" ref="AC453:AC480" si="418">ROUND((ES453),6)</f>
        <v>1018.27</v>
      </c>
      <c r="AD453" s="2">
        <f>ROUND(((ET453*1.25)),6)</f>
        <v>30.637499999999999</v>
      </c>
      <c r="AE453" s="2">
        <f>ROUND(((EU453*1.25)),6)</f>
        <v>4.5750000000000002</v>
      </c>
      <c r="AF453" s="2">
        <f>ROUND(((EV453*1.15)),6)</f>
        <v>466.32499999999999</v>
      </c>
      <c r="AG453" s="2">
        <f t="shared" ref="AG453:AG480" si="419">ROUND((AP453),6)</f>
        <v>0</v>
      </c>
      <c r="AH453" s="2">
        <f>((EW453*1.15))</f>
        <v>38.858499999999999</v>
      </c>
      <c r="AI453" s="2">
        <f>((EX453*1.25))</f>
        <v>0</v>
      </c>
      <c r="AJ453" s="2">
        <f t="shared" ref="AJ453:AJ480" si="420">ROUND((AS453),6)</f>
        <v>0</v>
      </c>
      <c r="AK453" s="2">
        <v>1448.28</v>
      </c>
      <c r="AL453" s="2">
        <v>1018.27</v>
      </c>
      <c r="AM453" s="2">
        <v>24.51</v>
      </c>
      <c r="AN453" s="2">
        <v>3.66</v>
      </c>
      <c r="AO453" s="2">
        <v>405.5</v>
      </c>
      <c r="AP453" s="2">
        <v>0</v>
      </c>
      <c r="AQ453" s="2">
        <v>33.79</v>
      </c>
      <c r="AR453" s="2">
        <v>0</v>
      </c>
      <c r="AS453" s="2">
        <v>0</v>
      </c>
      <c r="AT453" s="2">
        <v>0</v>
      </c>
      <c r="AU453" s="2">
        <v>0</v>
      </c>
      <c r="AV453" s="2">
        <v>1</v>
      </c>
      <c r="AW453" s="2">
        <v>1</v>
      </c>
      <c r="AX453" s="2"/>
      <c r="AY453" s="2"/>
      <c r="AZ453" s="2">
        <v>1</v>
      </c>
      <c r="BA453" s="2">
        <v>1</v>
      </c>
      <c r="BB453" s="2">
        <v>1</v>
      </c>
      <c r="BC453" s="2">
        <v>1</v>
      </c>
      <c r="BD453" s="2" t="s">
        <v>3</v>
      </c>
      <c r="BE453" s="2" t="s">
        <v>3</v>
      </c>
      <c r="BF453" s="2" t="s">
        <v>3</v>
      </c>
      <c r="BG453" s="2" t="s">
        <v>3</v>
      </c>
      <c r="BH453" s="2">
        <v>0</v>
      </c>
      <c r="BI453" s="2">
        <v>2</v>
      </c>
      <c r="BJ453" s="2" t="s">
        <v>520</v>
      </c>
      <c r="BK453" s="2"/>
      <c r="BL453" s="2"/>
      <c r="BM453" s="2">
        <v>335</v>
      </c>
      <c r="BN453" s="2">
        <v>7156650</v>
      </c>
      <c r="BO453" s="2" t="s">
        <v>3</v>
      </c>
      <c r="BP453" s="2">
        <v>0</v>
      </c>
      <c r="BQ453" s="2">
        <v>40</v>
      </c>
      <c r="BR453" s="2">
        <v>0</v>
      </c>
      <c r="BS453" s="2">
        <v>1</v>
      </c>
      <c r="BT453" s="2">
        <v>1</v>
      </c>
      <c r="BU453" s="2">
        <v>1</v>
      </c>
      <c r="BV453" s="2">
        <v>1</v>
      </c>
      <c r="BW453" s="2">
        <v>1</v>
      </c>
      <c r="BX453" s="2">
        <v>1</v>
      </c>
      <c r="BY453" s="2" t="s">
        <v>3</v>
      </c>
      <c r="BZ453" s="2">
        <v>0</v>
      </c>
      <c r="CA453" s="2">
        <v>0</v>
      </c>
      <c r="CB453" s="2"/>
      <c r="CC453" s="2"/>
      <c r="CD453" s="2"/>
      <c r="CE453" s="2"/>
      <c r="CF453" s="2">
        <v>0</v>
      </c>
      <c r="CG453" s="2">
        <v>0</v>
      </c>
      <c r="CH453" s="2"/>
      <c r="CI453" s="2"/>
      <c r="CJ453" s="2"/>
      <c r="CK453" s="2"/>
      <c r="CL453" s="2"/>
      <c r="CM453" s="2">
        <v>0</v>
      </c>
      <c r="CN453" s="2" t="s">
        <v>3</v>
      </c>
      <c r="CO453" s="2">
        <v>0</v>
      </c>
      <c r="CP453" s="2">
        <f t="shared" ref="CP453:CP480" si="421">(P453+Q453+S453)</f>
        <v>454.57000000000005</v>
      </c>
      <c r="CQ453" s="2">
        <f t="shared" ref="CQ453:CQ480" si="422">(AC453*BC453*AW453)</f>
        <v>1018.27</v>
      </c>
      <c r="CR453" s="2">
        <f t="shared" ref="CR453:CR480" si="423">(AD453*BB453*AV453)</f>
        <v>30.637499999999999</v>
      </c>
      <c r="CS453" s="2">
        <f t="shared" ref="CS453:CS480" si="424">(AE453*BS453*AV453)</f>
        <v>4.5750000000000002</v>
      </c>
      <c r="CT453" s="2">
        <f t="shared" ref="CT453:CT480" si="425">(AF453*BA453*AV453)</f>
        <v>466.32499999999999</v>
      </c>
      <c r="CU453" s="2">
        <f t="shared" ref="CU453:CU480" si="426">AG453</f>
        <v>0</v>
      </c>
      <c r="CV453" s="2">
        <f t="shared" ref="CV453:CV480" si="427">(AH453*AV453)</f>
        <v>38.858499999999999</v>
      </c>
      <c r="CW453" s="2">
        <f t="shared" ref="CW453:CW480" si="428">AI453</f>
        <v>0</v>
      </c>
      <c r="CX453" s="2">
        <f t="shared" ref="CX453:CX480" si="429">AJ453</f>
        <v>0</v>
      </c>
      <c r="CY453" s="2">
        <f t="shared" ref="CY453:CY480" si="430">S453*(BZ453/100)</f>
        <v>0</v>
      </c>
      <c r="CZ453" s="2">
        <f t="shared" ref="CZ453:CZ480" si="431">S453*(CA453/100)</f>
        <v>0</v>
      </c>
      <c r="DA453" s="2"/>
      <c r="DB453" s="2"/>
      <c r="DC453" s="2" t="s">
        <v>3</v>
      </c>
      <c r="DD453" s="2" t="s">
        <v>3</v>
      </c>
      <c r="DE453" s="2" t="s">
        <v>36</v>
      </c>
      <c r="DF453" s="2" t="s">
        <v>36</v>
      </c>
      <c r="DG453" s="2" t="s">
        <v>37</v>
      </c>
      <c r="DH453" s="2" t="s">
        <v>3</v>
      </c>
      <c r="DI453" s="2" t="s">
        <v>37</v>
      </c>
      <c r="DJ453" s="2" t="s">
        <v>36</v>
      </c>
      <c r="DK453" s="2" t="s">
        <v>3</v>
      </c>
      <c r="DL453" s="2" t="s">
        <v>3</v>
      </c>
      <c r="DM453" s="2" t="s">
        <v>3</v>
      </c>
      <c r="DN453" s="2">
        <v>114</v>
      </c>
      <c r="DO453" s="2">
        <v>67</v>
      </c>
      <c r="DP453" s="2">
        <v>1.0469999999999999</v>
      </c>
      <c r="DQ453" s="2">
        <v>1</v>
      </c>
      <c r="DR453" s="2"/>
      <c r="DS453" s="2"/>
      <c r="DT453" s="2"/>
      <c r="DU453" s="2">
        <v>1003</v>
      </c>
      <c r="DV453" s="2" t="s">
        <v>483</v>
      </c>
      <c r="DW453" s="2" t="s">
        <v>483</v>
      </c>
      <c r="DX453" s="2">
        <v>100</v>
      </c>
      <c r="DY453" s="2"/>
      <c r="DZ453" s="2"/>
      <c r="EA453" s="2"/>
      <c r="EB453" s="2"/>
      <c r="EC453" s="2"/>
      <c r="ED453" s="2"/>
      <c r="EE453" s="2">
        <v>44846842</v>
      </c>
      <c r="EF453" s="2">
        <v>40</v>
      </c>
      <c r="EG453" s="2" t="s">
        <v>453</v>
      </c>
      <c r="EH453" s="2">
        <v>0</v>
      </c>
      <c r="EI453" s="2" t="s">
        <v>3</v>
      </c>
      <c r="EJ453" s="2">
        <v>2</v>
      </c>
      <c r="EK453" s="2">
        <v>335</v>
      </c>
      <c r="EL453" s="2" t="s">
        <v>521</v>
      </c>
      <c r="EM453" s="2" t="s">
        <v>522</v>
      </c>
      <c r="EN453" s="2"/>
      <c r="EO453" s="2" t="s">
        <v>3</v>
      </c>
      <c r="EP453" s="2"/>
      <c r="EQ453" s="2">
        <v>131072</v>
      </c>
      <c r="ER453" s="2">
        <v>1448.28</v>
      </c>
      <c r="ES453" s="2">
        <v>1018.27</v>
      </c>
      <c r="ET453" s="2">
        <v>24.51</v>
      </c>
      <c r="EU453" s="2">
        <v>3.66</v>
      </c>
      <c r="EV453" s="2">
        <v>405.5</v>
      </c>
      <c r="EW453" s="2">
        <v>33.79</v>
      </c>
      <c r="EX453" s="2">
        <v>0</v>
      </c>
      <c r="EY453" s="2">
        <v>0</v>
      </c>
      <c r="EZ453" s="2"/>
      <c r="FA453" s="2"/>
      <c r="FB453" s="2"/>
      <c r="FC453" s="2"/>
      <c r="FD453" s="2"/>
      <c r="FE453" s="2"/>
      <c r="FF453" s="2"/>
      <c r="FG453" s="2"/>
      <c r="FH453" s="2"/>
      <c r="FI453" s="2"/>
      <c r="FJ453" s="2"/>
      <c r="FK453" s="2"/>
      <c r="FL453" s="2"/>
      <c r="FM453" s="2"/>
      <c r="FN453" s="2"/>
      <c r="FO453" s="2"/>
      <c r="FP453" s="2"/>
      <c r="FQ453" s="2">
        <v>0</v>
      </c>
      <c r="FR453" s="2">
        <f t="shared" ref="FR453:FR480" si="432">ROUND(IF(AND(BH453=3,BI453=3),P453,0),2)</f>
        <v>0</v>
      </c>
      <c r="FS453" s="2">
        <v>0</v>
      </c>
      <c r="FT453" s="2"/>
      <c r="FU453" s="2"/>
      <c r="FV453" s="2"/>
      <c r="FW453" s="2"/>
      <c r="FX453" s="2">
        <v>114</v>
      </c>
      <c r="FY453" s="2">
        <v>67</v>
      </c>
      <c r="FZ453" s="2"/>
      <c r="GA453" s="2" t="s">
        <v>3</v>
      </c>
      <c r="GB453" s="2"/>
      <c r="GC453" s="2"/>
      <c r="GD453" s="2">
        <v>0</v>
      </c>
      <c r="GE453" s="2"/>
      <c r="GF453" s="2">
        <v>1715259547</v>
      </c>
      <c r="GG453" s="2">
        <v>2</v>
      </c>
      <c r="GH453" s="2">
        <v>1</v>
      </c>
      <c r="GI453" s="2">
        <v>3</v>
      </c>
      <c r="GJ453" s="2">
        <v>0</v>
      </c>
      <c r="GK453" s="2">
        <f>ROUND(R453*(R12)/100,2)</f>
        <v>2.4700000000000002</v>
      </c>
      <c r="GL453" s="2">
        <f t="shared" ref="GL453:GL480" si="433">ROUND(IF(AND(BH453=3,BI453=3,FS453&lt;&gt;0),P453,0),2)</f>
        <v>0</v>
      </c>
      <c r="GM453" s="2">
        <f t="shared" ref="GM453:GM480" si="434">ROUND(O453+X453+Y453+GK453,2)+GX453</f>
        <v>457.04</v>
      </c>
      <c r="GN453" s="2">
        <f t="shared" ref="GN453:GN480" si="435">IF(OR(BI453=0,BI453=1),ROUND(O453+X453+Y453+GK453,2),0)</f>
        <v>0</v>
      </c>
      <c r="GO453" s="2">
        <f t="shared" ref="GO453:GO480" si="436">IF(BI453=2,ROUND(O453+X453+Y453+GK453,2),0)</f>
        <v>457.04</v>
      </c>
      <c r="GP453" s="2">
        <f t="shared" ref="GP453:GP480" si="437">IF(BI453=4,ROUND(O453+X453+Y453+GK453,2)+GX453,0)</f>
        <v>0</v>
      </c>
      <c r="GQ453" s="2"/>
      <c r="GR453" s="2">
        <v>0</v>
      </c>
      <c r="GS453" s="2">
        <v>3</v>
      </c>
      <c r="GT453" s="2">
        <v>0</v>
      </c>
      <c r="GU453" s="2" t="s">
        <v>3</v>
      </c>
      <c r="GV453" s="2">
        <f t="shared" ref="GV453:GV480" si="438">ROUND(GT453,6)</f>
        <v>0</v>
      </c>
      <c r="GW453" s="2">
        <v>1</v>
      </c>
      <c r="GX453" s="2">
        <f t="shared" ref="GX453:GX480" si="439">ROUND(GV453*GW453*I453,2)</f>
        <v>0</v>
      </c>
      <c r="GY453" s="2"/>
      <c r="GZ453" s="2"/>
      <c r="HA453" s="2">
        <v>0</v>
      </c>
      <c r="HB453" s="2">
        <v>0</v>
      </c>
      <c r="HC453" s="2"/>
      <c r="HD453" s="2"/>
      <c r="HE453" s="2"/>
      <c r="HF453" s="2"/>
      <c r="HG453" s="2"/>
      <c r="HH453" s="2"/>
      <c r="HI453" s="2"/>
      <c r="HJ453" s="2"/>
      <c r="HK453" s="2"/>
      <c r="HL453" s="2"/>
      <c r="HM453" s="2"/>
      <c r="HN453" s="2"/>
      <c r="HO453" s="2"/>
      <c r="HP453" s="2"/>
      <c r="HQ453" s="2"/>
      <c r="HR453" s="2"/>
      <c r="HS453" s="2"/>
      <c r="HT453" s="2"/>
      <c r="HU453" s="2"/>
      <c r="HV453" s="2"/>
      <c r="HW453" s="2"/>
      <c r="HX453" s="2"/>
      <c r="HY453" s="2"/>
      <c r="HZ453" s="2"/>
      <c r="IA453" s="2"/>
      <c r="IB453" s="2"/>
      <c r="IC453" s="2"/>
      <c r="ID453" s="2"/>
      <c r="IE453" s="2"/>
      <c r="IF453" s="2"/>
      <c r="IG453" s="2"/>
      <c r="IH453" s="2"/>
      <c r="II453" s="2"/>
      <c r="IJ453" s="2"/>
      <c r="IK453" s="2">
        <v>0</v>
      </c>
      <c r="IL453" s="2"/>
      <c r="IM453" s="2"/>
      <c r="IN453" s="2"/>
      <c r="IO453" s="2"/>
      <c r="IP453" s="2"/>
      <c r="IQ453" s="2"/>
      <c r="IR453" s="2"/>
      <c r="IS453" s="2"/>
      <c r="IT453" s="2"/>
      <c r="IU453" s="2"/>
    </row>
    <row r="454" spans="1:255" x14ac:dyDescent="0.2">
      <c r="A454">
        <v>17</v>
      </c>
      <c r="B454">
        <v>1</v>
      </c>
      <c r="C454">
        <f>ROW(SmtRes!A400)</f>
        <v>400</v>
      </c>
      <c r="D454">
        <f>ROW(EtalonRes!A390)</f>
        <v>390</v>
      </c>
      <c r="E454" t="s">
        <v>517</v>
      </c>
      <c r="F454" t="s">
        <v>518</v>
      </c>
      <c r="G454" t="s">
        <v>519</v>
      </c>
      <c r="H454" t="s">
        <v>483</v>
      </c>
      <c r="I454">
        <f>ROUND(30/100,9)</f>
        <v>0.3</v>
      </c>
      <c r="J454">
        <v>0</v>
      </c>
      <c r="O454">
        <f t="shared" si="406"/>
        <v>4521.8900000000003</v>
      </c>
      <c r="P454">
        <f t="shared" si="407"/>
        <v>1597.67</v>
      </c>
      <c r="Q454">
        <f t="shared" si="408"/>
        <v>70.31</v>
      </c>
      <c r="R454">
        <f t="shared" si="409"/>
        <v>28</v>
      </c>
      <c r="S454">
        <f t="shared" si="410"/>
        <v>2853.91</v>
      </c>
      <c r="T454">
        <f t="shared" si="411"/>
        <v>0</v>
      </c>
      <c r="U454">
        <f t="shared" si="412"/>
        <v>11.657549999999999</v>
      </c>
      <c r="V454">
        <f t="shared" si="413"/>
        <v>0</v>
      </c>
      <c r="W454">
        <f t="shared" si="414"/>
        <v>0</v>
      </c>
      <c r="X454">
        <f t="shared" si="415"/>
        <v>2197.5100000000002</v>
      </c>
      <c r="Y454">
        <f t="shared" si="416"/>
        <v>1170.0999999999999</v>
      </c>
      <c r="AA454">
        <v>45037307</v>
      </c>
      <c r="AB454">
        <f t="shared" si="417"/>
        <v>1515.2325000000001</v>
      </c>
      <c r="AC454">
        <f t="shared" si="418"/>
        <v>1018.27</v>
      </c>
      <c r="AD454">
        <f>ROUND(((ET454*1.25)),6)</f>
        <v>30.637499999999999</v>
      </c>
      <c r="AE454">
        <f>ROUND(((EU454*1.25)),6)</f>
        <v>4.5750000000000002</v>
      </c>
      <c r="AF454">
        <f>ROUND(((EV454*1.15)),6)</f>
        <v>466.32499999999999</v>
      </c>
      <c r="AG454">
        <f t="shared" si="419"/>
        <v>0</v>
      </c>
      <c r="AH454">
        <f>((EW454*1.15))</f>
        <v>38.858499999999999</v>
      </c>
      <c r="AI454">
        <f>((EX454*1.25))</f>
        <v>0</v>
      </c>
      <c r="AJ454">
        <f t="shared" si="420"/>
        <v>0</v>
      </c>
      <c r="AK454">
        <v>1448.28</v>
      </c>
      <c r="AL454">
        <v>1018.27</v>
      </c>
      <c r="AM454">
        <v>24.51</v>
      </c>
      <c r="AN454">
        <v>3.66</v>
      </c>
      <c r="AO454">
        <v>405.5</v>
      </c>
      <c r="AP454">
        <v>0</v>
      </c>
      <c r="AQ454">
        <v>33.79</v>
      </c>
      <c r="AR454">
        <v>0</v>
      </c>
      <c r="AS454">
        <v>0</v>
      </c>
      <c r="AT454">
        <v>77</v>
      </c>
      <c r="AU454">
        <v>41</v>
      </c>
      <c r="AV454">
        <v>1</v>
      </c>
      <c r="AW454">
        <v>1</v>
      </c>
      <c r="AZ454">
        <v>1</v>
      </c>
      <c r="BA454">
        <v>20.399999999999999</v>
      </c>
      <c r="BB454">
        <v>7.65</v>
      </c>
      <c r="BC454">
        <v>5.23</v>
      </c>
      <c r="BD454" t="s">
        <v>3</v>
      </c>
      <c r="BE454" t="s">
        <v>3</v>
      </c>
      <c r="BF454" t="s">
        <v>3</v>
      </c>
      <c r="BG454" t="s">
        <v>3</v>
      </c>
      <c r="BH454">
        <v>0</v>
      </c>
      <c r="BI454">
        <v>2</v>
      </c>
      <c r="BJ454" t="s">
        <v>520</v>
      </c>
      <c r="BM454">
        <v>335</v>
      </c>
      <c r="BN454">
        <v>7156650</v>
      </c>
      <c r="BO454" t="s">
        <v>518</v>
      </c>
      <c r="BP454">
        <v>1</v>
      </c>
      <c r="BQ454">
        <v>40</v>
      </c>
      <c r="BR454">
        <v>0</v>
      </c>
      <c r="BS454">
        <v>20.399999999999999</v>
      </c>
      <c r="BT454">
        <v>1</v>
      </c>
      <c r="BU454">
        <v>1</v>
      </c>
      <c r="BV454">
        <v>1</v>
      </c>
      <c r="BW454">
        <v>1</v>
      </c>
      <c r="BX454">
        <v>1</v>
      </c>
      <c r="BY454" t="s">
        <v>3</v>
      </c>
      <c r="BZ454">
        <v>77</v>
      </c>
      <c r="CA454">
        <v>41</v>
      </c>
      <c r="CF454">
        <v>0</v>
      </c>
      <c r="CG454">
        <v>0</v>
      </c>
      <c r="CM454">
        <v>0</v>
      </c>
      <c r="CN454" t="s">
        <v>3</v>
      </c>
      <c r="CO454">
        <v>0</v>
      </c>
      <c r="CP454">
        <f t="shared" si="421"/>
        <v>4521.8899999999994</v>
      </c>
      <c r="CQ454">
        <f t="shared" si="422"/>
        <v>5325.5521000000008</v>
      </c>
      <c r="CR454">
        <f t="shared" si="423"/>
        <v>234.37687500000001</v>
      </c>
      <c r="CS454">
        <f t="shared" si="424"/>
        <v>93.33</v>
      </c>
      <c r="CT454">
        <f t="shared" si="425"/>
        <v>9513.0299999999988</v>
      </c>
      <c r="CU454">
        <f t="shared" si="426"/>
        <v>0</v>
      </c>
      <c r="CV454">
        <f t="shared" si="427"/>
        <v>38.858499999999999</v>
      </c>
      <c r="CW454">
        <f t="shared" si="428"/>
        <v>0</v>
      </c>
      <c r="CX454">
        <f t="shared" si="429"/>
        <v>0</v>
      </c>
      <c r="CY454">
        <f t="shared" si="430"/>
        <v>2197.5106999999998</v>
      </c>
      <c r="CZ454">
        <f t="shared" si="431"/>
        <v>1170.1030999999998</v>
      </c>
      <c r="DC454" t="s">
        <v>3</v>
      </c>
      <c r="DD454" t="s">
        <v>3</v>
      </c>
      <c r="DE454" t="s">
        <v>36</v>
      </c>
      <c r="DF454" t="s">
        <v>36</v>
      </c>
      <c r="DG454" t="s">
        <v>37</v>
      </c>
      <c r="DH454" t="s">
        <v>3</v>
      </c>
      <c r="DI454" t="s">
        <v>37</v>
      </c>
      <c r="DJ454" t="s">
        <v>36</v>
      </c>
      <c r="DK454" t="s">
        <v>3</v>
      </c>
      <c r="DL454" t="s">
        <v>3</v>
      </c>
      <c r="DM454" t="s">
        <v>3</v>
      </c>
      <c r="DN454">
        <v>114</v>
      </c>
      <c r="DO454">
        <v>67</v>
      </c>
      <c r="DP454">
        <v>1.0469999999999999</v>
      </c>
      <c r="DQ454">
        <v>1</v>
      </c>
      <c r="DU454">
        <v>1003</v>
      </c>
      <c r="DV454" t="s">
        <v>483</v>
      </c>
      <c r="DW454" t="s">
        <v>483</v>
      </c>
      <c r="DX454">
        <v>100</v>
      </c>
      <c r="EE454">
        <v>44846842</v>
      </c>
      <c r="EF454">
        <v>40</v>
      </c>
      <c r="EG454" t="s">
        <v>453</v>
      </c>
      <c r="EH454">
        <v>0</v>
      </c>
      <c r="EI454" t="s">
        <v>3</v>
      </c>
      <c r="EJ454">
        <v>2</v>
      </c>
      <c r="EK454">
        <v>335</v>
      </c>
      <c r="EL454" t="s">
        <v>521</v>
      </c>
      <c r="EM454" t="s">
        <v>522</v>
      </c>
      <c r="EO454" t="s">
        <v>3</v>
      </c>
      <c r="EQ454">
        <v>131072</v>
      </c>
      <c r="ER454">
        <v>1448.28</v>
      </c>
      <c r="ES454">
        <v>1018.27</v>
      </c>
      <c r="ET454">
        <v>24.51</v>
      </c>
      <c r="EU454">
        <v>3.66</v>
      </c>
      <c r="EV454">
        <v>405.5</v>
      </c>
      <c r="EW454">
        <v>33.79</v>
      </c>
      <c r="EX454">
        <v>0</v>
      </c>
      <c r="EY454">
        <v>0</v>
      </c>
      <c r="FQ454">
        <v>0</v>
      </c>
      <c r="FR454">
        <f t="shared" si="432"/>
        <v>0</v>
      </c>
      <c r="FS454">
        <v>0</v>
      </c>
      <c r="FX454">
        <v>114</v>
      </c>
      <c r="FY454">
        <v>67</v>
      </c>
      <c r="GA454" t="s">
        <v>3</v>
      </c>
      <c r="GD454">
        <v>0</v>
      </c>
      <c r="GF454">
        <v>1715259547</v>
      </c>
      <c r="GG454">
        <v>2</v>
      </c>
      <c r="GH454">
        <v>1</v>
      </c>
      <c r="GI454">
        <v>3</v>
      </c>
      <c r="GJ454">
        <v>0</v>
      </c>
      <c r="GK454">
        <f>ROUND(R454*(S12)/100,2)</f>
        <v>47.04</v>
      </c>
      <c r="GL454">
        <f t="shared" si="433"/>
        <v>0</v>
      </c>
      <c r="GM454">
        <f t="shared" si="434"/>
        <v>7936.54</v>
      </c>
      <c r="GN454">
        <f t="shared" si="435"/>
        <v>0</v>
      </c>
      <c r="GO454">
        <f t="shared" si="436"/>
        <v>7936.54</v>
      </c>
      <c r="GP454">
        <f t="shared" si="437"/>
        <v>0</v>
      </c>
      <c r="GR454">
        <v>0</v>
      </c>
      <c r="GS454">
        <v>3</v>
      </c>
      <c r="GT454">
        <v>0</v>
      </c>
      <c r="GU454" t="s">
        <v>3</v>
      </c>
      <c r="GV454">
        <f t="shared" si="438"/>
        <v>0</v>
      </c>
      <c r="GW454">
        <v>1</v>
      </c>
      <c r="GX454">
        <f t="shared" si="439"/>
        <v>0</v>
      </c>
      <c r="HA454">
        <v>0</v>
      </c>
      <c r="HB454">
        <v>0</v>
      </c>
      <c r="IK454">
        <v>0</v>
      </c>
    </row>
    <row r="455" spans="1:255" x14ac:dyDescent="0.2">
      <c r="A455" s="2">
        <v>18</v>
      </c>
      <c r="B455" s="2">
        <v>1</v>
      </c>
      <c r="C455" s="2">
        <v>396</v>
      </c>
      <c r="D455" s="2"/>
      <c r="E455" s="2" t="s">
        <v>523</v>
      </c>
      <c r="F455" s="2" t="s">
        <v>524</v>
      </c>
      <c r="G455" s="2" t="s">
        <v>525</v>
      </c>
      <c r="H455" s="2" t="s">
        <v>364</v>
      </c>
      <c r="I455" s="2">
        <f>I453*J455</f>
        <v>30</v>
      </c>
      <c r="J455" s="2">
        <v>100</v>
      </c>
      <c r="K455" s="2"/>
      <c r="L455" s="2"/>
      <c r="M455" s="2"/>
      <c r="N455" s="2"/>
      <c r="O455" s="2">
        <f t="shared" si="406"/>
        <v>54.6</v>
      </c>
      <c r="P455" s="2">
        <f t="shared" si="407"/>
        <v>54.6</v>
      </c>
      <c r="Q455" s="2">
        <f t="shared" si="408"/>
        <v>0</v>
      </c>
      <c r="R455" s="2">
        <f t="shared" si="409"/>
        <v>0</v>
      </c>
      <c r="S455" s="2">
        <f t="shared" si="410"/>
        <v>0</v>
      </c>
      <c r="T455" s="2">
        <f t="shared" si="411"/>
        <v>0</v>
      </c>
      <c r="U455" s="2">
        <f t="shared" si="412"/>
        <v>0</v>
      </c>
      <c r="V455" s="2">
        <f t="shared" si="413"/>
        <v>0</v>
      </c>
      <c r="W455" s="2">
        <f t="shared" si="414"/>
        <v>0</v>
      </c>
      <c r="X455" s="2">
        <f t="shared" si="415"/>
        <v>0</v>
      </c>
      <c r="Y455" s="2">
        <f t="shared" si="416"/>
        <v>0</v>
      </c>
      <c r="Z455" s="2"/>
      <c r="AA455" s="2">
        <v>45037306</v>
      </c>
      <c r="AB455" s="2">
        <f t="shared" si="417"/>
        <v>1.82</v>
      </c>
      <c r="AC455" s="2">
        <f t="shared" si="418"/>
        <v>1.82</v>
      </c>
      <c r="AD455" s="2">
        <f t="shared" ref="AD455:AF458" si="440">ROUND((ET455),6)</f>
        <v>0</v>
      </c>
      <c r="AE455" s="2">
        <f t="shared" si="440"/>
        <v>0</v>
      </c>
      <c r="AF455" s="2">
        <f t="shared" si="440"/>
        <v>0</v>
      </c>
      <c r="AG455" s="2">
        <f t="shared" si="419"/>
        <v>0</v>
      </c>
      <c r="AH455" s="2">
        <f t="shared" ref="AH455:AI458" si="441">(EW455)</f>
        <v>0</v>
      </c>
      <c r="AI455" s="2">
        <f t="shared" si="441"/>
        <v>0</v>
      </c>
      <c r="AJ455" s="2">
        <f t="shared" si="420"/>
        <v>0</v>
      </c>
      <c r="AK455" s="2">
        <v>1.82</v>
      </c>
      <c r="AL455" s="2">
        <v>1.82</v>
      </c>
      <c r="AM455" s="2">
        <v>0</v>
      </c>
      <c r="AN455" s="2">
        <v>0</v>
      </c>
      <c r="AO455" s="2">
        <v>0</v>
      </c>
      <c r="AP455" s="2">
        <v>0</v>
      </c>
      <c r="AQ455" s="2">
        <v>0</v>
      </c>
      <c r="AR455" s="2">
        <v>0</v>
      </c>
      <c r="AS455" s="2">
        <v>0</v>
      </c>
      <c r="AT455" s="2">
        <v>0</v>
      </c>
      <c r="AU455" s="2">
        <v>0</v>
      </c>
      <c r="AV455" s="2">
        <v>1</v>
      </c>
      <c r="AW455" s="2">
        <v>1</v>
      </c>
      <c r="AX455" s="2"/>
      <c r="AY455" s="2"/>
      <c r="AZ455" s="2">
        <v>1</v>
      </c>
      <c r="BA455" s="2">
        <v>1</v>
      </c>
      <c r="BB455" s="2">
        <v>1</v>
      </c>
      <c r="BC455" s="2">
        <v>1</v>
      </c>
      <c r="BD455" s="2" t="s">
        <v>3</v>
      </c>
      <c r="BE455" s="2" t="s">
        <v>3</v>
      </c>
      <c r="BF455" s="2" t="s">
        <v>3</v>
      </c>
      <c r="BG455" s="2" t="s">
        <v>3</v>
      </c>
      <c r="BH455" s="2">
        <v>3</v>
      </c>
      <c r="BI455" s="2">
        <v>2</v>
      </c>
      <c r="BJ455" s="2" t="s">
        <v>526</v>
      </c>
      <c r="BK455" s="2"/>
      <c r="BL455" s="2"/>
      <c r="BM455" s="2">
        <v>335</v>
      </c>
      <c r="BN455" s="2">
        <v>7156650</v>
      </c>
      <c r="BO455" s="2" t="s">
        <v>3</v>
      </c>
      <c r="BP455" s="2">
        <v>0</v>
      </c>
      <c r="BQ455" s="2">
        <v>40</v>
      </c>
      <c r="BR455" s="2">
        <v>0</v>
      </c>
      <c r="BS455" s="2">
        <v>1</v>
      </c>
      <c r="BT455" s="2">
        <v>1</v>
      </c>
      <c r="BU455" s="2">
        <v>1</v>
      </c>
      <c r="BV455" s="2">
        <v>1</v>
      </c>
      <c r="BW455" s="2">
        <v>1</v>
      </c>
      <c r="BX455" s="2">
        <v>1</v>
      </c>
      <c r="BY455" s="2" t="s">
        <v>3</v>
      </c>
      <c r="BZ455" s="2">
        <v>0</v>
      </c>
      <c r="CA455" s="2">
        <v>0</v>
      </c>
      <c r="CB455" s="2"/>
      <c r="CC455" s="2"/>
      <c r="CD455" s="2"/>
      <c r="CE455" s="2"/>
      <c r="CF455" s="2">
        <v>0</v>
      </c>
      <c r="CG455" s="2">
        <v>0</v>
      </c>
      <c r="CH455" s="2"/>
      <c r="CI455" s="2"/>
      <c r="CJ455" s="2"/>
      <c r="CK455" s="2"/>
      <c r="CL455" s="2"/>
      <c r="CM455" s="2">
        <v>0</v>
      </c>
      <c r="CN455" s="2" t="s">
        <v>3</v>
      </c>
      <c r="CO455" s="2">
        <v>0</v>
      </c>
      <c r="CP455" s="2">
        <f t="shared" si="421"/>
        <v>54.6</v>
      </c>
      <c r="CQ455" s="2">
        <f t="shared" si="422"/>
        <v>1.82</v>
      </c>
      <c r="CR455" s="2">
        <f t="shared" si="423"/>
        <v>0</v>
      </c>
      <c r="CS455" s="2">
        <f t="shared" si="424"/>
        <v>0</v>
      </c>
      <c r="CT455" s="2">
        <f t="shared" si="425"/>
        <v>0</v>
      </c>
      <c r="CU455" s="2">
        <f t="shared" si="426"/>
        <v>0</v>
      </c>
      <c r="CV455" s="2">
        <f t="shared" si="427"/>
        <v>0</v>
      </c>
      <c r="CW455" s="2">
        <f t="shared" si="428"/>
        <v>0</v>
      </c>
      <c r="CX455" s="2">
        <f t="shared" si="429"/>
        <v>0</v>
      </c>
      <c r="CY455" s="2">
        <f t="shared" si="430"/>
        <v>0</v>
      </c>
      <c r="CZ455" s="2">
        <f t="shared" si="431"/>
        <v>0</v>
      </c>
      <c r="DA455" s="2"/>
      <c r="DB455" s="2"/>
      <c r="DC455" s="2" t="s">
        <v>3</v>
      </c>
      <c r="DD455" s="2" t="s">
        <v>3</v>
      </c>
      <c r="DE455" s="2" t="s">
        <v>3</v>
      </c>
      <c r="DF455" s="2" t="s">
        <v>3</v>
      </c>
      <c r="DG455" s="2" t="s">
        <v>3</v>
      </c>
      <c r="DH455" s="2" t="s">
        <v>3</v>
      </c>
      <c r="DI455" s="2" t="s">
        <v>3</v>
      </c>
      <c r="DJ455" s="2" t="s">
        <v>3</v>
      </c>
      <c r="DK455" s="2" t="s">
        <v>3</v>
      </c>
      <c r="DL455" s="2" t="s">
        <v>3</v>
      </c>
      <c r="DM455" s="2" t="s">
        <v>3</v>
      </c>
      <c r="DN455" s="2">
        <v>114</v>
      </c>
      <c r="DO455" s="2">
        <v>67</v>
      </c>
      <c r="DP455" s="2">
        <v>1.0469999999999999</v>
      </c>
      <c r="DQ455" s="2">
        <v>1</v>
      </c>
      <c r="DR455" s="2"/>
      <c r="DS455" s="2"/>
      <c r="DT455" s="2"/>
      <c r="DU455" s="2">
        <v>1003</v>
      </c>
      <c r="DV455" s="2" t="s">
        <v>364</v>
      </c>
      <c r="DW455" s="2" t="s">
        <v>364</v>
      </c>
      <c r="DX455" s="2">
        <v>1</v>
      </c>
      <c r="DY455" s="2"/>
      <c r="DZ455" s="2"/>
      <c r="EA455" s="2"/>
      <c r="EB455" s="2"/>
      <c r="EC455" s="2"/>
      <c r="ED455" s="2"/>
      <c r="EE455" s="2">
        <v>44846842</v>
      </c>
      <c r="EF455" s="2">
        <v>40</v>
      </c>
      <c r="EG455" s="2" t="s">
        <v>453</v>
      </c>
      <c r="EH455" s="2">
        <v>0</v>
      </c>
      <c r="EI455" s="2" t="s">
        <v>3</v>
      </c>
      <c r="EJ455" s="2">
        <v>2</v>
      </c>
      <c r="EK455" s="2">
        <v>335</v>
      </c>
      <c r="EL455" s="2" t="s">
        <v>521</v>
      </c>
      <c r="EM455" s="2" t="s">
        <v>522</v>
      </c>
      <c r="EN455" s="2"/>
      <c r="EO455" s="2" t="s">
        <v>3</v>
      </c>
      <c r="EP455" s="2"/>
      <c r="EQ455" s="2">
        <v>0</v>
      </c>
      <c r="ER455" s="2">
        <v>1.82</v>
      </c>
      <c r="ES455" s="2">
        <v>1.82</v>
      </c>
      <c r="ET455" s="2">
        <v>0</v>
      </c>
      <c r="EU455" s="2">
        <v>0</v>
      </c>
      <c r="EV455" s="2">
        <v>0</v>
      </c>
      <c r="EW455" s="2">
        <v>0</v>
      </c>
      <c r="EX455" s="2">
        <v>0</v>
      </c>
      <c r="EY455" s="2"/>
      <c r="EZ455" s="2"/>
      <c r="FA455" s="2"/>
      <c r="FB455" s="2"/>
      <c r="FC455" s="2"/>
      <c r="FD455" s="2"/>
      <c r="FE455" s="2"/>
      <c r="FF455" s="2"/>
      <c r="FG455" s="2"/>
      <c r="FH455" s="2"/>
      <c r="FI455" s="2"/>
      <c r="FJ455" s="2"/>
      <c r="FK455" s="2"/>
      <c r="FL455" s="2"/>
      <c r="FM455" s="2"/>
      <c r="FN455" s="2"/>
      <c r="FO455" s="2"/>
      <c r="FP455" s="2"/>
      <c r="FQ455" s="2">
        <v>0</v>
      </c>
      <c r="FR455" s="2">
        <f t="shared" si="432"/>
        <v>0</v>
      </c>
      <c r="FS455" s="2">
        <v>0</v>
      </c>
      <c r="FT455" s="2"/>
      <c r="FU455" s="2"/>
      <c r="FV455" s="2"/>
      <c r="FW455" s="2"/>
      <c r="FX455" s="2">
        <v>114</v>
      </c>
      <c r="FY455" s="2">
        <v>67</v>
      </c>
      <c r="FZ455" s="2"/>
      <c r="GA455" s="2" t="s">
        <v>3</v>
      </c>
      <c r="GB455" s="2"/>
      <c r="GC455" s="2"/>
      <c r="GD455" s="2">
        <v>0</v>
      </c>
      <c r="GE455" s="2"/>
      <c r="GF455" s="2">
        <v>-1610361876</v>
      </c>
      <c r="GG455" s="2">
        <v>2</v>
      </c>
      <c r="GH455" s="2">
        <v>1</v>
      </c>
      <c r="GI455" s="2">
        <v>3</v>
      </c>
      <c r="GJ455" s="2">
        <v>0</v>
      </c>
      <c r="GK455" s="2">
        <f>ROUND(R455*(R12)/100,2)</f>
        <v>0</v>
      </c>
      <c r="GL455" s="2">
        <f t="shared" si="433"/>
        <v>0</v>
      </c>
      <c r="GM455" s="2">
        <f t="shared" si="434"/>
        <v>54.6</v>
      </c>
      <c r="GN455" s="2">
        <f t="shared" si="435"/>
        <v>0</v>
      </c>
      <c r="GO455" s="2">
        <f t="shared" si="436"/>
        <v>54.6</v>
      </c>
      <c r="GP455" s="2">
        <f t="shared" si="437"/>
        <v>0</v>
      </c>
      <c r="GQ455" s="2"/>
      <c r="GR455" s="2">
        <v>0</v>
      </c>
      <c r="GS455" s="2">
        <v>3</v>
      </c>
      <c r="GT455" s="2">
        <v>0</v>
      </c>
      <c r="GU455" s="2" t="s">
        <v>3</v>
      </c>
      <c r="GV455" s="2">
        <f t="shared" si="438"/>
        <v>0</v>
      </c>
      <c r="GW455" s="2">
        <v>1</v>
      </c>
      <c r="GX455" s="2">
        <f t="shared" si="439"/>
        <v>0</v>
      </c>
      <c r="GY455" s="2"/>
      <c r="GZ455" s="2"/>
      <c r="HA455" s="2">
        <v>0</v>
      </c>
      <c r="HB455" s="2">
        <v>0</v>
      </c>
      <c r="HC455" s="2"/>
      <c r="HD455" s="2"/>
      <c r="HE455" s="2"/>
      <c r="HF455" s="2"/>
      <c r="HG455" s="2"/>
      <c r="HH455" s="2"/>
      <c r="HI455" s="2"/>
      <c r="HJ455" s="2"/>
      <c r="HK455" s="2"/>
      <c r="HL455" s="2"/>
      <c r="HM455" s="2"/>
      <c r="HN455" s="2"/>
      <c r="HO455" s="2"/>
      <c r="HP455" s="2"/>
      <c r="HQ455" s="2"/>
      <c r="HR455" s="2"/>
      <c r="HS455" s="2"/>
      <c r="HT455" s="2"/>
      <c r="HU455" s="2"/>
      <c r="HV455" s="2"/>
      <c r="HW455" s="2"/>
      <c r="HX455" s="2"/>
      <c r="HY455" s="2"/>
      <c r="HZ455" s="2"/>
      <c r="IA455" s="2"/>
      <c r="IB455" s="2"/>
      <c r="IC455" s="2"/>
      <c r="ID455" s="2"/>
      <c r="IE455" s="2"/>
      <c r="IF455" s="2"/>
      <c r="IG455" s="2"/>
      <c r="IH455" s="2"/>
      <c r="II455" s="2"/>
      <c r="IJ455" s="2"/>
      <c r="IK455" s="2">
        <v>0</v>
      </c>
      <c r="IL455" s="2"/>
      <c r="IM455" s="2"/>
      <c r="IN455" s="2"/>
      <c r="IO455" s="2"/>
      <c r="IP455" s="2"/>
      <c r="IQ455" s="2"/>
      <c r="IR455" s="2"/>
      <c r="IS455" s="2"/>
      <c r="IT455" s="2"/>
      <c r="IU455" s="2"/>
    </row>
    <row r="456" spans="1:255" x14ac:dyDescent="0.2">
      <c r="A456">
        <v>18</v>
      </c>
      <c r="B456">
        <v>1</v>
      </c>
      <c r="C456">
        <v>399</v>
      </c>
      <c r="E456" t="s">
        <v>523</v>
      </c>
      <c r="F456" t="s">
        <v>524</v>
      </c>
      <c r="G456" t="s">
        <v>525</v>
      </c>
      <c r="H456" t="s">
        <v>364</v>
      </c>
      <c r="I456">
        <f>I454*J456</f>
        <v>30</v>
      </c>
      <c r="J456">
        <v>100</v>
      </c>
      <c r="O456">
        <f t="shared" si="406"/>
        <v>262.08</v>
      </c>
      <c r="P456">
        <f t="shared" si="407"/>
        <v>262.08</v>
      </c>
      <c r="Q456">
        <f t="shared" si="408"/>
        <v>0</v>
      </c>
      <c r="R456">
        <f t="shared" si="409"/>
        <v>0</v>
      </c>
      <c r="S456">
        <f t="shared" si="410"/>
        <v>0</v>
      </c>
      <c r="T456">
        <f t="shared" si="411"/>
        <v>0</v>
      </c>
      <c r="U456">
        <f t="shared" si="412"/>
        <v>0</v>
      </c>
      <c r="V456">
        <f t="shared" si="413"/>
        <v>0</v>
      </c>
      <c r="W456">
        <f t="shared" si="414"/>
        <v>0</v>
      </c>
      <c r="X456">
        <f t="shared" si="415"/>
        <v>0</v>
      </c>
      <c r="Y456">
        <f t="shared" si="416"/>
        <v>0</v>
      </c>
      <c r="AA456">
        <v>45037307</v>
      </c>
      <c r="AB456">
        <f t="shared" si="417"/>
        <v>1.82</v>
      </c>
      <c r="AC456">
        <f t="shared" si="418"/>
        <v>1.82</v>
      </c>
      <c r="AD456">
        <f t="shared" si="440"/>
        <v>0</v>
      </c>
      <c r="AE456">
        <f t="shared" si="440"/>
        <v>0</v>
      </c>
      <c r="AF456">
        <f t="shared" si="440"/>
        <v>0</v>
      </c>
      <c r="AG456">
        <f t="shared" si="419"/>
        <v>0</v>
      </c>
      <c r="AH456">
        <f t="shared" si="441"/>
        <v>0</v>
      </c>
      <c r="AI456">
        <f t="shared" si="441"/>
        <v>0</v>
      </c>
      <c r="AJ456">
        <f t="shared" si="420"/>
        <v>0</v>
      </c>
      <c r="AK456">
        <v>1.82</v>
      </c>
      <c r="AL456">
        <v>1.82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0</v>
      </c>
      <c r="AU456">
        <v>0</v>
      </c>
      <c r="AV456">
        <v>1</v>
      </c>
      <c r="AW456">
        <v>1</v>
      </c>
      <c r="AZ456">
        <v>1</v>
      </c>
      <c r="BA456">
        <v>1</v>
      </c>
      <c r="BB456">
        <v>1</v>
      </c>
      <c r="BC456">
        <v>4.8</v>
      </c>
      <c r="BD456" t="s">
        <v>3</v>
      </c>
      <c r="BE456" t="s">
        <v>3</v>
      </c>
      <c r="BF456" t="s">
        <v>3</v>
      </c>
      <c r="BG456" t="s">
        <v>3</v>
      </c>
      <c r="BH456">
        <v>3</v>
      </c>
      <c r="BI456">
        <v>2</v>
      </c>
      <c r="BJ456" t="s">
        <v>526</v>
      </c>
      <c r="BM456">
        <v>335</v>
      </c>
      <c r="BN456">
        <v>7156650</v>
      </c>
      <c r="BO456" t="s">
        <v>524</v>
      </c>
      <c r="BP456">
        <v>1</v>
      </c>
      <c r="BQ456">
        <v>40</v>
      </c>
      <c r="BR456">
        <v>0</v>
      </c>
      <c r="BS456">
        <v>1</v>
      </c>
      <c r="BT456">
        <v>1</v>
      </c>
      <c r="BU456">
        <v>1</v>
      </c>
      <c r="BV456">
        <v>1</v>
      </c>
      <c r="BW456">
        <v>1</v>
      </c>
      <c r="BX456">
        <v>1</v>
      </c>
      <c r="BY456" t="s">
        <v>3</v>
      </c>
      <c r="BZ456">
        <v>0</v>
      </c>
      <c r="CA456">
        <v>0</v>
      </c>
      <c r="CF456">
        <v>0</v>
      </c>
      <c r="CG456">
        <v>0</v>
      </c>
      <c r="CM456">
        <v>0</v>
      </c>
      <c r="CN456" t="s">
        <v>3</v>
      </c>
      <c r="CO456">
        <v>0</v>
      </c>
      <c r="CP456">
        <f t="shared" si="421"/>
        <v>262.08</v>
      </c>
      <c r="CQ456">
        <f t="shared" si="422"/>
        <v>8.7360000000000007</v>
      </c>
      <c r="CR456">
        <f t="shared" si="423"/>
        <v>0</v>
      </c>
      <c r="CS456">
        <f t="shared" si="424"/>
        <v>0</v>
      </c>
      <c r="CT456">
        <f t="shared" si="425"/>
        <v>0</v>
      </c>
      <c r="CU456">
        <f t="shared" si="426"/>
        <v>0</v>
      </c>
      <c r="CV456">
        <f t="shared" si="427"/>
        <v>0</v>
      </c>
      <c r="CW456">
        <f t="shared" si="428"/>
        <v>0</v>
      </c>
      <c r="CX456">
        <f t="shared" si="429"/>
        <v>0</v>
      </c>
      <c r="CY456">
        <f t="shared" si="430"/>
        <v>0</v>
      </c>
      <c r="CZ456">
        <f t="shared" si="431"/>
        <v>0</v>
      </c>
      <c r="DC456" t="s">
        <v>3</v>
      </c>
      <c r="DD456" t="s">
        <v>3</v>
      </c>
      <c r="DE456" t="s">
        <v>3</v>
      </c>
      <c r="DF456" t="s">
        <v>3</v>
      </c>
      <c r="DG456" t="s">
        <v>3</v>
      </c>
      <c r="DH456" t="s">
        <v>3</v>
      </c>
      <c r="DI456" t="s">
        <v>3</v>
      </c>
      <c r="DJ456" t="s">
        <v>3</v>
      </c>
      <c r="DK456" t="s">
        <v>3</v>
      </c>
      <c r="DL456" t="s">
        <v>3</v>
      </c>
      <c r="DM456" t="s">
        <v>3</v>
      </c>
      <c r="DN456">
        <v>114</v>
      </c>
      <c r="DO456">
        <v>67</v>
      </c>
      <c r="DP456">
        <v>1.0469999999999999</v>
      </c>
      <c r="DQ456">
        <v>1</v>
      </c>
      <c r="DU456">
        <v>1003</v>
      </c>
      <c r="DV456" t="s">
        <v>364</v>
      </c>
      <c r="DW456" t="s">
        <v>364</v>
      </c>
      <c r="DX456">
        <v>1</v>
      </c>
      <c r="EE456">
        <v>44846842</v>
      </c>
      <c r="EF456">
        <v>40</v>
      </c>
      <c r="EG456" t="s">
        <v>453</v>
      </c>
      <c r="EH456">
        <v>0</v>
      </c>
      <c r="EI456" t="s">
        <v>3</v>
      </c>
      <c r="EJ456">
        <v>2</v>
      </c>
      <c r="EK456">
        <v>335</v>
      </c>
      <c r="EL456" t="s">
        <v>521</v>
      </c>
      <c r="EM456" t="s">
        <v>522</v>
      </c>
      <c r="EO456" t="s">
        <v>3</v>
      </c>
      <c r="EQ456">
        <v>0</v>
      </c>
      <c r="ER456">
        <v>1.82</v>
      </c>
      <c r="ES456">
        <v>1.82</v>
      </c>
      <c r="ET456">
        <v>0</v>
      </c>
      <c r="EU456">
        <v>0</v>
      </c>
      <c r="EV456">
        <v>0</v>
      </c>
      <c r="EW456">
        <v>0</v>
      </c>
      <c r="EX456">
        <v>0</v>
      </c>
      <c r="FQ456">
        <v>0</v>
      </c>
      <c r="FR456">
        <f t="shared" si="432"/>
        <v>0</v>
      </c>
      <c r="FS456">
        <v>0</v>
      </c>
      <c r="FX456">
        <v>114</v>
      </c>
      <c r="FY456">
        <v>67</v>
      </c>
      <c r="GA456" t="s">
        <v>3</v>
      </c>
      <c r="GD456">
        <v>0</v>
      </c>
      <c r="GF456">
        <v>-1610361876</v>
      </c>
      <c r="GG456">
        <v>2</v>
      </c>
      <c r="GH456">
        <v>1</v>
      </c>
      <c r="GI456">
        <v>3</v>
      </c>
      <c r="GJ456">
        <v>0</v>
      </c>
      <c r="GK456">
        <f>ROUND(R456*(S12)/100,2)</f>
        <v>0</v>
      </c>
      <c r="GL456">
        <f t="shared" si="433"/>
        <v>0</v>
      </c>
      <c r="GM456">
        <f t="shared" si="434"/>
        <v>262.08</v>
      </c>
      <c r="GN456">
        <f t="shared" si="435"/>
        <v>0</v>
      </c>
      <c r="GO456">
        <f t="shared" si="436"/>
        <v>262.08</v>
      </c>
      <c r="GP456">
        <f t="shared" si="437"/>
        <v>0</v>
      </c>
      <c r="GR456">
        <v>0</v>
      </c>
      <c r="GS456">
        <v>3</v>
      </c>
      <c r="GT456">
        <v>0</v>
      </c>
      <c r="GU456" t="s">
        <v>3</v>
      </c>
      <c r="GV456">
        <f t="shared" si="438"/>
        <v>0</v>
      </c>
      <c r="GW456">
        <v>1</v>
      </c>
      <c r="GX456">
        <f t="shared" si="439"/>
        <v>0</v>
      </c>
      <c r="HA456">
        <v>0</v>
      </c>
      <c r="HB456">
        <v>0</v>
      </c>
      <c r="IK456">
        <v>0</v>
      </c>
    </row>
    <row r="457" spans="1:255" x14ac:dyDescent="0.2">
      <c r="A457" s="2">
        <v>18</v>
      </c>
      <c r="B457" s="2">
        <v>1</v>
      </c>
      <c r="C457" s="2">
        <v>397</v>
      </c>
      <c r="D457" s="2"/>
      <c r="E457" s="2" t="s">
        <v>527</v>
      </c>
      <c r="F457" s="2" t="s">
        <v>528</v>
      </c>
      <c r="G457" s="2" t="s">
        <v>529</v>
      </c>
      <c r="H457" s="2" t="s">
        <v>304</v>
      </c>
      <c r="I457" s="2">
        <f>I453*J457</f>
        <v>2</v>
      </c>
      <c r="J457" s="2">
        <v>6.666666666666667</v>
      </c>
      <c r="K457" s="2"/>
      <c r="L457" s="2"/>
      <c r="M457" s="2"/>
      <c r="N457" s="2"/>
      <c r="O457" s="2">
        <f t="shared" si="406"/>
        <v>56.4</v>
      </c>
      <c r="P457" s="2">
        <f t="shared" si="407"/>
        <v>56.4</v>
      </c>
      <c r="Q457" s="2">
        <f t="shared" si="408"/>
        <v>0</v>
      </c>
      <c r="R457" s="2">
        <f t="shared" si="409"/>
        <v>0</v>
      </c>
      <c r="S457" s="2">
        <f t="shared" si="410"/>
        <v>0</v>
      </c>
      <c r="T457" s="2">
        <f t="shared" si="411"/>
        <v>0</v>
      </c>
      <c r="U457" s="2">
        <f t="shared" si="412"/>
        <v>0</v>
      </c>
      <c r="V457" s="2">
        <f t="shared" si="413"/>
        <v>0</v>
      </c>
      <c r="W457" s="2">
        <f t="shared" si="414"/>
        <v>0</v>
      </c>
      <c r="X457" s="2">
        <f t="shared" si="415"/>
        <v>0</v>
      </c>
      <c r="Y457" s="2">
        <f t="shared" si="416"/>
        <v>0</v>
      </c>
      <c r="Z457" s="2"/>
      <c r="AA457" s="2">
        <v>45037306</v>
      </c>
      <c r="AB457" s="2">
        <f t="shared" si="417"/>
        <v>28.2</v>
      </c>
      <c r="AC457" s="2">
        <f t="shared" si="418"/>
        <v>28.2</v>
      </c>
      <c r="AD457" s="2">
        <f t="shared" si="440"/>
        <v>0</v>
      </c>
      <c r="AE457" s="2">
        <f t="shared" si="440"/>
        <v>0</v>
      </c>
      <c r="AF457" s="2">
        <f t="shared" si="440"/>
        <v>0</v>
      </c>
      <c r="AG457" s="2">
        <f t="shared" si="419"/>
        <v>0</v>
      </c>
      <c r="AH457" s="2">
        <f t="shared" si="441"/>
        <v>0</v>
      </c>
      <c r="AI457" s="2">
        <f t="shared" si="441"/>
        <v>0</v>
      </c>
      <c r="AJ457" s="2">
        <f t="shared" si="420"/>
        <v>0</v>
      </c>
      <c r="AK457" s="2">
        <v>28.2</v>
      </c>
      <c r="AL457" s="2">
        <v>28.2</v>
      </c>
      <c r="AM457" s="2">
        <v>0</v>
      </c>
      <c r="AN457" s="2">
        <v>0</v>
      </c>
      <c r="AO457" s="2">
        <v>0</v>
      </c>
      <c r="AP457" s="2">
        <v>0</v>
      </c>
      <c r="AQ457" s="2">
        <v>0</v>
      </c>
      <c r="AR457" s="2">
        <v>0</v>
      </c>
      <c r="AS457" s="2">
        <v>0</v>
      </c>
      <c r="AT457" s="2">
        <v>0</v>
      </c>
      <c r="AU457" s="2">
        <v>0</v>
      </c>
      <c r="AV457" s="2">
        <v>1</v>
      </c>
      <c r="AW457" s="2">
        <v>1</v>
      </c>
      <c r="AX457" s="2"/>
      <c r="AY457" s="2"/>
      <c r="AZ457" s="2">
        <v>1</v>
      </c>
      <c r="BA457" s="2">
        <v>1</v>
      </c>
      <c r="BB457" s="2">
        <v>1</v>
      </c>
      <c r="BC457" s="2">
        <v>1</v>
      </c>
      <c r="BD457" s="2" t="s">
        <v>3</v>
      </c>
      <c r="BE457" s="2" t="s">
        <v>3</v>
      </c>
      <c r="BF457" s="2" t="s">
        <v>3</v>
      </c>
      <c r="BG457" s="2" t="s">
        <v>3</v>
      </c>
      <c r="BH457" s="2">
        <v>3</v>
      </c>
      <c r="BI457" s="2">
        <v>2</v>
      </c>
      <c r="BJ457" s="2" t="s">
        <v>530</v>
      </c>
      <c r="BK457" s="2"/>
      <c r="BL457" s="2"/>
      <c r="BM457" s="2">
        <v>335</v>
      </c>
      <c r="BN457" s="2">
        <v>7156650</v>
      </c>
      <c r="BO457" s="2" t="s">
        <v>3</v>
      </c>
      <c r="BP457" s="2">
        <v>0</v>
      </c>
      <c r="BQ457" s="2">
        <v>40</v>
      </c>
      <c r="BR457" s="2">
        <v>0</v>
      </c>
      <c r="BS457" s="2">
        <v>1</v>
      </c>
      <c r="BT457" s="2">
        <v>1</v>
      </c>
      <c r="BU457" s="2">
        <v>1</v>
      </c>
      <c r="BV457" s="2">
        <v>1</v>
      </c>
      <c r="BW457" s="2">
        <v>1</v>
      </c>
      <c r="BX457" s="2">
        <v>1</v>
      </c>
      <c r="BY457" s="2" t="s">
        <v>3</v>
      </c>
      <c r="BZ457" s="2">
        <v>0</v>
      </c>
      <c r="CA457" s="2">
        <v>0</v>
      </c>
      <c r="CB457" s="2"/>
      <c r="CC457" s="2"/>
      <c r="CD457" s="2"/>
      <c r="CE457" s="2"/>
      <c r="CF457" s="2">
        <v>0</v>
      </c>
      <c r="CG457" s="2">
        <v>0</v>
      </c>
      <c r="CH457" s="2"/>
      <c r="CI457" s="2"/>
      <c r="CJ457" s="2"/>
      <c r="CK457" s="2"/>
      <c r="CL457" s="2"/>
      <c r="CM457" s="2">
        <v>0</v>
      </c>
      <c r="CN457" s="2" t="s">
        <v>3</v>
      </c>
      <c r="CO457" s="2">
        <v>0</v>
      </c>
      <c r="CP457" s="2">
        <f t="shared" si="421"/>
        <v>56.4</v>
      </c>
      <c r="CQ457" s="2">
        <f t="shared" si="422"/>
        <v>28.2</v>
      </c>
      <c r="CR457" s="2">
        <f t="shared" si="423"/>
        <v>0</v>
      </c>
      <c r="CS457" s="2">
        <f t="shared" si="424"/>
        <v>0</v>
      </c>
      <c r="CT457" s="2">
        <f t="shared" si="425"/>
        <v>0</v>
      </c>
      <c r="CU457" s="2">
        <f t="shared" si="426"/>
        <v>0</v>
      </c>
      <c r="CV457" s="2">
        <f t="shared" si="427"/>
        <v>0</v>
      </c>
      <c r="CW457" s="2">
        <f t="shared" si="428"/>
        <v>0</v>
      </c>
      <c r="CX457" s="2">
        <f t="shared" si="429"/>
        <v>0</v>
      </c>
      <c r="CY457" s="2">
        <f t="shared" si="430"/>
        <v>0</v>
      </c>
      <c r="CZ457" s="2">
        <f t="shared" si="431"/>
        <v>0</v>
      </c>
      <c r="DA457" s="2"/>
      <c r="DB457" s="2"/>
      <c r="DC457" s="2" t="s">
        <v>3</v>
      </c>
      <c r="DD457" s="2" t="s">
        <v>3</v>
      </c>
      <c r="DE457" s="2" t="s">
        <v>3</v>
      </c>
      <c r="DF457" s="2" t="s">
        <v>3</v>
      </c>
      <c r="DG457" s="2" t="s">
        <v>3</v>
      </c>
      <c r="DH457" s="2" t="s">
        <v>3</v>
      </c>
      <c r="DI457" s="2" t="s">
        <v>3</v>
      </c>
      <c r="DJ457" s="2" t="s">
        <v>3</v>
      </c>
      <c r="DK457" s="2" t="s">
        <v>3</v>
      </c>
      <c r="DL457" s="2" t="s">
        <v>3</v>
      </c>
      <c r="DM457" s="2" t="s">
        <v>3</v>
      </c>
      <c r="DN457" s="2">
        <v>114</v>
      </c>
      <c r="DO457" s="2">
        <v>67</v>
      </c>
      <c r="DP457" s="2">
        <v>1.0469999999999999</v>
      </c>
      <c r="DQ457" s="2">
        <v>1</v>
      </c>
      <c r="DR457" s="2"/>
      <c r="DS457" s="2"/>
      <c r="DT457" s="2"/>
      <c r="DU457" s="2">
        <v>1010</v>
      </c>
      <c r="DV457" s="2" t="s">
        <v>304</v>
      </c>
      <c r="DW457" s="2" t="s">
        <v>304</v>
      </c>
      <c r="DX457" s="2">
        <v>1</v>
      </c>
      <c r="DY457" s="2"/>
      <c r="DZ457" s="2"/>
      <c r="EA457" s="2"/>
      <c r="EB457" s="2"/>
      <c r="EC457" s="2"/>
      <c r="ED457" s="2"/>
      <c r="EE457" s="2">
        <v>44846842</v>
      </c>
      <c r="EF457" s="2">
        <v>40</v>
      </c>
      <c r="EG457" s="2" t="s">
        <v>453</v>
      </c>
      <c r="EH457" s="2">
        <v>0</v>
      </c>
      <c r="EI457" s="2" t="s">
        <v>3</v>
      </c>
      <c r="EJ457" s="2">
        <v>2</v>
      </c>
      <c r="EK457" s="2">
        <v>335</v>
      </c>
      <c r="EL457" s="2" t="s">
        <v>521</v>
      </c>
      <c r="EM457" s="2" t="s">
        <v>522</v>
      </c>
      <c r="EN457" s="2"/>
      <c r="EO457" s="2" t="s">
        <v>3</v>
      </c>
      <c r="EP457" s="2"/>
      <c r="EQ457" s="2">
        <v>0</v>
      </c>
      <c r="ER457" s="2">
        <v>28.2</v>
      </c>
      <c r="ES457" s="2">
        <v>28.2</v>
      </c>
      <c r="ET457" s="2">
        <v>0</v>
      </c>
      <c r="EU457" s="2">
        <v>0</v>
      </c>
      <c r="EV457" s="2">
        <v>0</v>
      </c>
      <c r="EW457" s="2">
        <v>0</v>
      </c>
      <c r="EX457" s="2">
        <v>0</v>
      </c>
      <c r="EY457" s="2"/>
      <c r="EZ457" s="2"/>
      <c r="FA457" s="2"/>
      <c r="FB457" s="2"/>
      <c r="FC457" s="2"/>
      <c r="FD457" s="2"/>
      <c r="FE457" s="2"/>
      <c r="FF457" s="2"/>
      <c r="FG457" s="2"/>
      <c r="FH457" s="2"/>
      <c r="FI457" s="2"/>
      <c r="FJ457" s="2"/>
      <c r="FK457" s="2"/>
      <c r="FL457" s="2"/>
      <c r="FM457" s="2"/>
      <c r="FN457" s="2"/>
      <c r="FO457" s="2"/>
      <c r="FP457" s="2"/>
      <c r="FQ457" s="2">
        <v>0</v>
      </c>
      <c r="FR457" s="2">
        <f t="shared" si="432"/>
        <v>0</v>
      </c>
      <c r="FS457" s="2">
        <v>0</v>
      </c>
      <c r="FT457" s="2"/>
      <c r="FU457" s="2"/>
      <c r="FV457" s="2"/>
      <c r="FW457" s="2"/>
      <c r="FX457" s="2">
        <v>114</v>
      </c>
      <c r="FY457" s="2">
        <v>67</v>
      </c>
      <c r="FZ457" s="2"/>
      <c r="GA457" s="2" t="s">
        <v>3</v>
      </c>
      <c r="GB457" s="2"/>
      <c r="GC457" s="2"/>
      <c r="GD457" s="2">
        <v>0</v>
      </c>
      <c r="GE457" s="2"/>
      <c r="GF457" s="2">
        <v>-1904154504</v>
      </c>
      <c r="GG457" s="2">
        <v>2</v>
      </c>
      <c r="GH457" s="2">
        <v>1</v>
      </c>
      <c r="GI457" s="2">
        <v>3</v>
      </c>
      <c r="GJ457" s="2">
        <v>0</v>
      </c>
      <c r="GK457" s="2">
        <f>ROUND(R457*(R12)/100,2)</f>
        <v>0</v>
      </c>
      <c r="GL457" s="2">
        <f t="shared" si="433"/>
        <v>0</v>
      </c>
      <c r="GM457" s="2">
        <f t="shared" si="434"/>
        <v>56.4</v>
      </c>
      <c r="GN457" s="2">
        <f t="shared" si="435"/>
        <v>0</v>
      </c>
      <c r="GO457" s="2">
        <f t="shared" si="436"/>
        <v>56.4</v>
      </c>
      <c r="GP457" s="2">
        <f t="shared" si="437"/>
        <v>0</v>
      </c>
      <c r="GQ457" s="2"/>
      <c r="GR457" s="2">
        <v>0</v>
      </c>
      <c r="GS457" s="2">
        <v>3</v>
      </c>
      <c r="GT457" s="2">
        <v>0</v>
      </c>
      <c r="GU457" s="2" t="s">
        <v>3</v>
      </c>
      <c r="GV457" s="2">
        <f t="shared" si="438"/>
        <v>0</v>
      </c>
      <c r="GW457" s="2">
        <v>1</v>
      </c>
      <c r="GX457" s="2">
        <f t="shared" si="439"/>
        <v>0</v>
      </c>
      <c r="GY457" s="2"/>
      <c r="GZ457" s="2"/>
      <c r="HA457" s="2">
        <v>0</v>
      </c>
      <c r="HB457" s="2">
        <v>0</v>
      </c>
      <c r="HC457" s="2"/>
      <c r="HD457" s="2"/>
      <c r="HE457" s="2"/>
      <c r="HF457" s="2"/>
      <c r="HG457" s="2"/>
      <c r="HH457" s="2"/>
      <c r="HI457" s="2"/>
      <c r="HJ457" s="2"/>
      <c r="HK457" s="2"/>
      <c r="HL457" s="2"/>
      <c r="HM457" s="2"/>
      <c r="HN457" s="2"/>
      <c r="HO457" s="2"/>
      <c r="HP457" s="2"/>
      <c r="HQ457" s="2"/>
      <c r="HR457" s="2"/>
      <c r="HS457" s="2"/>
      <c r="HT457" s="2"/>
      <c r="HU457" s="2"/>
      <c r="HV457" s="2"/>
      <c r="HW457" s="2"/>
      <c r="HX457" s="2"/>
      <c r="HY457" s="2"/>
      <c r="HZ457" s="2"/>
      <c r="IA457" s="2"/>
      <c r="IB457" s="2"/>
      <c r="IC457" s="2"/>
      <c r="ID457" s="2"/>
      <c r="IE457" s="2"/>
      <c r="IF457" s="2"/>
      <c r="IG457" s="2"/>
      <c r="IH457" s="2"/>
      <c r="II457" s="2"/>
      <c r="IJ457" s="2"/>
      <c r="IK457" s="2">
        <v>0</v>
      </c>
      <c r="IL457" s="2"/>
      <c r="IM457" s="2"/>
      <c r="IN457" s="2"/>
      <c r="IO457" s="2"/>
      <c r="IP457" s="2"/>
      <c r="IQ457" s="2"/>
      <c r="IR457" s="2"/>
      <c r="IS457" s="2"/>
      <c r="IT457" s="2"/>
      <c r="IU457" s="2"/>
    </row>
    <row r="458" spans="1:255" x14ac:dyDescent="0.2">
      <c r="A458">
        <v>18</v>
      </c>
      <c r="B458">
        <v>1</v>
      </c>
      <c r="C458">
        <v>400</v>
      </c>
      <c r="E458" t="s">
        <v>527</v>
      </c>
      <c r="F458" t="s">
        <v>528</v>
      </c>
      <c r="G458" t="s">
        <v>529</v>
      </c>
      <c r="H458" t="s">
        <v>304</v>
      </c>
      <c r="I458">
        <f>I454*J458</f>
        <v>2</v>
      </c>
      <c r="J458">
        <v>6.666666666666667</v>
      </c>
      <c r="O458">
        <f t="shared" si="406"/>
        <v>188.38</v>
      </c>
      <c r="P458">
        <f t="shared" si="407"/>
        <v>188.38</v>
      </c>
      <c r="Q458">
        <f t="shared" si="408"/>
        <v>0</v>
      </c>
      <c r="R458">
        <f t="shared" si="409"/>
        <v>0</v>
      </c>
      <c r="S458">
        <f t="shared" si="410"/>
        <v>0</v>
      </c>
      <c r="T458">
        <f t="shared" si="411"/>
        <v>0</v>
      </c>
      <c r="U458">
        <f t="shared" si="412"/>
        <v>0</v>
      </c>
      <c r="V458">
        <f t="shared" si="413"/>
        <v>0</v>
      </c>
      <c r="W458">
        <f t="shared" si="414"/>
        <v>0</v>
      </c>
      <c r="X458">
        <f t="shared" si="415"/>
        <v>0</v>
      </c>
      <c r="Y458">
        <f t="shared" si="416"/>
        <v>0</v>
      </c>
      <c r="AA458">
        <v>45037307</v>
      </c>
      <c r="AB458">
        <f t="shared" si="417"/>
        <v>28.2</v>
      </c>
      <c r="AC458">
        <f t="shared" si="418"/>
        <v>28.2</v>
      </c>
      <c r="AD458">
        <f t="shared" si="440"/>
        <v>0</v>
      </c>
      <c r="AE458">
        <f t="shared" si="440"/>
        <v>0</v>
      </c>
      <c r="AF458">
        <f t="shared" si="440"/>
        <v>0</v>
      </c>
      <c r="AG458">
        <f t="shared" si="419"/>
        <v>0</v>
      </c>
      <c r="AH458">
        <f t="shared" si="441"/>
        <v>0</v>
      </c>
      <c r="AI458">
        <f t="shared" si="441"/>
        <v>0</v>
      </c>
      <c r="AJ458">
        <f t="shared" si="420"/>
        <v>0</v>
      </c>
      <c r="AK458">
        <v>28.2</v>
      </c>
      <c r="AL458">
        <v>28.2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0</v>
      </c>
      <c r="AU458">
        <v>0</v>
      </c>
      <c r="AV458">
        <v>1</v>
      </c>
      <c r="AW458">
        <v>1</v>
      </c>
      <c r="AZ458">
        <v>1</v>
      </c>
      <c r="BA458">
        <v>1</v>
      </c>
      <c r="BB458">
        <v>1</v>
      </c>
      <c r="BC458">
        <v>3.34</v>
      </c>
      <c r="BD458" t="s">
        <v>3</v>
      </c>
      <c r="BE458" t="s">
        <v>3</v>
      </c>
      <c r="BF458" t="s">
        <v>3</v>
      </c>
      <c r="BG458" t="s">
        <v>3</v>
      </c>
      <c r="BH458">
        <v>3</v>
      </c>
      <c r="BI458">
        <v>2</v>
      </c>
      <c r="BJ458" t="s">
        <v>530</v>
      </c>
      <c r="BM458">
        <v>335</v>
      </c>
      <c r="BN458">
        <v>7156650</v>
      </c>
      <c r="BO458" t="s">
        <v>528</v>
      </c>
      <c r="BP458">
        <v>1</v>
      </c>
      <c r="BQ458">
        <v>40</v>
      </c>
      <c r="BR458">
        <v>0</v>
      </c>
      <c r="BS458">
        <v>1</v>
      </c>
      <c r="BT458">
        <v>1</v>
      </c>
      <c r="BU458">
        <v>1</v>
      </c>
      <c r="BV458">
        <v>1</v>
      </c>
      <c r="BW458">
        <v>1</v>
      </c>
      <c r="BX458">
        <v>1</v>
      </c>
      <c r="BY458" t="s">
        <v>3</v>
      </c>
      <c r="BZ458">
        <v>0</v>
      </c>
      <c r="CA458">
        <v>0</v>
      </c>
      <c r="CF458">
        <v>0</v>
      </c>
      <c r="CG458">
        <v>0</v>
      </c>
      <c r="CM458">
        <v>0</v>
      </c>
      <c r="CN458" t="s">
        <v>3</v>
      </c>
      <c r="CO458">
        <v>0</v>
      </c>
      <c r="CP458">
        <f t="shared" si="421"/>
        <v>188.38</v>
      </c>
      <c r="CQ458">
        <f t="shared" si="422"/>
        <v>94.187999999999988</v>
      </c>
      <c r="CR458">
        <f t="shared" si="423"/>
        <v>0</v>
      </c>
      <c r="CS458">
        <f t="shared" si="424"/>
        <v>0</v>
      </c>
      <c r="CT458">
        <f t="shared" si="425"/>
        <v>0</v>
      </c>
      <c r="CU458">
        <f t="shared" si="426"/>
        <v>0</v>
      </c>
      <c r="CV458">
        <f t="shared" si="427"/>
        <v>0</v>
      </c>
      <c r="CW458">
        <f t="shared" si="428"/>
        <v>0</v>
      </c>
      <c r="CX458">
        <f t="shared" si="429"/>
        <v>0</v>
      </c>
      <c r="CY458">
        <f t="shared" si="430"/>
        <v>0</v>
      </c>
      <c r="CZ458">
        <f t="shared" si="431"/>
        <v>0</v>
      </c>
      <c r="DC458" t="s">
        <v>3</v>
      </c>
      <c r="DD458" t="s">
        <v>3</v>
      </c>
      <c r="DE458" t="s">
        <v>3</v>
      </c>
      <c r="DF458" t="s">
        <v>3</v>
      </c>
      <c r="DG458" t="s">
        <v>3</v>
      </c>
      <c r="DH458" t="s">
        <v>3</v>
      </c>
      <c r="DI458" t="s">
        <v>3</v>
      </c>
      <c r="DJ458" t="s">
        <v>3</v>
      </c>
      <c r="DK458" t="s">
        <v>3</v>
      </c>
      <c r="DL458" t="s">
        <v>3</v>
      </c>
      <c r="DM458" t="s">
        <v>3</v>
      </c>
      <c r="DN458">
        <v>114</v>
      </c>
      <c r="DO458">
        <v>67</v>
      </c>
      <c r="DP458">
        <v>1.0469999999999999</v>
      </c>
      <c r="DQ458">
        <v>1</v>
      </c>
      <c r="DU458">
        <v>1010</v>
      </c>
      <c r="DV458" t="s">
        <v>304</v>
      </c>
      <c r="DW458" t="s">
        <v>304</v>
      </c>
      <c r="DX458">
        <v>1</v>
      </c>
      <c r="EE458">
        <v>44846842</v>
      </c>
      <c r="EF458">
        <v>40</v>
      </c>
      <c r="EG458" t="s">
        <v>453</v>
      </c>
      <c r="EH458">
        <v>0</v>
      </c>
      <c r="EI458" t="s">
        <v>3</v>
      </c>
      <c r="EJ458">
        <v>2</v>
      </c>
      <c r="EK458">
        <v>335</v>
      </c>
      <c r="EL458" t="s">
        <v>521</v>
      </c>
      <c r="EM458" t="s">
        <v>522</v>
      </c>
      <c r="EO458" t="s">
        <v>3</v>
      </c>
      <c r="EQ458">
        <v>0</v>
      </c>
      <c r="ER458">
        <v>28.2</v>
      </c>
      <c r="ES458">
        <v>28.2</v>
      </c>
      <c r="ET458">
        <v>0</v>
      </c>
      <c r="EU458">
        <v>0</v>
      </c>
      <c r="EV458">
        <v>0</v>
      </c>
      <c r="EW458">
        <v>0</v>
      </c>
      <c r="EX458">
        <v>0</v>
      </c>
      <c r="FQ458">
        <v>0</v>
      </c>
      <c r="FR458">
        <f t="shared" si="432"/>
        <v>0</v>
      </c>
      <c r="FS458">
        <v>0</v>
      </c>
      <c r="FX458">
        <v>114</v>
      </c>
      <c r="FY458">
        <v>67</v>
      </c>
      <c r="GA458" t="s">
        <v>3</v>
      </c>
      <c r="GD458">
        <v>0</v>
      </c>
      <c r="GF458">
        <v>-1904154504</v>
      </c>
      <c r="GG458">
        <v>2</v>
      </c>
      <c r="GH458">
        <v>1</v>
      </c>
      <c r="GI458">
        <v>3</v>
      </c>
      <c r="GJ458">
        <v>0</v>
      </c>
      <c r="GK458">
        <f>ROUND(R458*(S12)/100,2)</f>
        <v>0</v>
      </c>
      <c r="GL458">
        <f t="shared" si="433"/>
        <v>0</v>
      </c>
      <c r="GM458">
        <f t="shared" si="434"/>
        <v>188.38</v>
      </c>
      <c r="GN458">
        <f t="shared" si="435"/>
        <v>0</v>
      </c>
      <c r="GO458">
        <f t="shared" si="436"/>
        <v>188.38</v>
      </c>
      <c r="GP458">
        <f t="shared" si="437"/>
        <v>0</v>
      </c>
      <c r="GR458">
        <v>0</v>
      </c>
      <c r="GS458">
        <v>3</v>
      </c>
      <c r="GT458">
        <v>0</v>
      </c>
      <c r="GU458" t="s">
        <v>3</v>
      </c>
      <c r="GV458">
        <f t="shared" si="438"/>
        <v>0</v>
      </c>
      <c r="GW458">
        <v>1</v>
      </c>
      <c r="GX458">
        <f t="shared" si="439"/>
        <v>0</v>
      </c>
      <c r="HA458">
        <v>0</v>
      </c>
      <c r="HB458">
        <v>0</v>
      </c>
      <c r="IK458">
        <v>0</v>
      </c>
    </row>
    <row r="459" spans="1:255" x14ac:dyDescent="0.2">
      <c r="A459" s="2">
        <v>17</v>
      </c>
      <c r="B459" s="2">
        <v>1</v>
      </c>
      <c r="C459" s="2">
        <f>ROW(SmtRes!A403)</f>
        <v>403</v>
      </c>
      <c r="D459" s="2">
        <f>ROW(EtalonRes!A391)</f>
        <v>391</v>
      </c>
      <c r="E459" s="2" t="s">
        <v>531</v>
      </c>
      <c r="F459" s="2" t="s">
        <v>532</v>
      </c>
      <c r="G459" s="2" t="s">
        <v>533</v>
      </c>
      <c r="H459" s="2" t="s">
        <v>483</v>
      </c>
      <c r="I459" s="2">
        <f>ROUND(90/100,9)</f>
        <v>0.9</v>
      </c>
      <c r="J459" s="2">
        <v>0</v>
      </c>
      <c r="K459" s="2"/>
      <c r="L459" s="2"/>
      <c r="M459" s="2"/>
      <c r="N459" s="2"/>
      <c r="O459" s="2">
        <f t="shared" si="406"/>
        <v>43.73</v>
      </c>
      <c r="P459" s="2">
        <f t="shared" si="407"/>
        <v>3.34</v>
      </c>
      <c r="Q459" s="2">
        <f t="shared" si="408"/>
        <v>0.96</v>
      </c>
      <c r="R459" s="2">
        <f t="shared" si="409"/>
        <v>0.23</v>
      </c>
      <c r="S459" s="2">
        <f t="shared" si="410"/>
        <v>39.43</v>
      </c>
      <c r="T459" s="2">
        <f t="shared" si="411"/>
        <v>0</v>
      </c>
      <c r="U459" s="2">
        <f t="shared" si="412"/>
        <v>3.1981499999999996</v>
      </c>
      <c r="V459" s="2">
        <f t="shared" si="413"/>
        <v>0</v>
      </c>
      <c r="W459" s="2">
        <f t="shared" si="414"/>
        <v>0</v>
      </c>
      <c r="X459" s="2">
        <f t="shared" si="415"/>
        <v>0</v>
      </c>
      <c r="Y459" s="2">
        <f t="shared" si="416"/>
        <v>0</v>
      </c>
      <c r="Z459" s="2"/>
      <c r="AA459" s="2">
        <v>45037306</v>
      </c>
      <c r="AB459" s="2">
        <f t="shared" si="417"/>
        <v>48.587499999999999</v>
      </c>
      <c r="AC459" s="2">
        <f t="shared" si="418"/>
        <v>3.71</v>
      </c>
      <c r="AD459" s="2">
        <f>ROUND(((ET459*1.25)),6)</f>
        <v>1.0625</v>
      </c>
      <c r="AE459" s="2">
        <f>ROUND(((EU459*1.25)),6)</f>
        <v>0.25</v>
      </c>
      <c r="AF459" s="2">
        <f>ROUND(((EV459*1.15)),6)</f>
        <v>43.814999999999998</v>
      </c>
      <c r="AG459" s="2">
        <f t="shared" si="419"/>
        <v>0</v>
      </c>
      <c r="AH459" s="2">
        <f>((EW459*1.15))</f>
        <v>3.5534999999999997</v>
      </c>
      <c r="AI459" s="2">
        <f>((EX459*1.25))</f>
        <v>0</v>
      </c>
      <c r="AJ459" s="2">
        <f t="shared" si="420"/>
        <v>0</v>
      </c>
      <c r="AK459" s="2">
        <v>42.66</v>
      </c>
      <c r="AL459" s="2">
        <v>3.71</v>
      </c>
      <c r="AM459" s="2">
        <v>0.85</v>
      </c>
      <c r="AN459" s="2">
        <v>0.2</v>
      </c>
      <c r="AO459" s="2">
        <v>38.1</v>
      </c>
      <c r="AP459" s="2">
        <v>0</v>
      </c>
      <c r="AQ459" s="2">
        <v>3.09</v>
      </c>
      <c r="AR459" s="2">
        <v>0</v>
      </c>
      <c r="AS459" s="2">
        <v>0</v>
      </c>
      <c r="AT459" s="2">
        <v>0</v>
      </c>
      <c r="AU459" s="2">
        <v>0</v>
      </c>
      <c r="AV459" s="2">
        <v>1</v>
      </c>
      <c r="AW459" s="2">
        <v>1</v>
      </c>
      <c r="AX459" s="2"/>
      <c r="AY459" s="2"/>
      <c r="AZ459" s="2">
        <v>1</v>
      </c>
      <c r="BA459" s="2">
        <v>1</v>
      </c>
      <c r="BB459" s="2">
        <v>1</v>
      </c>
      <c r="BC459" s="2">
        <v>1</v>
      </c>
      <c r="BD459" s="2" t="s">
        <v>3</v>
      </c>
      <c r="BE459" s="2" t="s">
        <v>3</v>
      </c>
      <c r="BF459" s="2" t="s">
        <v>3</v>
      </c>
      <c r="BG459" s="2" t="s">
        <v>3</v>
      </c>
      <c r="BH459" s="2">
        <v>0</v>
      </c>
      <c r="BI459" s="2">
        <v>2</v>
      </c>
      <c r="BJ459" s="2" t="s">
        <v>534</v>
      </c>
      <c r="BK459" s="2"/>
      <c r="BL459" s="2"/>
      <c r="BM459" s="2">
        <v>331</v>
      </c>
      <c r="BN459" s="2">
        <v>7156650</v>
      </c>
      <c r="BO459" s="2" t="s">
        <v>3</v>
      </c>
      <c r="BP459" s="2">
        <v>0</v>
      </c>
      <c r="BQ459" s="2">
        <v>40</v>
      </c>
      <c r="BR459" s="2">
        <v>0</v>
      </c>
      <c r="BS459" s="2">
        <v>1</v>
      </c>
      <c r="BT459" s="2">
        <v>1</v>
      </c>
      <c r="BU459" s="2">
        <v>1</v>
      </c>
      <c r="BV459" s="2">
        <v>1</v>
      </c>
      <c r="BW459" s="2">
        <v>1</v>
      </c>
      <c r="BX459" s="2">
        <v>1</v>
      </c>
      <c r="BY459" s="2" t="s">
        <v>3</v>
      </c>
      <c r="BZ459" s="2">
        <v>0</v>
      </c>
      <c r="CA459" s="2">
        <v>0</v>
      </c>
      <c r="CB459" s="2"/>
      <c r="CC459" s="2"/>
      <c r="CD459" s="2"/>
      <c r="CE459" s="2"/>
      <c r="CF459" s="2">
        <v>0</v>
      </c>
      <c r="CG459" s="2">
        <v>0</v>
      </c>
      <c r="CH459" s="2"/>
      <c r="CI459" s="2"/>
      <c r="CJ459" s="2"/>
      <c r="CK459" s="2"/>
      <c r="CL459" s="2"/>
      <c r="CM459" s="2">
        <v>0</v>
      </c>
      <c r="CN459" s="2" t="s">
        <v>3</v>
      </c>
      <c r="CO459" s="2">
        <v>0</v>
      </c>
      <c r="CP459" s="2">
        <f t="shared" si="421"/>
        <v>43.73</v>
      </c>
      <c r="CQ459" s="2">
        <f t="shared" si="422"/>
        <v>3.71</v>
      </c>
      <c r="CR459" s="2">
        <f t="shared" si="423"/>
        <v>1.0625</v>
      </c>
      <c r="CS459" s="2">
        <f t="shared" si="424"/>
        <v>0.25</v>
      </c>
      <c r="CT459" s="2">
        <f t="shared" si="425"/>
        <v>43.814999999999998</v>
      </c>
      <c r="CU459" s="2">
        <f t="shared" si="426"/>
        <v>0</v>
      </c>
      <c r="CV459" s="2">
        <f t="shared" si="427"/>
        <v>3.5534999999999997</v>
      </c>
      <c r="CW459" s="2">
        <f t="shared" si="428"/>
        <v>0</v>
      </c>
      <c r="CX459" s="2">
        <f t="shared" si="429"/>
        <v>0</v>
      </c>
      <c r="CY459" s="2">
        <f t="shared" si="430"/>
        <v>0</v>
      </c>
      <c r="CZ459" s="2">
        <f t="shared" si="431"/>
        <v>0</v>
      </c>
      <c r="DA459" s="2"/>
      <c r="DB459" s="2"/>
      <c r="DC459" s="2" t="s">
        <v>3</v>
      </c>
      <c r="DD459" s="2" t="s">
        <v>3</v>
      </c>
      <c r="DE459" s="2" t="s">
        <v>36</v>
      </c>
      <c r="DF459" s="2" t="s">
        <v>36</v>
      </c>
      <c r="DG459" s="2" t="s">
        <v>37</v>
      </c>
      <c r="DH459" s="2" t="s">
        <v>3</v>
      </c>
      <c r="DI459" s="2" t="s">
        <v>37</v>
      </c>
      <c r="DJ459" s="2" t="s">
        <v>36</v>
      </c>
      <c r="DK459" s="2" t="s">
        <v>3</v>
      </c>
      <c r="DL459" s="2" t="s">
        <v>3</v>
      </c>
      <c r="DM459" s="2" t="s">
        <v>3</v>
      </c>
      <c r="DN459" s="2">
        <v>114</v>
      </c>
      <c r="DO459" s="2">
        <v>67</v>
      </c>
      <c r="DP459" s="2">
        <v>1.0469999999999999</v>
      </c>
      <c r="DQ459" s="2">
        <v>1</v>
      </c>
      <c r="DR459" s="2"/>
      <c r="DS459" s="2"/>
      <c r="DT459" s="2"/>
      <c r="DU459" s="2">
        <v>1003</v>
      </c>
      <c r="DV459" s="2" t="s">
        <v>483</v>
      </c>
      <c r="DW459" s="2" t="s">
        <v>483</v>
      </c>
      <c r="DX459" s="2">
        <v>100</v>
      </c>
      <c r="DY459" s="2"/>
      <c r="DZ459" s="2"/>
      <c r="EA459" s="2"/>
      <c r="EB459" s="2"/>
      <c r="EC459" s="2"/>
      <c r="ED459" s="2"/>
      <c r="EE459" s="2">
        <v>44846838</v>
      </c>
      <c r="EF459" s="2">
        <v>40</v>
      </c>
      <c r="EG459" s="2" t="s">
        <v>453</v>
      </c>
      <c r="EH459" s="2">
        <v>0</v>
      </c>
      <c r="EI459" s="2" t="s">
        <v>3</v>
      </c>
      <c r="EJ459" s="2">
        <v>2</v>
      </c>
      <c r="EK459" s="2">
        <v>331</v>
      </c>
      <c r="EL459" s="2" t="s">
        <v>499</v>
      </c>
      <c r="EM459" s="2" t="s">
        <v>500</v>
      </c>
      <c r="EN459" s="2"/>
      <c r="EO459" s="2" t="s">
        <v>3</v>
      </c>
      <c r="EP459" s="2"/>
      <c r="EQ459" s="2">
        <v>131072</v>
      </c>
      <c r="ER459" s="2">
        <v>42.66</v>
      </c>
      <c r="ES459" s="2">
        <v>3.71</v>
      </c>
      <c r="ET459" s="2">
        <v>0.85</v>
      </c>
      <c r="EU459" s="2">
        <v>0.2</v>
      </c>
      <c r="EV459" s="2">
        <v>38.1</v>
      </c>
      <c r="EW459" s="2">
        <v>3.09</v>
      </c>
      <c r="EX459" s="2">
        <v>0</v>
      </c>
      <c r="EY459" s="2">
        <v>0</v>
      </c>
      <c r="EZ459" s="2"/>
      <c r="FA459" s="2"/>
      <c r="FB459" s="2"/>
      <c r="FC459" s="2"/>
      <c r="FD459" s="2"/>
      <c r="FE459" s="2"/>
      <c r="FF459" s="2"/>
      <c r="FG459" s="2"/>
      <c r="FH459" s="2"/>
      <c r="FI459" s="2"/>
      <c r="FJ459" s="2"/>
      <c r="FK459" s="2"/>
      <c r="FL459" s="2"/>
      <c r="FM459" s="2"/>
      <c r="FN459" s="2"/>
      <c r="FO459" s="2"/>
      <c r="FP459" s="2"/>
      <c r="FQ459" s="2">
        <v>0</v>
      </c>
      <c r="FR459" s="2">
        <f t="shared" si="432"/>
        <v>0</v>
      </c>
      <c r="FS459" s="2">
        <v>0</v>
      </c>
      <c r="FT459" s="2"/>
      <c r="FU459" s="2"/>
      <c r="FV459" s="2"/>
      <c r="FW459" s="2"/>
      <c r="FX459" s="2">
        <v>114</v>
      </c>
      <c r="FY459" s="2">
        <v>67</v>
      </c>
      <c r="FZ459" s="2"/>
      <c r="GA459" s="2" t="s">
        <v>3</v>
      </c>
      <c r="GB459" s="2"/>
      <c r="GC459" s="2"/>
      <c r="GD459" s="2">
        <v>0</v>
      </c>
      <c r="GE459" s="2"/>
      <c r="GF459" s="2">
        <v>-103104656</v>
      </c>
      <c r="GG459" s="2">
        <v>2</v>
      </c>
      <c r="GH459" s="2">
        <v>1</v>
      </c>
      <c r="GI459" s="2">
        <v>3</v>
      </c>
      <c r="GJ459" s="2">
        <v>0</v>
      </c>
      <c r="GK459" s="2">
        <f>ROUND(R459*(R12)/100,2)</f>
        <v>0.41</v>
      </c>
      <c r="GL459" s="2">
        <f t="shared" si="433"/>
        <v>0</v>
      </c>
      <c r="GM459" s="2">
        <f t="shared" si="434"/>
        <v>44.14</v>
      </c>
      <c r="GN459" s="2">
        <f t="shared" si="435"/>
        <v>0</v>
      </c>
      <c r="GO459" s="2">
        <f t="shared" si="436"/>
        <v>44.14</v>
      </c>
      <c r="GP459" s="2">
        <f t="shared" si="437"/>
        <v>0</v>
      </c>
      <c r="GQ459" s="2"/>
      <c r="GR459" s="2">
        <v>0</v>
      </c>
      <c r="GS459" s="2">
        <v>3</v>
      </c>
      <c r="GT459" s="2">
        <v>0</v>
      </c>
      <c r="GU459" s="2" t="s">
        <v>3</v>
      </c>
      <c r="GV459" s="2">
        <f t="shared" si="438"/>
        <v>0</v>
      </c>
      <c r="GW459" s="2">
        <v>1</v>
      </c>
      <c r="GX459" s="2">
        <f t="shared" si="439"/>
        <v>0</v>
      </c>
      <c r="GY459" s="2"/>
      <c r="GZ459" s="2"/>
      <c r="HA459" s="2">
        <v>0</v>
      </c>
      <c r="HB459" s="2">
        <v>0</v>
      </c>
      <c r="HC459" s="2"/>
      <c r="HD459" s="2"/>
      <c r="HE459" s="2"/>
      <c r="HF459" s="2"/>
      <c r="HG459" s="2"/>
      <c r="HH459" s="2"/>
      <c r="HI459" s="2"/>
      <c r="HJ459" s="2"/>
      <c r="HK459" s="2"/>
      <c r="HL459" s="2"/>
      <c r="HM459" s="2"/>
      <c r="HN459" s="2"/>
      <c r="HO459" s="2"/>
      <c r="HP459" s="2"/>
      <c r="HQ459" s="2"/>
      <c r="HR459" s="2"/>
      <c r="HS459" s="2"/>
      <c r="HT459" s="2"/>
      <c r="HU459" s="2"/>
      <c r="HV459" s="2"/>
      <c r="HW459" s="2"/>
      <c r="HX459" s="2"/>
      <c r="HY459" s="2"/>
      <c r="HZ459" s="2"/>
      <c r="IA459" s="2"/>
      <c r="IB459" s="2"/>
      <c r="IC459" s="2"/>
      <c r="ID459" s="2"/>
      <c r="IE459" s="2"/>
      <c r="IF459" s="2"/>
      <c r="IG459" s="2"/>
      <c r="IH459" s="2"/>
      <c r="II459" s="2"/>
      <c r="IJ459" s="2"/>
      <c r="IK459" s="2">
        <v>0</v>
      </c>
      <c r="IL459" s="2"/>
      <c r="IM459" s="2"/>
      <c r="IN459" s="2"/>
      <c r="IO459" s="2"/>
      <c r="IP459" s="2"/>
      <c r="IQ459" s="2"/>
      <c r="IR459" s="2"/>
      <c r="IS459" s="2"/>
      <c r="IT459" s="2"/>
      <c r="IU459" s="2"/>
    </row>
    <row r="460" spans="1:255" x14ac:dyDescent="0.2">
      <c r="A460">
        <v>17</v>
      </c>
      <c r="B460">
        <v>1</v>
      </c>
      <c r="C460">
        <f>ROW(SmtRes!A406)</f>
        <v>406</v>
      </c>
      <c r="D460">
        <f>ROW(EtalonRes!A392)</f>
        <v>392</v>
      </c>
      <c r="E460" t="s">
        <v>531</v>
      </c>
      <c r="F460" t="s">
        <v>532</v>
      </c>
      <c r="G460" t="s">
        <v>533</v>
      </c>
      <c r="H460" t="s">
        <v>483</v>
      </c>
      <c r="I460">
        <f>ROUND(90/100,9)</f>
        <v>0.9</v>
      </c>
      <c r="J460">
        <v>0</v>
      </c>
      <c r="O460">
        <f t="shared" si="406"/>
        <v>830.44</v>
      </c>
      <c r="P460">
        <f t="shared" si="407"/>
        <v>17.46</v>
      </c>
      <c r="Q460">
        <f t="shared" si="408"/>
        <v>8.5399999999999991</v>
      </c>
      <c r="R460">
        <f t="shared" si="409"/>
        <v>4.59</v>
      </c>
      <c r="S460">
        <f t="shared" si="410"/>
        <v>804.44</v>
      </c>
      <c r="T460">
        <f t="shared" si="411"/>
        <v>0</v>
      </c>
      <c r="U460">
        <f t="shared" si="412"/>
        <v>3.1981499999999996</v>
      </c>
      <c r="V460">
        <f t="shared" si="413"/>
        <v>0</v>
      </c>
      <c r="W460">
        <f t="shared" si="414"/>
        <v>0</v>
      </c>
      <c r="X460">
        <f t="shared" si="415"/>
        <v>619.41999999999996</v>
      </c>
      <c r="Y460">
        <f t="shared" si="416"/>
        <v>329.82</v>
      </c>
      <c r="AA460">
        <v>45037307</v>
      </c>
      <c r="AB460">
        <f t="shared" si="417"/>
        <v>48.587499999999999</v>
      </c>
      <c r="AC460">
        <f t="shared" si="418"/>
        <v>3.71</v>
      </c>
      <c r="AD460">
        <f>ROUND(((ET460*1.25)),6)</f>
        <v>1.0625</v>
      </c>
      <c r="AE460">
        <f>ROUND(((EU460*1.25)),6)</f>
        <v>0.25</v>
      </c>
      <c r="AF460">
        <f>ROUND(((EV460*1.15)),6)</f>
        <v>43.814999999999998</v>
      </c>
      <c r="AG460">
        <f t="shared" si="419"/>
        <v>0</v>
      </c>
      <c r="AH460">
        <f>((EW460*1.15))</f>
        <v>3.5534999999999997</v>
      </c>
      <c r="AI460">
        <f>((EX460*1.25))</f>
        <v>0</v>
      </c>
      <c r="AJ460">
        <f t="shared" si="420"/>
        <v>0</v>
      </c>
      <c r="AK460">
        <v>42.66</v>
      </c>
      <c r="AL460">
        <v>3.71</v>
      </c>
      <c r="AM460">
        <v>0.85</v>
      </c>
      <c r="AN460">
        <v>0.2</v>
      </c>
      <c r="AO460">
        <v>38.1</v>
      </c>
      <c r="AP460">
        <v>0</v>
      </c>
      <c r="AQ460">
        <v>3.09</v>
      </c>
      <c r="AR460">
        <v>0</v>
      </c>
      <c r="AS460">
        <v>0</v>
      </c>
      <c r="AT460">
        <v>77</v>
      </c>
      <c r="AU460">
        <v>41</v>
      </c>
      <c r="AV460">
        <v>1</v>
      </c>
      <c r="AW460">
        <v>1</v>
      </c>
      <c r="AZ460">
        <v>1</v>
      </c>
      <c r="BA460">
        <v>20.399999999999999</v>
      </c>
      <c r="BB460">
        <v>8.93</v>
      </c>
      <c r="BC460">
        <v>5.23</v>
      </c>
      <c r="BD460" t="s">
        <v>3</v>
      </c>
      <c r="BE460" t="s">
        <v>3</v>
      </c>
      <c r="BF460" t="s">
        <v>3</v>
      </c>
      <c r="BG460" t="s">
        <v>3</v>
      </c>
      <c r="BH460">
        <v>0</v>
      </c>
      <c r="BI460">
        <v>2</v>
      </c>
      <c r="BJ460" t="s">
        <v>534</v>
      </c>
      <c r="BM460">
        <v>331</v>
      </c>
      <c r="BN460">
        <v>7156650</v>
      </c>
      <c r="BO460" t="s">
        <v>532</v>
      </c>
      <c r="BP460">
        <v>1</v>
      </c>
      <c r="BQ460">
        <v>40</v>
      </c>
      <c r="BR460">
        <v>0</v>
      </c>
      <c r="BS460">
        <v>20.399999999999999</v>
      </c>
      <c r="BT460">
        <v>1</v>
      </c>
      <c r="BU460">
        <v>1</v>
      </c>
      <c r="BV460">
        <v>1</v>
      </c>
      <c r="BW460">
        <v>1</v>
      </c>
      <c r="BX460">
        <v>1</v>
      </c>
      <c r="BY460" t="s">
        <v>3</v>
      </c>
      <c r="BZ460">
        <v>77</v>
      </c>
      <c r="CA460">
        <v>41</v>
      </c>
      <c r="CF460">
        <v>0</v>
      </c>
      <c r="CG460">
        <v>0</v>
      </c>
      <c r="CM460">
        <v>0</v>
      </c>
      <c r="CN460" t="s">
        <v>3</v>
      </c>
      <c r="CO460">
        <v>0</v>
      </c>
      <c r="CP460">
        <f t="shared" si="421"/>
        <v>830.44</v>
      </c>
      <c r="CQ460">
        <f t="shared" si="422"/>
        <v>19.403300000000002</v>
      </c>
      <c r="CR460">
        <f t="shared" si="423"/>
        <v>9.4881250000000001</v>
      </c>
      <c r="CS460">
        <f t="shared" si="424"/>
        <v>5.0999999999999996</v>
      </c>
      <c r="CT460">
        <f t="shared" si="425"/>
        <v>893.82599999999991</v>
      </c>
      <c r="CU460">
        <f t="shared" si="426"/>
        <v>0</v>
      </c>
      <c r="CV460">
        <f t="shared" si="427"/>
        <v>3.5534999999999997</v>
      </c>
      <c r="CW460">
        <f t="shared" si="428"/>
        <v>0</v>
      </c>
      <c r="CX460">
        <f t="shared" si="429"/>
        <v>0</v>
      </c>
      <c r="CY460">
        <f t="shared" si="430"/>
        <v>619.41880000000003</v>
      </c>
      <c r="CZ460">
        <f t="shared" si="431"/>
        <v>329.82040000000001</v>
      </c>
      <c r="DC460" t="s">
        <v>3</v>
      </c>
      <c r="DD460" t="s">
        <v>3</v>
      </c>
      <c r="DE460" t="s">
        <v>36</v>
      </c>
      <c r="DF460" t="s">
        <v>36</v>
      </c>
      <c r="DG460" t="s">
        <v>37</v>
      </c>
      <c r="DH460" t="s">
        <v>3</v>
      </c>
      <c r="DI460" t="s">
        <v>37</v>
      </c>
      <c r="DJ460" t="s">
        <v>36</v>
      </c>
      <c r="DK460" t="s">
        <v>3</v>
      </c>
      <c r="DL460" t="s">
        <v>3</v>
      </c>
      <c r="DM460" t="s">
        <v>3</v>
      </c>
      <c r="DN460">
        <v>114</v>
      </c>
      <c r="DO460">
        <v>67</v>
      </c>
      <c r="DP460">
        <v>1.0469999999999999</v>
      </c>
      <c r="DQ460">
        <v>1</v>
      </c>
      <c r="DU460">
        <v>1003</v>
      </c>
      <c r="DV460" t="s">
        <v>483</v>
      </c>
      <c r="DW460" t="s">
        <v>483</v>
      </c>
      <c r="DX460">
        <v>100</v>
      </c>
      <c r="EE460">
        <v>44846838</v>
      </c>
      <c r="EF460">
        <v>40</v>
      </c>
      <c r="EG460" t="s">
        <v>453</v>
      </c>
      <c r="EH460">
        <v>0</v>
      </c>
      <c r="EI460" t="s">
        <v>3</v>
      </c>
      <c r="EJ460">
        <v>2</v>
      </c>
      <c r="EK460">
        <v>331</v>
      </c>
      <c r="EL460" t="s">
        <v>499</v>
      </c>
      <c r="EM460" t="s">
        <v>500</v>
      </c>
      <c r="EO460" t="s">
        <v>3</v>
      </c>
      <c r="EQ460">
        <v>131072</v>
      </c>
      <c r="ER460">
        <v>42.66</v>
      </c>
      <c r="ES460">
        <v>3.71</v>
      </c>
      <c r="ET460">
        <v>0.85</v>
      </c>
      <c r="EU460">
        <v>0.2</v>
      </c>
      <c r="EV460">
        <v>38.1</v>
      </c>
      <c r="EW460">
        <v>3.09</v>
      </c>
      <c r="EX460">
        <v>0</v>
      </c>
      <c r="EY460">
        <v>0</v>
      </c>
      <c r="FQ460">
        <v>0</v>
      </c>
      <c r="FR460">
        <f t="shared" si="432"/>
        <v>0</v>
      </c>
      <c r="FS460">
        <v>0</v>
      </c>
      <c r="FX460">
        <v>114</v>
      </c>
      <c r="FY460">
        <v>67</v>
      </c>
      <c r="GA460" t="s">
        <v>3</v>
      </c>
      <c r="GD460">
        <v>0</v>
      </c>
      <c r="GF460">
        <v>-103104656</v>
      </c>
      <c r="GG460">
        <v>2</v>
      </c>
      <c r="GH460">
        <v>1</v>
      </c>
      <c r="GI460">
        <v>3</v>
      </c>
      <c r="GJ460">
        <v>0</v>
      </c>
      <c r="GK460">
        <f>ROUND(R460*(S12)/100,2)</f>
        <v>7.71</v>
      </c>
      <c r="GL460">
        <f t="shared" si="433"/>
        <v>0</v>
      </c>
      <c r="GM460">
        <f t="shared" si="434"/>
        <v>1787.39</v>
      </c>
      <c r="GN460">
        <f t="shared" si="435"/>
        <v>0</v>
      </c>
      <c r="GO460">
        <f t="shared" si="436"/>
        <v>1787.39</v>
      </c>
      <c r="GP460">
        <f t="shared" si="437"/>
        <v>0</v>
      </c>
      <c r="GR460">
        <v>0</v>
      </c>
      <c r="GS460">
        <v>3</v>
      </c>
      <c r="GT460">
        <v>0</v>
      </c>
      <c r="GU460" t="s">
        <v>3</v>
      </c>
      <c r="GV460">
        <f t="shared" si="438"/>
        <v>0</v>
      </c>
      <c r="GW460">
        <v>1</v>
      </c>
      <c r="GX460">
        <f t="shared" si="439"/>
        <v>0</v>
      </c>
      <c r="HA460">
        <v>0</v>
      </c>
      <c r="HB460">
        <v>0</v>
      </c>
      <c r="IK460">
        <v>0</v>
      </c>
    </row>
    <row r="461" spans="1:255" x14ac:dyDescent="0.2">
      <c r="A461" s="2">
        <v>18</v>
      </c>
      <c r="B461" s="2">
        <v>1</v>
      </c>
      <c r="C461" s="2">
        <v>402</v>
      </c>
      <c r="D461" s="2"/>
      <c r="E461" s="2" t="s">
        <v>535</v>
      </c>
      <c r="F461" s="2" t="s">
        <v>506</v>
      </c>
      <c r="G461" s="2" t="s">
        <v>536</v>
      </c>
      <c r="H461" s="2" t="s">
        <v>503</v>
      </c>
      <c r="I461" s="2">
        <f>I459*J461</f>
        <v>3.1E-2</v>
      </c>
      <c r="J461" s="2">
        <v>3.4444444444444444E-2</v>
      </c>
      <c r="K461" s="2"/>
      <c r="L461" s="2"/>
      <c r="M461" s="2"/>
      <c r="N461" s="2"/>
      <c r="O461" s="2">
        <f t="shared" si="406"/>
        <v>209.17</v>
      </c>
      <c r="P461" s="2">
        <f t="shared" si="407"/>
        <v>209.17</v>
      </c>
      <c r="Q461" s="2">
        <f t="shared" si="408"/>
        <v>0</v>
      </c>
      <c r="R461" s="2">
        <f t="shared" si="409"/>
        <v>0</v>
      </c>
      <c r="S461" s="2">
        <f t="shared" si="410"/>
        <v>0</v>
      </c>
      <c r="T461" s="2">
        <f t="shared" si="411"/>
        <v>0</v>
      </c>
      <c r="U461" s="2">
        <f t="shared" si="412"/>
        <v>0</v>
      </c>
      <c r="V461" s="2">
        <f t="shared" si="413"/>
        <v>0</v>
      </c>
      <c r="W461" s="2">
        <f t="shared" si="414"/>
        <v>0</v>
      </c>
      <c r="X461" s="2">
        <f t="shared" si="415"/>
        <v>0</v>
      </c>
      <c r="Y461" s="2">
        <f t="shared" si="416"/>
        <v>0</v>
      </c>
      <c r="Z461" s="2"/>
      <c r="AA461" s="2">
        <v>45037306</v>
      </c>
      <c r="AB461" s="2">
        <f t="shared" si="417"/>
        <v>6747.27</v>
      </c>
      <c r="AC461" s="2">
        <f t="shared" si="418"/>
        <v>6747.27</v>
      </c>
      <c r="AD461" s="2">
        <f t="shared" ref="AD461:AF464" si="442">ROUND((ET461),6)</f>
        <v>0</v>
      </c>
      <c r="AE461" s="2">
        <f t="shared" si="442"/>
        <v>0</v>
      </c>
      <c r="AF461" s="2">
        <f t="shared" si="442"/>
        <v>0</v>
      </c>
      <c r="AG461" s="2">
        <f t="shared" si="419"/>
        <v>0</v>
      </c>
      <c r="AH461" s="2">
        <f t="shared" ref="AH461:AI464" si="443">(EW461)</f>
        <v>0</v>
      </c>
      <c r="AI461" s="2">
        <f t="shared" si="443"/>
        <v>0</v>
      </c>
      <c r="AJ461" s="2">
        <f t="shared" si="420"/>
        <v>0</v>
      </c>
      <c r="AK461" s="2">
        <v>6747.27</v>
      </c>
      <c r="AL461" s="2">
        <v>6747.27</v>
      </c>
      <c r="AM461" s="2">
        <v>0</v>
      </c>
      <c r="AN461" s="2">
        <v>0</v>
      </c>
      <c r="AO461" s="2">
        <v>0</v>
      </c>
      <c r="AP461" s="2">
        <v>0</v>
      </c>
      <c r="AQ461" s="2">
        <v>0</v>
      </c>
      <c r="AR461" s="2">
        <v>0</v>
      </c>
      <c r="AS461" s="2">
        <v>0</v>
      </c>
      <c r="AT461" s="2">
        <v>0</v>
      </c>
      <c r="AU461" s="2">
        <v>0</v>
      </c>
      <c r="AV461" s="2">
        <v>1</v>
      </c>
      <c r="AW461" s="2">
        <v>1</v>
      </c>
      <c r="AX461" s="2"/>
      <c r="AY461" s="2"/>
      <c r="AZ461" s="2">
        <v>1</v>
      </c>
      <c r="BA461" s="2">
        <v>1</v>
      </c>
      <c r="BB461" s="2">
        <v>1</v>
      </c>
      <c r="BC461" s="2">
        <v>1</v>
      </c>
      <c r="BD461" s="2" t="s">
        <v>3</v>
      </c>
      <c r="BE461" s="2" t="s">
        <v>3</v>
      </c>
      <c r="BF461" s="2" t="s">
        <v>3</v>
      </c>
      <c r="BG461" s="2" t="s">
        <v>3</v>
      </c>
      <c r="BH461" s="2">
        <v>3</v>
      </c>
      <c r="BI461" s="2">
        <v>2</v>
      </c>
      <c r="BJ461" s="2" t="s">
        <v>504</v>
      </c>
      <c r="BK461" s="2"/>
      <c r="BL461" s="2"/>
      <c r="BM461" s="2">
        <v>331</v>
      </c>
      <c r="BN461" s="2">
        <v>7156650</v>
      </c>
      <c r="BO461" s="2" t="s">
        <v>3</v>
      </c>
      <c r="BP461" s="2">
        <v>0</v>
      </c>
      <c r="BQ461" s="2">
        <v>40</v>
      </c>
      <c r="BR461" s="2">
        <v>0</v>
      </c>
      <c r="BS461" s="2">
        <v>1</v>
      </c>
      <c r="BT461" s="2">
        <v>1</v>
      </c>
      <c r="BU461" s="2">
        <v>1</v>
      </c>
      <c r="BV461" s="2">
        <v>1</v>
      </c>
      <c r="BW461" s="2">
        <v>1</v>
      </c>
      <c r="BX461" s="2">
        <v>1</v>
      </c>
      <c r="BY461" s="2" t="s">
        <v>3</v>
      </c>
      <c r="BZ461" s="2">
        <v>0</v>
      </c>
      <c r="CA461" s="2">
        <v>0</v>
      </c>
      <c r="CB461" s="2"/>
      <c r="CC461" s="2"/>
      <c r="CD461" s="2"/>
      <c r="CE461" s="2"/>
      <c r="CF461" s="2">
        <v>0</v>
      </c>
      <c r="CG461" s="2">
        <v>0</v>
      </c>
      <c r="CH461" s="2"/>
      <c r="CI461" s="2"/>
      <c r="CJ461" s="2"/>
      <c r="CK461" s="2"/>
      <c r="CL461" s="2"/>
      <c r="CM461" s="2">
        <v>0</v>
      </c>
      <c r="CN461" s="2" t="s">
        <v>3</v>
      </c>
      <c r="CO461" s="2">
        <v>0</v>
      </c>
      <c r="CP461" s="2">
        <f t="shared" si="421"/>
        <v>209.17</v>
      </c>
      <c r="CQ461" s="2">
        <f t="shared" si="422"/>
        <v>6747.27</v>
      </c>
      <c r="CR461" s="2">
        <f t="shared" si="423"/>
        <v>0</v>
      </c>
      <c r="CS461" s="2">
        <f t="shared" si="424"/>
        <v>0</v>
      </c>
      <c r="CT461" s="2">
        <f t="shared" si="425"/>
        <v>0</v>
      </c>
      <c r="CU461" s="2">
        <f t="shared" si="426"/>
        <v>0</v>
      </c>
      <c r="CV461" s="2">
        <f t="shared" si="427"/>
        <v>0</v>
      </c>
      <c r="CW461" s="2">
        <f t="shared" si="428"/>
        <v>0</v>
      </c>
      <c r="CX461" s="2">
        <f t="shared" si="429"/>
        <v>0</v>
      </c>
      <c r="CY461" s="2">
        <f t="shared" si="430"/>
        <v>0</v>
      </c>
      <c r="CZ461" s="2">
        <f t="shared" si="431"/>
        <v>0</v>
      </c>
      <c r="DA461" s="2"/>
      <c r="DB461" s="2"/>
      <c r="DC461" s="2" t="s">
        <v>3</v>
      </c>
      <c r="DD461" s="2" t="s">
        <v>3</v>
      </c>
      <c r="DE461" s="2" t="s">
        <v>3</v>
      </c>
      <c r="DF461" s="2" t="s">
        <v>3</v>
      </c>
      <c r="DG461" s="2" t="s">
        <v>3</v>
      </c>
      <c r="DH461" s="2" t="s">
        <v>3</v>
      </c>
      <c r="DI461" s="2" t="s">
        <v>3</v>
      </c>
      <c r="DJ461" s="2" t="s">
        <v>3</v>
      </c>
      <c r="DK461" s="2" t="s">
        <v>3</v>
      </c>
      <c r="DL461" s="2" t="s">
        <v>3</v>
      </c>
      <c r="DM461" s="2" t="s">
        <v>3</v>
      </c>
      <c r="DN461" s="2">
        <v>114</v>
      </c>
      <c r="DO461" s="2">
        <v>67</v>
      </c>
      <c r="DP461" s="2">
        <v>1.0469999999999999</v>
      </c>
      <c r="DQ461" s="2">
        <v>1</v>
      </c>
      <c r="DR461" s="2"/>
      <c r="DS461" s="2"/>
      <c r="DT461" s="2"/>
      <c r="DU461" s="2">
        <v>1003</v>
      </c>
      <c r="DV461" s="2" t="s">
        <v>503</v>
      </c>
      <c r="DW461" s="2" t="s">
        <v>503</v>
      </c>
      <c r="DX461" s="2">
        <v>1000</v>
      </c>
      <c r="DY461" s="2"/>
      <c r="DZ461" s="2"/>
      <c r="EA461" s="2"/>
      <c r="EB461" s="2"/>
      <c r="EC461" s="2"/>
      <c r="ED461" s="2"/>
      <c r="EE461" s="2">
        <v>44846838</v>
      </c>
      <c r="EF461" s="2">
        <v>40</v>
      </c>
      <c r="EG461" s="2" t="s">
        <v>453</v>
      </c>
      <c r="EH461" s="2">
        <v>0</v>
      </c>
      <c r="EI461" s="2" t="s">
        <v>3</v>
      </c>
      <c r="EJ461" s="2">
        <v>2</v>
      </c>
      <c r="EK461" s="2">
        <v>331</v>
      </c>
      <c r="EL461" s="2" t="s">
        <v>499</v>
      </c>
      <c r="EM461" s="2" t="s">
        <v>500</v>
      </c>
      <c r="EN461" s="2"/>
      <c r="EO461" s="2" t="s">
        <v>3</v>
      </c>
      <c r="EP461" s="2"/>
      <c r="EQ461" s="2">
        <v>0</v>
      </c>
      <c r="ER461" s="2">
        <v>6747.27</v>
      </c>
      <c r="ES461" s="2">
        <v>6747.27</v>
      </c>
      <c r="ET461" s="2">
        <v>0</v>
      </c>
      <c r="EU461" s="2">
        <v>0</v>
      </c>
      <c r="EV461" s="2">
        <v>0</v>
      </c>
      <c r="EW461" s="2">
        <v>0</v>
      </c>
      <c r="EX461" s="2">
        <v>0</v>
      </c>
      <c r="EY461" s="2"/>
      <c r="EZ461" s="2"/>
      <c r="FA461" s="2"/>
      <c r="FB461" s="2"/>
      <c r="FC461" s="2"/>
      <c r="FD461" s="2"/>
      <c r="FE461" s="2"/>
      <c r="FF461" s="2"/>
      <c r="FG461" s="2"/>
      <c r="FH461" s="2"/>
      <c r="FI461" s="2"/>
      <c r="FJ461" s="2"/>
      <c r="FK461" s="2"/>
      <c r="FL461" s="2"/>
      <c r="FM461" s="2"/>
      <c r="FN461" s="2"/>
      <c r="FO461" s="2"/>
      <c r="FP461" s="2"/>
      <c r="FQ461" s="2">
        <v>0</v>
      </c>
      <c r="FR461" s="2">
        <f t="shared" si="432"/>
        <v>0</v>
      </c>
      <c r="FS461" s="2">
        <v>0</v>
      </c>
      <c r="FT461" s="2"/>
      <c r="FU461" s="2"/>
      <c r="FV461" s="2"/>
      <c r="FW461" s="2"/>
      <c r="FX461" s="2">
        <v>114</v>
      </c>
      <c r="FY461" s="2">
        <v>67</v>
      </c>
      <c r="FZ461" s="2"/>
      <c r="GA461" s="2" t="s">
        <v>3</v>
      </c>
      <c r="GB461" s="2"/>
      <c r="GC461" s="2"/>
      <c r="GD461" s="2">
        <v>0</v>
      </c>
      <c r="GE461" s="2"/>
      <c r="GF461" s="2">
        <v>235493699</v>
      </c>
      <c r="GG461" s="2">
        <v>2</v>
      </c>
      <c r="GH461" s="2">
        <v>1</v>
      </c>
      <c r="GI461" s="2">
        <v>3</v>
      </c>
      <c r="GJ461" s="2">
        <v>0</v>
      </c>
      <c r="GK461" s="2">
        <f>ROUND(R461*(R12)/100,2)</f>
        <v>0</v>
      </c>
      <c r="GL461" s="2">
        <f t="shared" si="433"/>
        <v>0</v>
      </c>
      <c r="GM461" s="2">
        <f t="shared" si="434"/>
        <v>209.17</v>
      </c>
      <c r="GN461" s="2">
        <f t="shared" si="435"/>
        <v>0</v>
      </c>
      <c r="GO461" s="2">
        <f t="shared" si="436"/>
        <v>209.17</v>
      </c>
      <c r="GP461" s="2">
        <f t="shared" si="437"/>
        <v>0</v>
      </c>
      <c r="GQ461" s="2"/>
      <c r="GR461" s="2">
        <v>0</v>
      </c>
      <c r="GS461" s="2">
        <v>3</v>
      </c>
      <c r="GT461" s="2">
        <v>0</v>
      </c>
      <c r="GU461" s="2" t="s">
        <v>3</v>
      </c>
      <c r="GV461" s="2">
        <f t="shared" si="438"/>
        <v>0</v>
      </c>
      <c r="GW461" s="2">
        <v>1</v>
      </c>
      <c r="GX461" s="2">
        <f t="shared" si="439"/>
        <v>0</v>
      </c>
      <c r="GY461" s="2"/>
      <c r="GZ461" s="2"/>
      <c r="HA461" s="2">
        <v>0</v>
      </c>
      <c r="HB461" s="2">
        <v>0</v>
      </c>
      <c r="HC461" s="2"/>
      <c r="HD461" s="2"/>
      <c r="HE461" s="2"/>
      <c r="HF461" s="2"/>
      <c r="HG461" s="2"/>
      <c r="HH461" s="2"/>
      <c r="HI461" s="2"/>
      <c r="HJ461" s="2"/>
      <c r="HK461" s="2"/>
      <c r="HL461" s="2"/>
      <c r="HM461" s="2"/>
      <c r="HN461" s="2"/>
      <c r="HO461" s="2"/>
      <c r="HP461" s="2"/>
      <c r="HQ461" s="2"/>
      <c r="HR461" s="2"/>
      <c r="HS461" s="2"/>
      <c r="HT461" s="2"/>
      <c r="HU461" s="2"/>
      <c r="HV461" s="2"/>
      <c r="HW461" s="2"/>
      <c r="HX461" s="2"/>
      <c r="HY461" s="2"/>
      <c r="HZ461" s="2"/>
      <c r="IA461" s="2"/>
      <c r="IB461" s="2"/>
      <c r="IC461" s="2"/>
      <c r="ID461" s="2"/>
      <c r="IE461" s="2"/>
      <c r="IF461" s="2"/>
      <c r="IG461" s="2"/>
      <c r="IH461" s="2"/>
      <c r="II461" s="2"/>
      <c r="IJ461" s="2"/>
      <c r="IK461" s="2">
        <v>0</v>
      </c>
      <c r="IL461" s="2"/>
      <c r="IM461" s="2"/>
      <c r="IN461" s="2"/>
      <c r="IO461" s="2"/>
      <c r="IP461" s="2"/>
      <c r="IQ461" s="2"/>
      <c r="IR461" s="2"/>
      <c r="IS461" s="2"/>
      <c r="IT461" s="2"/>
      <c r="IU461" s="2"/>
    </row>
    <row r="462" spans="1:255" x14ac:dyDescent="0.2">
      <c r="A462">
        <v>18</v>
      </c>
      <c r="B462">
        <v>1</v>
      </c>
      <c r="C462">
        <v>405</v>
      </c>
      <c r="E462" t="s">
        <v>535</v>
      </c>
      <c r="F462" t="s">
        <v>506</v>
      </c>
      <c r="G462" t="s">
        <v>536</v>
      </c>
      <c r="H462" t="s">
        <v>503</v>
      </c>
      <c r="I462">
        <f>I460*J462</f>
        <v>3.1E-2</v>
      </c>
      <c r="J462">
        <v>3.4444444444444444E-2</v>
      </c>
      <c r="O462">
        <f t="shared" si="406"/>
        <v>750.9</v>
      </c>
      <c r="P462">
        <f t="shared" si="407"/>
        <v>750.9</v>
      </c>
      <c r="Q462">
        <f t="shared" si="408"/>
        <v>0</v>
      </c>
      <c r="R462">
        <f t="shared" si="409"/>
        <v>0</v>
      </c>
      <c r="S462">
        <f t="shared" si="410"/>
        <v>0</v>
      </c>
      <c r="T462">
        <f t="shared" si="411"/>
        <v>0</v>
      </c>
      <c r="U462">
        <f t="shared" si="412"/>
        <v>0</v>
      </c>
      <c r="V462">
        <f t="shared" si="413"/>
        <v>0</v>
      </c>
      <c r="W462">
        <f t="shared" si="414"/>
        <v>0</v>
      </c>
      <c r="X462">
        <f t="shared" si="415"/>
        <v>0</v>
      </c>
      <c r="Y462">
        <f t="shared" si="416"/>
        <v>0</v>
      </c>
      <c r="AA462">
        <v>45037307</v>
      </c>
      <c r="AB462">
        <f t="shared" si="417"/>
        <v>6747.27</v>
      </c>
      <c r="AC462">
        <f t="shared" si="418"/>
        <v>6747.27</v>
      </c>
      <c r="AD462">
        <f t="shared" si="442"/>
        <v>0</v>
      </c>
      <c r="AE462">
        <f t="shared" si="442"/>
        <v>0</v>
      </c>
      <c r="AF462">
        <f t="shared" si="442"/>
        <v>0</v>
      </c>
      <c r="AG462">
        <f t="shared" si="419"/>
        <v>0</v>
      </c>
      <c r="AH462">
        <f t="shared" si="443"/>
        <v>0</v>
      </c>
      <c r="AI462">
        <f t="shared" si="443"/>
        <v>0</v>
      </c>
      <c r="AJ462">
        <f t="shared" si="420"/>
        <v>0</v>
      </c>
      <c r="AK462">
        <v>6747.27</v>
      </c>
      <c r="AL462">
        <v>6747.27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0</v>
      </c>
      <c r="AU462">
        <v>0</v>
      </c>
      <c r="AV462">
        <v>1</v>
      </c>
      <c r="AW462">
        <v>1</v>
      </c>
      <c r="AZ462">
        <v>1</v>
      </c>
      <c r="BA462">
        <v>1</v>
      </c>
      <c r="BB462">
        <v>1</v>
      </c>
      <c r="BC462">
        <v>3.59</v>
      </c>
      <c r="BD462" t="s">
        <v>3</v>
      </c>
      <c r="BE462" t="s">
        <v>3</v>
      </c>
      <c r="BF462" t="s">
        <v>3</v>
      </c>
      <c r="BG462" t="s">
        <v>3</v>
      </c>
      <c r="BH462">
        <v>3</v>
      </c>
      <c r="BI462">
        <v>2</v>
      </c>
      <c r="BJ462" t="s">
        <v>504</v>
      </c>
      <c r="BM462">
        <v>331</v>
      </c>
      <c r="BN462">
        <v>7156650</v>
      </c>
      <c r="BO462" t="s">
        <v>506</v>
      </c>
      <c r="BP462">
        <v>1</v>
      </c>
      <c r="BQ462">
        <v>40</v>
      </c>
      <c r="BR462">
        <v>0</v>
      </c>
      <c r="BS462">
        <v>1</v>
      </c>
      <c r="BT462">
        <v>1</v>
      </c>
      <c r="BU462">
        <v>1</v>
      </c>
      <c r="BV462">
        <v>1</v>
      </c>
      <c r="BW462">
        <v>1</v>
      </c>
      <c r="BX462">
        <v>1</v>
      </c>
      <c r="BY462" t="s">
        <v>3</v>
      </c>
      <c r="BZ462">
        <v>0</v>
      </c>
      <c r="CA462">
        <v>0</v>
      </c>
      <c r="CF462">
        <v>0</v>
      </c>
      <c r="CG462">
        <v>0</v>
      </c>
      <c r="CM462">
        <v>0</v>
      </c>
      <c r="CN462" t="s">
        <v>3</v>
      </c>
      <c r="CO462">
        <v>0</v>
      </c>
      <c r="CP462">
        <f t="shared" si="421"/>
        <v>750.9</v>
      </c>
      <c r="CQ462">
        <f t="shared" si="422"/>
        <v>24222.6993</v>
      </c>
      <c r="CR462">
        <f t="shared" si="423"/>
        <v>0</v>
      </c>
      <c r="CS462">
        <f t="shared" si="424"/>
        <v>0</v>
      </c>
      <c r="CT462">
        <f t="shared" si="425"/>
        <v>0</v>
      </c>
      <c r="CU462">
        <f t="shared" si="426"/>
        <v>0</v>
      </c>
      <c r="CV462">
        <f t="shared" si="427"/>
        <v>0</v>
      </c>
      <c r="CW462">
        <f t="shared" si="428"/>
        <v>0</v>
      </c>
      <c r="CX462">
        <f t="shared" si="429"/>
        <v>0</v>
      </c>
      <c r="CY462">
        <f t="shared" si="430"/>
        <v>0</v>
      </c>
      <c r="CZ462">
        <f t="shared" si="431"/>
        <v>0</v>
      </c>
      <c r="DC462" t="s">
        <v>3</v>
      </c>
      <c r="DD462" t="s">
        <v>3</v>
      </c>
      <c r="DE462" t="s">
        <v>3</v>
      </c>
      <c r="DF462" t="s">
        <v>3</v>
      </c>
      <c r="DG462" t="s">
        <v>3</v>
      </c>
      <c r="DH462" t="s">
        <v>3</v>
      </c>
      <c r="DI462" t="s">
        <v>3</v>
      </c>
      <c r="DJ462" t="s">
        <v>3</v>
      </c>
      <c r="DK462" t="s">
        <v>3</v>
      </c>
      <c r="DL462" t="s">
        <v>3</v>
      </c>
      <c r="DM462" t="s">
        <v>3</v>
      </c>
      <c r="DN462">
        <v>114</v>
      </c>
      <c r="DO462">
        <v>67</v>
      </c>
      <c r="DP462">
        <v>1.0469999999999999</v>
      </c>
      <c r="DQ462">
        <v>1</v>
      </c>
      <c r="DU462">
        <v>1003</v>
      </c>
      <c r="DV462" t="s">
        <v>503</v>
      </c>
      <c r="DW462" t="s">
        <v>503</v>
      </c>
      <c r="DX462">
        <v>1000</v>
      </c>
      <c r="EE462">
        <v>44846838</v>
      </c>
      <c r="EF462">
        <v>40</v>
      </c>
      <c r="EG462" t="s">
        <v>453</v>
      </c>
      <c r="EH462">
        <v>0</v>
      </c>
      <c r="EI462" t="s">
        <v>3</v>
      </c>
      <c r="EJ462">
        <v>2</v>
      </c>
      <c r="EK462">
        <v>331</v>
      </c>
      <c r="EL462" t="s">
        <v>499</v>
      </c>
      <c r="EM462" t="s">
        <v>500</v>
      </c>
      <c r="EO462" t="s">
        <v>3</v>
      </c>
      <c r="EQ462">
        <v>0</v>
      </c>
      <c r="ER462">
        <v>6747.27</v>
      </c>
      <c r="ES462">
        <v>6747.27</v>
      </c>
      <c r="ET462">
        <v>0</v>
      </c>
      <c r="EU462">
        <v>0</v>
      </c>
      <c r="EV462">
        <v>0</v>
      </c>
      <c r="EW462">
        <v>0</v>
      </c>
      <c r="EX462">
        <v>0</v>
      </c>
      <c r="FQ462">
        <v>0</v>
      </c>
      <c r="FR462">
        <f t="shared" si="432"/>
        <v>0</v>
      </c>
      <c r="FS462">
        <v>0</v>
      </c>
      <c r="FX462">
        <v>114</v>
      </c>
      <c r="FY462">
        <v>67</v>
      </c>
      <c r="GA462" t="s">
        <v>3</v>
      </c>
      <c r="GD462">
        <v>0</v>
      </c>
      <c r="GF462">
        <v>235493699</v>
      </c>
      <c r="GG462">
        <v>2</v>
      </c>
      <c r="GH462">
        <v>1</v>
      </c>
      <c r="GI462">
        <v>3</v>
      </c>
      <c r="GJ462">
        <v>0</v>
      </c>
      <c r="GK462">
        <f>ROUND(R462*(S12)/100,2)</f>
        <v>0</v>
      </c>
      <c r="GL462">
        <f t="shared" si="433"/>
        <v>0</v>
      </c>
      <c r="GM462">
        <f t="shared" si="434"/>
        <v>750.9</v>
      </c>
      <c r="GN462">
        <f t="shared" si="435"/>
        <v>0</v>
      </c>
      <c r="GO462">
        <f t="shared" si="436"/>
        <v>750.9</v>
      </c>
      <c r="GP462">
        <f t="shared" si="437"/>
        <v>0</v>
      </c>
      <c r="GR462">
        <v>0</v>
      </c>
      <c r="GS462">
        <v>3</v>
      </c>
      <c r="GT462">
        <v>0</v>
      </c>
      <c r="GU462" t="s">
        <v>3</v>
      </c>
      <c r="GV462">
        <f t="shared" si="438"/>
        <v>0</v>
      </c>
      <c r="GW462">
        <v>1</v>
      </c>
      <c r="GX462">
        <f t="shared" si="439"/>
        <v>0</v>
      </c>
      <c r="HA462">
        <v>0</v>
      </c>
      <c r="HB462">
        <v>0</v>
      </c>
      <c r="IK462">
        <v>0</v>
      </c>
    </row>
    <row r="463" spans="1:255" x14ac:dyDescent="0.2">
      <c r="A463" s="2">
        <v>18</v>
      </c>
      <c r="B463" s="2">
        <v>1</v>
      </c>
      <c r="C463" s="2">
        <v>403</v>
      </c>
      <c r="D463" s="2"/>
      <c r="E463" s="2" t="s">
        <v>537</v>
      </c>
      <c r="F463" s="2" t="s">
        <v>538</v>
      </c>
      <c r="G463" s="2" t="s">
        <v>539</v>
      </c>
      <c r="H463" s="2" t="s">
        <v>503</v>
      </c>
      <c r="I463" s="2">
        <f>I459*J463</f>
        <v>6.2E-2</v>
      </c>
      <c r="J463" s="2">
        <v>6.8888888888888888E-2</v>
      </c>
      <c r="K463" s="2"/>
      <c r="L463" s="2"/>
      <c r="M463" s="2"/>
      <c r="N463" s="2"/>
      <c r="O463" s="2">
        <f t="shared" si="406"/>
        <v>1019.71</v>
      </c>
      <c r="P463" s="2">
        <f t="shared" si="407"/>
        <v>1019.71</v>
      </c>
      <c r="Q463" s="2">
        <f t="shared" si="408"/>
        <v>0</v>
      </c>
      <c r="R463" s="2">
        <f t="shared" si="409"/>
        <v>0</v>
      </c>
      <c r="S463" s="2">
        <f t="shared" si="410"/>
        <v>0</v>
      </c>
      <c r="T463" s="2">
        <f t="shared" si="411"/>
        <v>0</v>
      </c>
      <c r="U463" s="2">
        <f t="shared" si="412"/>
        <v>0</v>
      </c>
      <c r="V463" s="2">
        <f t="shared" si="413"/>
        <v>0</v>
      </c>
      <c r="W463" s="2">
        <f t="shared" si="414"/>
        <v>0</v>
      </c>
      <c r="X463" s="2">
        <f t="shared" si="415"/>
        <v>0</v>
      </c>
      <c r="Y463" s="2">
        <f t="shared" si="416"/>
        <v>0</v>
      </c>
      <c r="Z463" s="2"/>
      <c r="AA463" s="2">
        <v>45037306</v>
      </c>
      <c r="AB463" s="2">
        <f t="shared" si="417"/>
        <v>16446.900000000001</v>
      </c>
      <c r="AC463" s="2">
        <f t="shared" si="418"/>
        <v>16446.900000000001</v>
      </c>
      <c r="AD463" s="2">
        <f t="shared" si="442"/>
        <v>0</v>
      </c>
      <c r="AE463" s="2">
        <f t="shared" si="442"/>
        <v>0</v>
      </c>
      <c r="AF463" s="2">
        <f t="shared" si="442"/>
        <v>0</v>
      </c>
      <c r="AG463" s="2">
        <f t="shared" si="419"/>
        <v>0</v>
      </c>
      <c r="AH463" s="2">
        <f t="shared" si="443"/>
        <v>0</v>
      </c>
      <c r="AI463" s="2">
        <f t="shared" si="443"/>
        <v>0</v>
      </c>
      <c r="AJ463" s="2">
        <f t="shared" si="420"/>
        <v>0</v>
      </c>
      <c r="AK463" s="2">
        <v>16446.900000000001</v>
      </c>
      <c r="AL463" s="2">
        <v>16446.900000000001</v>
      </c>
      <c r="AM463" s="2">
        <v>0</v>
      </c>
      <c r="AN463" s="2">
        <v>0</v>
      </c>
      <c r="AO463" s="2">
        <v>0</v>
      </c>
      <c r="AP463" s="2">
        <v>0</v>
      </c>
      <c r="AQ463" s="2">
        <v>0</v>
      </c>
      <c r="AR463" s="2">
        <v>0</v>
      </c>
      <c r="AS463" s="2">
        <v>0</v>
      </c>
      <c r="AT463" s="2">
        <v>0</v>
      </c>
      <c r="AU463" s="2">
        <v>0</v>
      </c>
      <c r="AV463" s="2">
        <v>1</v>
      </c>
      <c r="AW463" s="2">
        <v>1</v>
      </c>
      <c r="AX463" s="2"/>
      <c r="AY463" s="2"/>
      <c r="AZ463" s="2">
        <v>1</v>
      </c>
      <c r="BA463" s="2">
        <v>1</v>
      </c>
      <c r="BB463" s="2">
        <v>1</v>
      </c>
      <c r="BC463" s="2">
        <v>1</v>
      </c>
      <c r="BD463" s="2" t="s">
        <v>3</v>
      </c>
      <c r="BE463" s="2" t="s">
        <v>3</v>
      </c>
      <c r="BF463" s="2" t="s">
        <v>3</v>
      </c>
      <c r="BG463" s="2" t="s">
        <v>3</v>
      </c>
      <c r="BH463" s="2">
        <v>3</v>
      </c>
      <c r="BI463" s="2">
        <v>2</v>
      </c>
      <c r="BJ463" s="2" t="s">
        <v>540</v>
      </c>
      <c r="BK463" s="2"/>
      <c r="BL463" s="2"/>
      <c r="BM463" s="2">
        <v>331</v>
      </c>
      <c r="BN463" s="2">
        <v>7156650</v>
      </c>
      <c r="BO463" s="2" t="s">
        <v>3</v>
      </c>
      <c r="BP463" s="2">
        <v>0</v>
      </c>
      <c r="BQ463" s="2">
        <v>40</v>
      </c>
      <c r="BR463" s="2">
        <v>0</v>
      </c>
      <c r="BS463" s="2">
        <v>1</v>
      </c>
      <c r="BT463" s="2">
        <v>1</v>
      </c>
      <c r="BU463" s="2">
        <v>1</v>
      </c>
      <c r="BV463" s="2">
        <v>1</v>
      </c>
      <c r="BW463" s="2">
        <v>1</v>
      </c>
      <c r="BX463" s="2">
        <v>1</v>
      </c>
      <c r="BY463" s="2" t="s">
        <v>3</v>
      </c>
      <c r="BZ463" s="2">
        <v>0</v>
      </c>
      <c r="CA463" s="2">
        <v>0</v>
      </c>
      <c r="CB463" s="2"/>
      <c r="CC463" s="2"/>
      <c r="CD463" s="2"/>
      <c r="CE463" s="2"/>
      <c r="CF463" s="2">
        <v>0</v>
      </c>
      <c r="CG463" s="2">
        <v>0</v>
      </c>
      <c r="CH463" s="2"/>
      <c r="CI463" s="2"/>
      <c r="CJ463" s="2"/>
      <c r="CK463" s="2"/>
      <c r="CL463" s="2"/>
      <c r="CM463" s="2">
        <v>0</v>
      </c>
      <c r="CN463" s="2" t="s">
        <v>3</v>
      </c>
      <c r="CO463" s="2">
        <v>0</v>
      </c>
      <c r="CP463" s="2">
        <f t="shared" si="421"/>
        <v>1019.71</v>
      </c>
      <c r="CQ463" s="2">
        <f t="shared" si="422"/>
        <v>16446.900000000001</v>
      </c>
      <c r="CR463" s="2">
        <f t="shared" si="423"/>
        <v>0</v>
      </c>
      <c r="CS463" s="2">
        <f t="shared" si="424"/>
        <v>0</v>
      </c>
      <c r="CT463" s="2">
        <f t="shared" si="425"/>
        <v>0</v>
      </c>
      <c r="CU463" s="2">
        <f t="shared" si="426"/>
        <v>0</v>
      </c>
      <c r="CV463" s="2">
        <f t="shared" si="427"/>
        <v>0</v>
      </c>
      <c r="CW463" s="2">
        <f t="shared" si="428"/>
        <v>0</v>
      </c>
      <c r="CX463" s="2">
        <f t="shared" si="429"/>
        <v>0</v>
      </c>
      <c r="CY463" s="2">
        <f t="shared" si="430"/>
        <v>0</v>
      </c>
      <c r="CZ463" s="2">
        <f t="shared" si="431"/>
        <v>0</v>
      </c>
      <c r="DA463" s="2"/>
      <c r="DB463" s="2"/>
      <c r="DC463" s="2" t="s">
        <v>3</v>
      </c>
      <c r="DD463" s="2" t="s">
        <v>3</v>
      </c>
      <c r="DE463" s="2" t="s">
        <v>3</v>
      </c>
      <c r="DF463" s="2" t="s">
        <v>3</v>
      </c>
      <c r="DG463" s="2" t="s">
        <v>3</v>
      </c>
      <c r="DH463" s="2" t="s">
        <v>3</v>
      </c>
      <c r="DI463" s="2" t="s">
        <v>3</v>
      </c>
      <c r="DJ463" s="2" t="s">
        <v>3</v>
      </c>
      <c r="DK463" s="2" t="s">
        <v>3</v>
      </c>
      <c r="DL463" s="2" t="s">
        <v>3</v>
      </c>
      <c r="DM463" s="2" t="s">
        <v>3</v>
      </c>
      <c r="DN463" s="2">
        <v>114</v>
      </c>
      <c r="DO463" s="2">
        <v>67</v>
      </c>
      <c r="DP463" s="2">
        <v>1.0469999999999999</v>
      </c>
      <c r="DQ463" s="2">
        <v>1</v>
      </c>
      <c r="DR463" s="2"/>
      <c r="DS463" s="2"/>
      <c r="DT463" s="2"/>
      <c r="DU463" s="2">
        <v>1003</v>
      </c>
      <c r="DV463" s="2" t="s">
        <v>503</v>
      </c>
      <c r="DW463" s="2" t="s">
        <v>503</v>
      </c>
      <c r="DX463" s="2">
        <v>1000</v>
      </c>
      <c r="DY463" s="2"/>
      <c r="DZ463" s="2"/>
      <c r="EA463" s="2"/>
      <c r="EB463" s="2"/>
      <c r="EC463" s="2"/>
      <c r="ED463" s="2"/>
      <c r="EE463" s="2">
        <v>44846838</v>
      </c>
      <c r="EF463" s="2">
        <v>40</v>
      </c>
      <c r="EG463" s="2" t="s">
        <v>453</v>
      </c>
      <c r="EH463" s="2">
        <v>0</v>
      </c>
      <c r="EI463" s="2" t="s">
        <v>3</v>
      </c>
      <c r="EJ463" s="2">
        <v>2</v>
      </c>
      <c r="EK463" s="2">
        <v>331</v>
      </c>
      <c r="EL463" s="2" t="s">
        <v>499</v>
      </c>
      <c r="EM463" s="2" t="s">
        <v>500</v>
      </c>
      <c r="EN463" s="2"/>
      <c r="EO463" s="2" t="s">
        <v>3</v>
      </c>
      <c r="EP463" s="2"/>
      <c r="EQ463" s="2">
        <v>0</v>
      </c>
      <c r="ER463" s="2">
        <v>16446.900000000001</v>
      </c>
      <c r="ES463" s="2">
        <v>16446.900000000001</v>
      </c>
      <c r="ET463" s="2">
        <v>0</v>
      </c>
      <c r="EU463" s="2">
        <v>0</v>
      </c>
      <c r="EV463" s="2">
        <v>0</v>
      </c>
      <c r="EW463" s="2">
        <v>0</v>
      </c>
      <c r="EX463" s="2">
        <v>0</v>
      </c>
      <c r="EY463" s="2"/>
      <c r="EZ463" s="2"/>
      <c r="FA463" s="2"/>
      <c r="FB463" s="2"/>
      <c r="FC463" s="2"/>
      <c r="FD463" s="2"/>
      <c r="FE463" s="2"/>
      <c r="FF463" s="2"/>
      <c r="FG463" s="2"/>
      <c r="FH463" s="2"/>
      <c r="FI463" s="2"/>
      <c r="FJ463" s="2"/>
      <c r="FK463" s="2"/>
      <c r="FL463" s="2"/>
      <c r="FM463" s="2"/>
      <c r="FN463" s="2"/>
      <c r="FO463" s="2"/>
      <c r="FP463" s="2"/>
      <c r="FQ463" s="2">
        <v>0</v>
      </c>
      <c r="FR463" s="2">
        <f t="shared" si="432"/>
        <v>0</v>
      </c>
      <c r="FS463" s="2">
        <v>0</v>
      </c>
      <c r="FT463" s="2"/>
      <c r="FU463" s="2"/>
      <c r="FV463" s="2"/>
      <c r="FW463" s="2"/>
      <c r="FX463" s="2">
        <v>114</v>
      </c>
      <c r="FY463" s="2">
        <v>67</v>
      </c>
      <c r="FZ463" s="2"/>
      <c r="GA463" s="2" t="s">
        <v>3</v>
      </c>
      <c r="GB463" s="2"/>
      <c r="GC463" s="2"/>
      <c r="GD463" s="2">
        <v>0</v>
      </c>
      <c r="GE463" s="2"/>
      <c r="GF463" s="2">
        <v>998669148</v>
      </c>
      <c r="GG463" s="2">
        <v>2</v>
      </c>
      <c r="GH463" s="2">
        <v>1</v>
      </c>
      <c r="GI463" s="2">
        <v>3</v>
      </c>
      <c r="GJ463" s="2">
        <v>0</v>
      </c>
      <c r="GK463" s="2">
        <f>ROUND(R463*(R12)/100,2)</f>
        <v>0</v>
      </c>
      <c r="GL463" s="2">
        <f t="shared" si="433"/>
        <v>0</v>
      </c>
      <c r="GM463" s="2">
        <f t="shared" si="434"/>
        <v>1019.71</v>
      </c>
      <c r="GN463" s="2">
        <f t="shared" si="435"/>
        <v>0</v>
      </c>
      <c r="GO463" s="2">
        <f t="shared" si="436"/>
        <v>1019.71</v>
      </c>
      <c r="GP463" s="2">
        <f t="shared" si="437"/>
        <v>0</v>
      </c>
      <c r="GQ463" s="2"/>
      <c r="GR463" s="2">
        <v>0</v>
      </c>
      <c r="GS463" s="2">
        <v>3</v>
      </c>
      <c r="GT463" s="2">
        <v>0</v>
      </c>
      <c r="GU463" s="2" t="s">
        <v>3</v>
      </c>
      <c r="GV463" s="2">
        <f t="shared" si="438"/>
        <v>0</v>
      </c>
      <c r="GW463" s="2">
        <v>1</v>
      </c>
      <c r="GX463" s="2">
        <f t="shared" si="439"/>
        <v>0</v>
      </c>
      <c r="GY463" s="2"/>
      <c r="GZ463" s="2"/>
      <c r="HA463" s="2">
        <v>0</v>
      </c>
      <c r="HB463" s="2">
        <v>0</v>
      </c>
      <c r="HC463" s="2"/>
      <c r="HD463" s="2"/>
      <c r="HE463" s="2"/>
      <c r="HF463" s="2"/>
      <c r="HG463" s="2"/>
      <c r="HH463" s="2"/>
      <c r="HI463" s="2"/>
      <c r="HJ463" s="2"/>
      <c r="HK463" s="2"/>
      <c r="HL463" s="2"/>
      <c r="HM463" s="2"/>
      <c r="HN463" s="2"/>
      <c r="HO463" s="2"/>
      <c r="HP463" s="2"/>
      <c r="HQ463" s="2"/>
      <c r="HR463" s="2"/>
      <c r="HS463" s="2"/>
      <c r="HT463" s="2"/>
      <c r="HU463" s="2"/>
      <c r="HV463" s="2"/>
      <c r="HW463" s="2"/>
      <c r="HX463" s="2"/>
      <c r="HY463" s="2"/>
      <c r="HZ463" s="2"/>
      <c r="IA463" s="2"/>
      <c r="IB463" s="2"/>
      <c r="IC463" s="2"/>
      <c r="ID463" s="2"/>
      <c r="IE463" s="2"/>
      <c r="IF463" s="2"/>
      <c r="IG463" s="2"/>
      <c r="IH463" s="2"/>
      <c r="II463" s="2"/>
      <c r="IJ463" s="2"/>
      <c r="IK463" s="2">
        <v>0</v>
      </c>
      <c r="IL463" s="2"/>
      <c r="IM463" s="2"/>
      <c r="IN463" s="2"/>
      <c r="IO463" s="2"/>
      <c r="IP463" s="2"/>
      <c r="IQ463" s="2"/>
      <c r="IR463" s="2"/>
      <c r="IS463" s="2"/>
      <c r="IT463" s="2"/>
      <c r="IU463" s="2"/>
    </row>
    <row r="464" spans="1:255" x14ac:dyDescent="0.2">
      <c r="A464">
        <v>18</v>
      </c>
      <c r="B464">
        <v>1</v>
      </c>
      <c r="C464">
        <v>406</v>
      </c>
      <c r="E464" t="s">
        <v>537</v>
      </c>
      <c r="F464" t="s">
        <v>538</v>
      </c>
      <c r="G464" t="s">
        <v>539</v>
      </c>
      <c r="H464" t="s">
        <v>503</v>
      </c>
      <c r="I464">
        <f>I460*J464</f>
        <v>6.2E-2</v>
      </c>
      <c r="J464">
        <v>6.8888888888888888E-2</v>
      </c>
      <c r="O464">
        <f t="shared" si="406"/>
        <v>3314.05</v>
      </c>
      <c r="P464">
        <f t="shared" si="407"/>
        <v>3314.05</v>
      </c>
      <c r="Q464">
        <f t="shared" si="408"/>
        <v>0</v>
      </c>
      <c r="R464">
        <f t="shared" si="409"/>
        <v>0</v>
      </c>
      <c r="S464">
        <f t="shared" si="410"/>
        <v>0</v>
      </c>
      <c r="T464">
        <f t="shared" si="411"/>
        <v>0</v>
      </c>
      <c r="U464">
        <f t="shared" si="412"/>
        <v>0</v>
      </c>
      <c r="V464">
        <f t="shared" si="413"/>
        <v>0</v>
      </c>
      <c r="W464">
        <f t="shared" si="414"/>
        <v>0</v>
      </c>
      <c r="X464">
        <f t="shared" si="415"/>
        <v>0</v>
      </c>
      <c r="Y464">
        <f t="shared" si="416"/>
        <v>0</v>
      </c>
      <c r="AA464">
        <v>45037307</v>
      </c>
      <c r="AB464">
        <f t="shared" si="417"/>
        <v>16446.900000000001</v>
      </c>
      <c r="AC464">
        <f t="shared" si="418"/>
        <v>16446.900000000001</v>
      </c>
      <c r="AD464">
        <f t="shared" si="442"/>
        <v>0</v>
      </c>
      <c r="AE464">
        <f t="shared" si="442"/>
        <v>0</v>
      </c>
      <c r="AF464">
        <f t="shared" si="442"/>
        <v>0</v>
      </c>
      <c r="AG464">
        <f t="shared" si="419"/>
        <v>0</v>
      </c>
      <c r="AH464">
        <f t="shared" si="443"/>
        <v>0</v>
      </c>
      <c r="AI464">
        <f t="shared" si="443"/>
        <v>0</v>
      </c>
      <c r="AJ464">
        <f t="shared" si="420"/>
        <v>0</v>
      </c>
      <c r="AK464">
        <v>16446.900000000001</v>
      </c>
      <c r="AL464">
        <v>16446.900000000001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0</v>
      </c>
      <c r="AU464">
        <v>0</v>
      </c>
      <c r="AV464">
        <v>1</v>
      </c>
      <c r="AW464">
        <v>1</v>
      </c>
      <c r="AZ464">
        <v>1</v>
      </c>
      <c r="BA464">
        <v>1</v>
      </c>
      <c r="BB464">
        <v>1</v>
      </c>
      <c r="BC464">
        <v>3.25</v>
      </c>
      <c r="BD464" t="s">
        <v>3</v>
      </c>
      <c r="BE464" t="s">
        <v>3</v>
      </c>
      <c r="BF464" t="s">
        <v>3</v>
      </c>
      <c r="BG464" t="s">
        <v>3</v>
      </c>
      <c r="BH464">
        <v>3</v>
      </c>
      <c r="BI464">
        <v>2</v>
      </c>
      <c r="BJ464" t="s">
        <v>540</v>
      </c>
      <c r="BM464">
        <v>331</v>
      </c>
      <c r="BN464">
        <v>7156650</v>
      </c>
      <c r="BO464" t="s">
        <v>538</v>
      </c>
      <c r="BP464">
        <v>1</v>
      </c>
      <c r="BQ464">
        <v>40</v>
      </c>
      <c r="BR464">
        <v>0</v>
      </c>
      <c r="BS464">
        <v>1</v>
      </c>
      <c r="BT464">
        <v>1</v>
      </c>
      <c r="BU464">
        <v>1</v>
      </c>
      <c r="BV464">
        <v>1</v>
      </c>
      <c r="BW464">
        <v>1</v>
      </c>
      <c r="BX464">
        <v>1</v>
      </c>
      <c r="BY464" t="s">
        <v>3</v>
      </c>
      <c r="BZ464">
        <v>0</v>
      </c>
      <c r="CA464">
        <v>0</v>
      </c>
      <c r="CF464">
        <v>0</v>
      </c>
      <c r="CG464">
        <v>0</v>
      </c>
      <c r="CM464">
        <v>0</v>
      </c>
      <c r="CN464" t="s">
        <v>3</v>
      </c>
      <c r="CO464">
        <v>0</v>
      </c>
      <c r="CP464">
        <f t="shared" si="421"/>
        <v>3314.05</v>
      </c>
      <c r="CQ464">
        <f t="shared" si="422"/>
        <v>53452.425000000003</v>
      </c>
      <c r="CR464">
        <f t="shared" si="423"/>
        <v>0</v>
      </c>
      <c r="CS464">
        <f t="shared" si="424"/>
        <v>0</v>
      </c>
      <c r="CT464">
        <f t="shared" si="425"/>
        <v>0</v>
      </c>
      <c r="CU464">
        <f t="shared" si="426"/>
        <v>0</v>
      </c>
      <c r="CV464">
        <f t="shared" si="427"/>
        <v>0</v>
      </c>
      <c r="CW464">
        <f t="shared" si="428"/>
        <v>0</v>
      </c>
      <c r="CX464">
        <f t="shared" si="429"/>
        <v>0</v>
      </c>
      <c r="CY464">
        <f t="shared" si="430"/>
        <v>0</v>
      </c>
      <c r="CZ464">
        <f t="shared" si="431"/>
        <v>0</v>
      </c>
      <c r="DC464" t="s">
        <v>3</v>
      </c>
      <c r="DD464" t="s">
        <v>3</v>
      </c>
      <c r="DE464" t="s">
        <v>3</v>
      </c>
      <c r="DF464" t="s">
        <v>3</v>
      </c>
      <c r="DG464" t="s">
        <v>3</v>
      </c>
      <c r="DH464" t="s">
        <v>3</v>
      </c>
      <c r="DI464" t="s">
        <v>3</v>
      </c>
      <c r="DJ464" t="s">
        <v>3</v>
      </c>
      <c r="DK464" t="s">
        <v>3</v>
      </c>
      <c r="DL464" t="s">
        <v>3</v>
      </c>
      <c r="DM464" t="s">
        <v>3</v>
      </c>
      <c r="DN464">
        <v>114</v>
      </c>
      <c r="DO464">
        <v>67</v>
      </c>
      <c r="DP464">
        <v>1.0469999999999999</v>
      </c>
      <c r="DQ464">
        <v>1</v>
      </c>
      <c r="DU464">
        <v>1003</v>
      </c>
      <c r="DV464" t="s">
        <v>503</v>
      </c>
      <c r="DW464" t="s">
        <v>503</v>
      </c>
      <c r="DX464">
        <v>1000</v>
      </c>
      <c r="EE464">
        <v>44846838</v>
      </c>
      <c r="EF464">
        <v>40</v>
      </c>
      <c r="EG464" t="s">
        <v>453</v>
      </c>
      <c r="EH464">
        <v>0</v>
      </c>
      <c r="EI464" t="s">
        <v>3</v>
      </c>
      <c r="EJ464">
        <v>2</v>
      </c>
      <c r="EK464">
        <v>331</v>
      </c>
      <c r="EL464" t="s">
        <v>499</v>
      </c>
      <c r="EM464" t="s">
        <v>500</v>
      </c>
      <c r="EO464" t="s">
        <v>3</v>
      </c>
      <c r="EQ464">
        <v>0</v>
      </c>
      <c r="ER464">
        <v>16446.900000000001</v>
      </c>
      <c r="ES464">
        <v>16446.900000000001</v>
      </c>
      <c r="ET464">
        <v>0</v>
      </c>
      <c r="EU464">
        <v>0</v>
      </c>
      <c r="EV464">
        <v>0</v>
      </c>
      <c r="EW464">
        <v>0</v>
      </c>
      <c r="EX464">
        <v>0</v>
      </c>
      <c r="FQ464">
        <v>0</v>
      </c>
      <c r="FR464">
        <f t="shared" si="432"/>
        <v>0</v>
      </c>
      <c r="FS464">
        <v>0</v>
      </c>
      <c r="FX464">
        <v>114</v>
      </c>
      <c r="FY464">
        <v>67</v>
      </c>
      <c r="GA464" t="s">
        <v>3</v>
      </c>
      <c r="GD464">
        <v>0</v>
      </c>
      <c r="GF464">
        <v>998669148</v>
      </c>
      <c r="GG464">
        <v>2</v>
      </c>
      <c r="GH464">
        <v>1</v>
      </c>
      <c r="GI464">
        <v>3</v>
      </c>
      <c r="GJ464">
        <v>0</v>
      </c>
      <c r="GK464">
        <f>ROUND(R464*(S12)/100,2)</f>
        <v>0</v>
      </c>
      <c r="GL464">
        <f t="shared" si="433"/>
        <v>0</v>
      </c>
      <c r="GM464">
        <f t="shared" si="434"/>
        <v>3314.05</v>
      </c>
      <c r="GN464">
        <f t="shared" si="435"/>
        <v>0</v>
      </c>
      <c r="GO464">
        <f t="shared" si="436"/>
        <v>3314.05</v>
      </c>
      <c r="GP464">
        <f t="shared" si="437"/>
        <v>0</v>
      </c>
      <c r="GR464">
        <v>0</v>
      </c>
      <c r="GS464">
        <v>3</v>
      </c>
      <c r="GT464">
        <v>0</v>
      </c>
      <c r="GU464" t="s">
        <v>3</v>
      </c>
      <c r="GV464">
        <f t="shared" si="438"/>
        <v>0</v>
      </c>
      <c r="GW464">
        <v>1</v>
      </c>
      <c r="GX464">
        <f t="shared" si="439"/>
        <v>0</v>
      </c>
      <c r="HA464">
        <v>0</v>
      </c>
      <c r="HB464">
        <v>0</v>
      </c>
      <c r="IK464">
        <v>0</v>
      </c>
    </row>
    <row r="465" spans="1:255" x14ac:dyDescent="0.2">
      <c r="A465" s="2">
        <v>17</v>
      </c>
      <c r="B465" s="2">
        <v>1</v>
      </c>
      <c r="C465" s="2">
        <f>ROW(SmtRes!A409)</f>
        <v>409</v>
      </c>
      <c r="D465" s="2">
        <f>ROW(EtalonRes!A393)</f>
        <v>393</v>
      </c>
      <c r="E465" s="2" t="s">
        <v>541</v>
      </c>
      <c r="F465" s="2" t="s">
        <v>542</v>
      </c>
      <c r="G465" s="2" t="s">
        <v>543</v>
      </c>
      <c r="H465" s="2" t="s">
        <v>463</v>
      </c>
      <c r="I465" s="2">
        <f>ROUND(2/100,9)</f>
        <v>0.02</v>
      </c>
      <c r="J465" s="2">
        <v>0</v>
      </c>
      <c r="K465" s="2"/>
      <c r="L465" s="2"/>
      <c r="M465" s="2"/>
      <c r="N465" s="2"/>
      <c r="O465" s="2">
        <f t="shared" si="406"/>
        <v>9.19</v>
      </c>
      <c r="P465" s="2">
        <f t="shared" si="407"/>
        <v>0.15</v>
      </c>
      <c r="Q465" s="2">
        <f t="shared" si="408"/>
        <v>7.0000000000000007E-2</v>
      </c>
      <c r="R465" s="2">
        <f t="shared" si="409"/>
        <v>0.02</v>
      </c>
      <c r="S465" s="2">
        <f t="shared" si="410"/>
        <v>8.9700000000000006</v>
      </c>
      <c r="T465" s="2">
        <f t="shared" si="411"/>
        <v>0</v>
      </c>
      <c r="U465" s="2">
        <f t="shared" si="412"/>
        <v>0.69000000000000006</v>
      </c>
      <c r="V465" s="2">
        <f t="shared" si="413"/>
        <v>0</v>
      </c>
      <c r="W465" s="2">
        <f t="shared" si="414"/>
        <v>0</v>
      </c>
      <c r="X465" s="2">
        <f t="shared" si="415"/>
        <v>0</v>
      </c>
      <c r="Y465" s="2">
        <f t="shared" si="416"/>
        <v>0</v>
      </c>
      <c r="Z465" s="2"/>
      <c r="AA465" s="2">
        <v>45037306</v>
      </c>
      <c r="AB465" s="2">
        <f t="shared" si="417"/>
        <v>459.44749999999999</v>
      </c>
      <c r="AC465" s="2">
        <f t="shared" si="418"/>
        <v>7.56</v>
      </c>
      <c r="AD465" s="2">
        <f>ROUND(((ET465*1.25)),6)</f>
        <v>3.3875000000000002</v>
      </c>
      <c r="AE465" s="2">
        <f>ROUND(((EU465*1.25)),6)</f>
        <v>0.78749999999999998</v>
      </c>
      <c r="AF465" s="2">
        <f>ROUND(((EV465*1.15)),6)</f>
        <v>448.5</v>
      </c>
      <c r="AG465" s="2">
        <f t="shared" si="419"/>
        <v>0</v>
      </c>
      <c r="AH465" s="2">
        <f>((EW465*1.15))</f>
        <v>34.5</v>
      </c>
      <c r="AI465" s="2">
        <f>((EX465*1.25))</f>
        <v>0</v>
      </c>
      <c r="AJ465" s="2">
        <f t="shared" si="420"/>
        <v>0</v>
      </c>
      <c r="AK465" s="2">
        <v>400.27</v>
      </c>
      <c r="AL465" s="2">
        <v>7.56</v>
      </c>
      <c r="AM465" s="2">
        <v>2.71</v>
      </c>
      <c r="AN465" s="2">
        <v>0.63</v>
      </c>
      <c r="AO465" s="2">
        <v>390</v>
      </c>
      <c r="AP465" s="2">
        <v>0</v>
      </c>
      <c r="AQ465" s="2">
        <v>30</v>
      </c>
      <c r="AR465" s="2">
        <v>0</v>
      </c>
      <c r="AS465" s="2">
        <v>0</v>
      </c>
      <c r="AT465" s="2">
        <v>0</v>
      </c>
      <c r="AU465" s="2">
        <v>0</v>
      </c>
      <c r="AV465" s="2">
        <v>1</v>
      </c>
      <c r="AW465" s="2">
        <v>1</v>
      </c>
      <c r="AX465" s="2"/>
      <c r="AY465" s="2"/>
      <c r="AZ465" s="2">
        <v>1</v>
      </c>
      <c r="BA465" s="2">
        <v>1</v>
      </c>
      <c r="BB465" s="2">
        <v>1</v>
      </c>
      <c r="BC465" s="2">
        <v>1</v>
      </c>
      <c r="BD465" s="2" t="s">
        <v>3</v>
      </c>
      <c r="BE465" s="2" t="s">
        <v>3</v>
      </c>
      <c r="BF465" s="2" t="s">
        <v>3</v>
      </c>
      <c r="BG465" s="2" t="s">
        <v>3</v>
      </c>
      <c r="BH465" s="2">
        <v>0</v>
      </c>
      <c r="BI465" s="2">
        <v>2</v>
      </c>
      <c r="BJ465" s="2" t="s">
        <v>544</v>
      </c>
      <c r="BK465" s="2"/>
      <c r="BL465" s="2"/>
      <c r="BM465" s="2">
        <v>333</v>
      </c>
      <c r="BN465" s="2">
        <v>7156650</v>
      </c>
      <c r="BO465" s="2" t="s">
        <v>3</v>
      </c>
      <c r="BP465" s="2">
        <v>0</v>
      </c>
      <c r="BQ465" s="2">
        <v>40</v>
      </c>
      <c r="BR465" s="2">
        <v>0</v>
      </c>
      <c r="BS465" s="2">
        <v>1</v>
      </c>
      <c r="BT465" s="2">
        <v>1</v>
      </c>
      <c r="BU465" s="2">
        <v>1</v>
      </c>
      <c r="BV465" s="2">
        <v>1</v>
      </c>
      <c r="BW465" s="2">
        <v>1</v>
      </c>
      <c r="BX465" s="2">
        <v>1</v>
      </c>
      <c r="BY465" s="2" t="s">
        <v>3</v>
      </c>
      <c r="BZ465" s="2">
        <v>0</v>
      </c>
      <c r="CA465" s="2">
        <v>0</v>
      </c>
      <c r="CB465" s="2"/>
      <c r="CC465" s="2"/>
      <c r="CD465" s="2"/>
      <c r="CE465" s="2"/>
      <c r="CF465" s="2">
        <v>0</v>
      </c>
      <c r="CG465" s="2">
        <v>0</v>
      </c>
      <c r="CH465" s="2"/>
      <c r="CI465" s="2"/>
      <c r="CJ465" s="2"/>
      <c r="CK465" s="2"/>
      <c r="CL465" s="2"/>
      <c r="CM465" s="2">
        <v>0</v>
      </c>
      <c r="CN465" s="2" t="s">
        <v>3</v>
      </c>
      <c r="CO465" s="2">
        <v>0</v>
      </c>
      <c r="CP465" s="2">
        <f t="shared" si="421"/>
        <v>9.1900000000000013</v>
      </c>
      <c r="CQ465" s="2">
        <f t="shared" si="422"/>
        <v>7.56</v>
      </c>
      <c r="CR465" s="2">
        <f t="shared" si="423"/>
        <v>3.3875000000000002</v>
      </c>
      <c r="CS465" s="2">
        <f t="shared" si="424"/>
        <v>0.78749999999999998</v>
      </c>
      <c r="CT465" s="2">
        <f t="shared" si="425"/>
        <v>448.5</v>
      </c>
      <c r="CU465" s="2">
        <f t="shared" si="426"/>
        <v>0</v>
      </c>
      <c r="CV465" s="2">
        <f t="shared" si="427"/>
        <v>34.5</v>
      </c>
      <c r="CW465" s="2">
        <f t="shared" si="428"/>
        <v>0</v>
      </c>
      <c r="CX465" s="2">
        <f t="shared" si="429"/>
        <v>0</v>
      </c>
      <c r="CY465" s="2">
        <f t="shared" si="430"/>
        <v>0</v>
      </c>
      <c r="CZ465" s="2">
        <f t="shared" si="431"/>
        <v>0</v>
      </c>
      <c r="DA465" s="2"/>
      <c r="DB465" s="2"/>
      <c r="DC465" s="2" t="s">
        <v>3</v>
      </c>
      <c r="DD465" s="2" t="s">
        <v>3</v>
      </c>
      <c r="DE465" s="2" t="s">
        <v>36</v>
      </c>
      <c r="DF465" s="2" t="s">
        <v>36</v>
      </c>
      <c r="DG465" s="2" t="s">
        <v>37</v>
      </c>
      <c r="DH465" s="2" t="s">
        <v>3</v>
      </c>
      <c r="DI465" s="2" t="s">
        <v>37</v>
      </c>
      <c r="DJ465" s="2" t="s">
        <v>36</v>
      </c>
      <c r="DK465" s="2" t="s">
        <v>3</v>
      </c>
      <c r="DL465" s="2" t="s">
        <v>3</v>
      </c>
      <c r="DM465" s="2" t="s">
        <v>3</v>
      </c>
      <c r="DN465" s="2">
        <v>114</v>
      </c>
      <c r="DO465" s="2">
        <v>67</v>
      </c>
      <c r="DP465" s="2">
        <v>1.0469999999999999</v>
      </c>
      <c r="DQ465" s="2">
        <v>1</v>
      </c>
      <c r="DR465" s="2"/>
      <c r="DS465" s="2"/>
      <c r="DT465" s="2"/>
      <c r="DU465" s="2">
        <v>1010</v>
      </c>
      <c r="DV465" s="2" t="s">
        <v>463</v>
      </c>
      <c r="DW465" s="2" t="s">
        <v>463</v>
      </c>
      <c r="DX465" s="2">
        <v>100</v>
      </c>
      <c r="DY465" s="2"/>
      <c r="DZ465" s="2"/>
      <c r="EA465" s="2"/>
      <c r="EB465" s="2"/>
      <c r="EC465" s="2"/>
      <c r="ED465" s="2"/>
      <c r="EE465" s="2">
        <v>44846840</v>
      </c>
      <c r="EF465" s="2">
        <v>40</v>
      </c>
      <c r="EG465" s="2" t="s">
        <v>453</v>
      </c>
      <c r="EH465" s="2">
        <v>0</v>
      </c>
      <c r="EI465" s="2" t="s">
        <v>3</v>
      </c>
      <c r="EJ465" s="2">
        <v>2</v>
      </c>
      <c r="EK465" s="2">
        <v>333</v>
      </c>
      <c r="EL465" s="2" t="s">
        <v>465</v>
      </c>
      <c r="EM465" s="2" t="s">
        <v>466</v>
      </c>
      <c r="EN465" s="2"/>
      <c r="EO465" s="2" t="s">
        <v>3</v>
      </c>
      <c r="EP465" s="2"/>
      <c r="EQ465" s="2">
        <v>131072</v>
      </c>
      <c r="ER465" s="2">
        <v>400.27</v>
      </c>
      <c r="ES465" s="2">
        <v>7.56</v>
      </c>
      <c r="ET465" s="2">
        <v>2.71</v>
      </c>
      <c r="EU465" s="2">
        <v>0.63</v>
      </c>
      <c r="EV465" s="2">
        <v>390</v>
      </c>
      <c r="EW465" s="2">
        <v>30</v>
      </c>
      <c r="EX465" s="2">
        <v>0</v>
      </c>
      <c r="EY465" s="2">
        <v>0</v>
      </c>
      <c r="EZ465" s="2"/>
      <c r="FA465" s="2"/>
      <c r="FB465" s="2"/>
      <c r="FC465" s="2"/>
      <c r="FD465" s="2"/>
      <c r="FE465" s="2"/>
      <c r="FF465" s="2"/>
      <c r="FG465" s="2"/>
      <c r="FH465" s="2"/>
      <c r="FI465" s="2"/>
      <c r="FJ465" s="2"/>
      <c r="FK465" s="2"/>
      <c r="FL465" s="2"/>
      <c r="FM465" s="2"/>
      <c r="FN465" s="2"/>
      <c r="FO465" s="2"/>
      <c r="FP465" s="2"/>
      <c r="FQ465" s="2">
        <v>0</v>
      </c>
      <c r="FR465" s="2">
        <f t="shared" si="432"/>
        <v>0</v>
      </c>
      <c r="FS465" s="2">
        <v>0</v>
      </c>
      <c r="FT465" s="2"/>
      <c r="FU465" s="2"/>
      <c r="FV465" s="2"/>
      <c r="FW465" s="2"/>
      <c r="FX465" s="2">
        <v>114</v>
      </c>
      <c r="FY465" s="2">
        <v>67</v>
      </c>
      <c r="FZ465" s="2"/>
      <c r="GA465" s="2" t="s">
        <v>3</v>
      </c>
      <c r="GB465" s="2"/>
      <c r="GC465" s="2"/>
      <c r="GD465" s="2">
        <v>0</v>
      </c>
      <c r="GE465" s="2"/>
      <c r="GF465" s="2">
        <v>-1150591238</v>
      </c>
      <c r="GG465" s="2">
        <v>2</v>
      </c>
      <c r="GH465" s="2">
        <v>1</v>
      </c>
      <c r="GI465" s="2">
        <v>3</v>
      </c>
      <c r="GJ465" s="2">
        <v>0</v>
      </c>
      <c r="GK465" s="2">
        <f>ROUND(R465*(R12)/100,2)</f>
        <v>0.04</v>
      </c>
      <c r="GL465" s="2">
        <f t="shared" si="433"/>
        <v>0</v>
      </c>
      <c r="GM465" s="2">
        <f t="shared" si="434"/>
        <v>9.23</v>
      </c>
      <c r="GN465" s="2">
        <f t="shared" si="435"/>
        <v>0</v>
      </c>
      <c r="GO465" s="2">
        <f t="shared" si="436"/>
        <v>9.23</v>
      </c>
      <c r="GP465" s="2">
        <f t="shared" si="437"/>
        <v>0</v>
      </c>
      <c r="GQ465" s="2"/>
      <c r="GR465" s="2">
        <v>0</v>
      </c>
      <c r="GS465" s="2">
        <v>3</v>
      </c>
      <c r="GT465" s="2">
        <v>0</v>
      </c>
      <c r="GU465" s="2" t="s">
        <v>3</v>
      </c>
      <c r="GV465" s="2">
        <f t="shared" si="438"/>
        <v>0</v>
      </c>
      <c r="GW465" s="2">
        <v>1</v>
      </c>
      <c r="GX465" s="2">
        <f t="shared" si="439"/>
        <v>0</v>
      </c>
      <c r="GY465" s="2"/>
      <c r="GZ465" s="2"/>
      <c r="HA465" s="2">
        <v>0</v>
      </c>
      <c r="HB465" s="2">
        <v>0</v>
      </c>
      <c r="HC465" s="2"/>
      <c r="HD465" s="2"/>
      <c r="HE465" s="2"/>
      <c r="HF465" s="2"/>
      <c r="HG465" s="2"/>
      <c r="HH465" s="2"/>
      <c r="HI465" s="2"/>
      <c r="HJ465" s="2"/>
      <c r="HK465" s="2"/>
      <c r="HL465" s="2"/>
      <c r="HM465" s="2"/>
      <c r="HN465" s="2"/>
      <c r="HO465" s="2"/>
      <c r="HP465" s="2"/>
      <c r="HQ465" s="2"/>
      <c r="HR465" s="2"/>
      <c r="HS465" s="2"/>
      <c r="HT465" s="2"/>
      <c r="HU465" s="2"/>
      <c r="HV465" s="2"/>
      <c r="HW465" s="2"/>
      <c r="HX465" s="2"/>
      <c r="HY465" s="2"/>
      <c r="HZ465" s="2"/>
      <c r="IA465" s="2"/>
      <c r="IB465" s="2"/>
      <c r="IC465" s="2"/>
      <c r="ID465" s="2"/>
      <c r="IE465" s="2"/>
      <c r="IF465" s="2"/>
      <c r="IG465" s="2"/>
      <c r="IH465" s="2"/>
      <c r="II465" s="2"/>
      <c r="IJ465" s="2"/>
      <c r="IK465" s="2">
        <v>0</v>
      </c>
      <c r="IL465" s="2"/>
      <c r="IM465" s="2"/>
      <c r="IN465" s="2"/>
      <c r="IO465" s="2"/>
      <c r="IP465" s="2"/>
      <c r="IQ465" s="2"/>
      <c r="IR465" s="2"/>
      <c r="IS465" s="2"/>
      <c r="IT465" s="2"/>
      <c r="IU465" s="2"/>
    </row>
    <row r="466" spans="1:255" x14ac:dyDescent="0.2">
      <c r="A466">
        <v>17</v>
      </c>
      <c r="B466">
        <v>1</v>
      </c>
      <c r="C466">
        <f>ROW(SmtRes!A412)</f>
        <v>412</v>
      </c>
      <c r="D466">
        <f>ROW(EtalonRes!A394)</f>
        <v>394</v>
      </c>
      <c r="E466" t="s">
        <v>541</v>
      </c>
      <c r="F466" t="s">
        <v>542</v>
      </c>
      <c r="G466" t="s">
        <v>543</v>
      </c>
      <c r="H466" t="s">
        <v>463</v>
      </c>
      <c r="I466">
        <f>ROUND(2/100,9)</f>
        <v>0.02</v>
      </c>
      <c r="J466">
        <v>0</v>
      </c>
      <c r="O466">
        <f t="shared" si="406"/>
        <v>184.38</v>
      </c>
      <c r="P466">
        <f t="shared" si="407"/>
        <v>0.79</v>
      </c>
      <c r="Q466">
        <f t="shared" si="408"/>
        <v>0.6</v>
      </c>
      <c r="R466">
        <f t="shared" si="409"/>
        <v>0.32</v>
      </c>
      <c r="S466">
        <f t="shared" si="410"/>
        <v>182.99</v>
      </c>
      <c r="T466">
        <f t="shared" si="411"/>
        <v>0</v>
      </c>
      <c r="U466">
        <f t="shared" si="412"/>
        <v>0.69000000000000006</v>
      </c>
      <c r="V466">
        <f t="shared" si="413"/>
        <v>0</v>
      </c>
      <c r="W466">
        <f t="shared" si="414"/>
        <v>0</v>
      </c>
      <c r="X466">
        <f t="shared" si="415"/>
        <v>140.9</v>
      </c>
      <c r="Y466">
        <f t="shared" si="416"/>
        <v>75.03</v>
      </c>
      <c r="AA466">
        <v>45037307</v>
      </c>
      <c r="AB466">
        <f t="shared" si="417"/>
        <v>459.44749999999999</v>
      </c>
      <c r="AC466">
        <f t="shared" si="418"/>
        <v>7.56</v>
      </c>
      <c r="AD466">
        <f>ROUND(((ET466*1.25)),6)</f>
        <v>3.3875000000000002</v>
      </c>
      <c r="AE466">
        <f>ROUND(((EU466*1.25)),6)</f>
        <v>0.78749999999999998</v>
      </c>
      <c r="AF466">
        <f>ROUND(((EV466*1.15)),6)</f>
        <v>448.5</v>
      </c>
      <c r="AG466">
        <f t="shared" si="419"/>
        <v>0</v>
      </c>
      <c r="AH466">
        <f>((EW466*1.15))</f>
        <v>34.5</v>
      </c>
      <c r="AI466">
        <f>((EX466*1.25))</f>
        <v>0</v>
      </c>
      <c r="AJ466">
        <f t="shared" si="420"/>
        <v>0</v>
      </c>
      <c r="AK466">
        <v>400.27</v>
      </c>
      <c r="AL466">
        <v>7.56</v>
      </c>
      <c r="AM466">
        <v>2.71</v>
      </c>
      <c r="AN466">
        <v>0.63</v>
      </c>
      <c r="AO466">
        <v>390</v>
      </c>
      <c r="AP466">
        <v>0</v>
      </c>
      <c r="AQ466">
        <v>30</v>
      </c>
      <c r="AR466">
        <v>0</v>
      </c>
      <c r="AS466">
        <v>0</v>
      </c>
      <c r="AT466">
        <v>77</v>
      </c>
      <c r="AU466">
        <v>41</v>
      </c>
      <c r="AV466">
        <v>1</v>
      </c>
      <c r="AW466">
        <v>1</v>
      </c>
      <c r="AZ466">
        <v>1</v>
      </c>
      <c r="BA466">
        <v>20.399999999999999</v>
      </c>
      <c r="BB466">
        <v>8.89</v>
      </c>
      <c r="BC466">
        <v>5.23</v>
      </c>
      <c r="BD466" t="s">
        <v>3</v>
      </c>
      <c r="BE466" t="s">
        <v>3</v>
      </c>
      <c r="BF466" t="s">
        <v>3</v>
      </c>
      <c r="BG466" t="s">
        <v>3</v>
      </c>
      <c r="BH466">
        <v>0</v>
      </c>
      <c r="BI466">
        <v>2</v>
      </c>
      <c r="BJ466" t="s">
        <v>544</v>
      </c>
      <c r="BM466">
        <v>333</v>
      </c>
      <c r="BN466">
        <v>7156650</v>
      </c>
      <c r="BO466" t="s">
        <v>542</v>
      </c>
      <c r="BP466">
        <v>1</v>
      </c>
      <c r="BQ466">
        <v>40</v>
      </c>
      <c r="BR466">
        <v>0</v>
      </c>
      <c r="BS466">
        <v>20.399999999999999</v>
      </c>
      <c r="BT466">
        <v>1</v>
      </c>
      <c r="BU466">
        <v>1</v>
      </c>
      <c r="BV466">
        <v>1</v>
      </c>
      <c r="BW466">
        <v>1</v>
      </c>
      <c r="BX466">
        <v>1</v>
      </c>
      <c r="BY466" t="s">
        <v>3</v>
      </c>
      <c r="BZ466">
        <v>77</v>
      </c>
      <c r="CA466">
        <v>41</v>
      </c>
      <c r="CF466">
        <v>0</v>
      </c>
      <c r="CG466">
        <v>0</v>
      </c>
      <c r="CM466">
        <v>0</v>
      </c>
      <c r="CN466" t="s">
        <v>3</v>
      </c>
      <c r="CO466">
        <v>0</v>
      </c>
      <c r="CP466">
        <f t="shared" si="421"/>
        <v>184.38</v>
      </c>
      <c r="CQ466">
        <f t="shared" si="422"/>
        <v>39.538800000000002</v>
      </c>
      <c r="CR466">
        <f t="shared" si="423"/>
        <v>30.114875000000005</v>
      </c>
      <c r="CS466">
        <f t="shared" si="424"/>
        <v>16.064999999999998</v>
      </c>
      <c r="CT466">
        <f t="shared" si="425"/>
        <v>9149.4</v>
      </c>
      <c r="CU466">
        <f t="shared" si="426"/>
        <v>0</v>
      </c>
      <c r="CV466">
        <f t="shared" si="427"/>
        <v>34.5</v>
      </c>
      <c r="CW466">
        <f t="shared" si="428"/>
        <v>0</v>
      </c>
      <c r="CX466">
        <f t="shared" si="429"/>
        <v>0</v>
      </c>
      <c r="CY466">
        <f t="shared" si="430"/>
        <v>140.9023</v>
      </c>
      <c r="CZ466">
        <f t="shared" si="431"/>
        <v>75.025899999999993</v>
      </c>
      <c r="DC466" t="s">
        <v>3</v>
      </c>
      <c r="DD466" t="s">
        <v>3</v>
      </c>
      <c r="DE466" t="s">
        <v>36</v>
      </c>
      <c r="DF466" t="s">
        <v>36</v>
      </c>
      <c r="DG466" t="s">
        <v>37</v>
      </c>
      <c r="DH466" t="s">
        <v>3</v>
      </c>
      <c r="DI466" t="s">
        <v>37</v>
      </c>
      <c r="DJ466" t="s">
        <v>36</v>
      </c>
      <c r="DK466" t="s">
        <v>3</v>
      </c>
      <c r="DL466" t="s">
        <v>3</v>
      </c>
      <c r="DM466" t="s">
        <v>3</v>
      </c>
      <c r="DN466">
        <v>114</v>
      </c>
      <c r="DO466">
        <v>67</v>
      </c>
      <c r="DP466">
        <v>1.0469999999999999</v>
      </c>
      <c r="DQ466">
        <v>1</v>
      </c>
      <c r="DU466">
        <v>1010</v>
      </c>
      <c r="DV466" t="s">
        <v>463</v>
      </c>
      <c r="DW466" t="s">
        <v>463</v>
      </c>
      <c r="DX466">
        <v>100</v>
      </c>
      <c r="EE466">
        <v>44846840</v>
      </c>
      <c r="EF466">
        <v>40</v>
      </c>
      <c r="EG466" t="s">
        <v>453</v>
      </c>
      <c r="EH466">
        <v>0</v>
      </c>
      <c r="EI466" t="s">
        <v>3</v>
      </c>
      <c r="EJ466">
        <v>2</v>
      </c>
      <c r="EK466">
        <v>333</v>
      </c>
      <c r="EL466" t="s">
        <v>465</v>
      </c>
      <c r="EM466" t="s">
        <v>466</v>
      </c>
      <c r="EO466" t="s">
        <v>3</v>
      </c>
      <c r="EQ466">
        <v>131072</v>
      </c>
      <c r="ER466">
        <v>400.27</v>
      </c>
      <c r="ES466">
        <v>7.56</v>
      </c>
      <c r="ET466">
        <v>2.71</v>
      </c>
      <c r="EU466">
        <v>0.63</v>
      </c>
      <c r="EV466">
        <v>390</v>
      </c>
      <c r="EW466">
        <v>30</v>
      </c>
      <c r="EX466">
        <v>0</v>
      </c>
      <c r="EY466">
        <v>0</v>
      </c>
      <c r="FQ466">
        <v>0</v>
      </c>
      <c r="FR466">
        <f t="shared" si="432"/>
        <v>0</v>
      </c>
      <c r="FS466">
        <v>0</v>
      </c>
      <c r="FX466">
        <v>114</v>
      </c>
      <c r="FY466">
        <v>67</v>
      </c>
      <c r="GA466" t="s">
        <v>3</v>
      </c>
      <c r="GD466">
        <v>0</v>
      </c>
      <c r="GF466">
        <v>-1150591238</v>
      </c>
      <c r="GG466">
        <v>2</v>
      </c>
      <c r="GH466">
        <v>1</v>
      </c>
      <c r="GI466">
        <v>3</v>
      </c>
      <c r="GJ466">
        <v>0</v>
      </c>
      <c r="GK466">
        <f>ROUND(R466*(S12)/100,2)</f>
        <v>0.54</v>
      </c>
      <c r="GL466">
        <f t="shared" si="433"/>
        <v>0</v>
      </c>
      <c r="GM466">
        <f t="shared" si="434"/>
        <v>400.85</v>
      </c>
      <c r="GN466">
        <f t="shared" si="435"/>
        <v>0</v>
      </c>
      <c r="GO466">
        <f t="shared" si="436"/>
        <v>400.85</v>
      </c>
      <c r="GP466">
        <f t="shared" si="437"/>
        <v>0</v>
      </c>
      <c r="GR466">
        <v>0</v>
      </c>
      <c r="GS466">
        <v>3</v>
      </c>
      <c r="GT466">
        <v>0</v>
      </c>
      <c r="GU466" t="s">
        <v>3</v>
      </c>
      <c r="GV466">
        <f t="shared" si="438"/>
        <v>0</v>
      </c>
      <c r="GW466">
        <v>1</v>
      </c>
      <c r="GX466">
        <f t="shared" si="439"/>
        <v>0</v>
      </c>
      <c r="HA466">
        <v>0</v>
      </c>
      <c r="HB466">
        <v>0</v>
      </c>
      <c r="IK466">
        <v>0</v>
      </c>
    </row>
    <row r="467" spans="1:255" x14ac:dyDescent="0.2">
      <c r="A467" s="2">
        <v>18</v>
      </c>
      <c r="B467" s="2">
        <v>1</v>
      </c>
      <c r="C467" s="2">
        <v>408</v>
      </c>
      <c r="D467" s="2"/>
      <c r="E467" s="2" t="s">
        <v>545</v>
      </c>
      <c r="F467" s="2" t="s">
        <v>546</v>
      </c>
      <c r="G467" s="2" t="s">
        <v>547</v>
      </c>
      <c r="H467" s="2" t="s">
        <v>304</v>
      </c>
      <c r="I467" s="2">
        <f>I465*J467</f>
        <v>2</v>
      </c>
      <c r="J467" s="2">
        <v>100</v>
      </c>
      <c r="K467" s="2"/>
      <c r="L467" s="2"/>
      <c r="M467" s="2"/>
      <c r="N467" s="2"/>
      <c r="O467" s="2">
        <f t="shared" si="406"/>
        <v>27.14</v>
      </c>
      <c r="P467" s="2">
        <f t="shared" si="407"/>
        <v>27.14</v>
      </c>
      <c r="Q467" s="2">
        <f t="shared" si="408"/>
        <v>0</v>
      </c>
      <c r="R467" s="2">
        <f t="shared" si="409"/>
        <v>0</v>
      </c>
      <c r="S467" s="2">
        <f t="shared" si="410"/>
        <v>0</v>
      </c>
      <c r="T467" s="2">
        <f t="shared" si="411"/>
        <v>0</v>
      </c>
      <c r="U467" s="2">
        <f t="shared" si="412"/>
        <v>0</v>
      </c>
      <c r="V467" s="2">
        <f t="shared" si="413"/>
        <v>0</v>
      </c>
      <c r="W467" s="2">
        <f t="shared" si="414"/>
        <v>0</v>
      </c>
      <c r="X467" s="2">
        <f t="shared" si="415"/>
        <v>0</v>
      </c>
      <c r="Y467" s="2">
        <f t="shared" si="416"/>
        <v>0</v>
      </c>
      <c r="Z467" s="2"/>
      <c r="AA467" s="2">
        <v>45037306</v>
      </c>
      <c r="AB467" s="2">
        <f t="shared" si="417"/>
        <v>13.57</v>
      </c>
      <c r="AC467" s="2">
        <f t="shared" si="418"/>
        <v>13.57</v>
      </c>
      <c r="AD467" s="2">
        <f t="shared" ref="AD467:AF470" si="444">ROUND((ET467),6)</f>
        <v>0</v>
      </c>
      <c r="AE467" s="2">
        <f t="shared" si="444"/>
        <v>0</v>
      </c>
      <c r="AF467" s="2">
        <f t="shared" si="444"/>
        <v>0</v>
      </c>
      <c r="AG467" s="2">
        <f t="shared" si="419"/>
        <v>0</v>
      </c>
      <c r="AH467" s="2">
        <f t="shared" ref="AH467:AI470" si="445">(EW467)</f>
        <v>0</v>
      </c>
      <c r="AI467" s="2">
        <f t="shared" si="445"/>
        <v>0</v>
      </c>
      <c r="AJ467" s="2">
        <f t="shared" si="420"/>
        <v>0</v>
      </c>
      <c r="AK467" s="2">
        <v>13.57</v>
      </c>
      <c r="AL467" s="2">
        <v>13.57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  <c r="AS467" s="2">
        <v>0</v>
      </c>
      <c r="AT467" s="2">
        <v>0</v>
      </c>
      <c r="AU467" s="2">
        <v>0</v>
      </c>
      <c r="AV467" s="2">
        <v>1</v>
      </c>
      <c r="AW467" s="2">
        <v>1</v>
      </c>
      <c r="AX467" s="2"/>
      <c r="AY467" s="2"/>
      <c r="AZ467" s="2">
        <v>1</v>
      </c>
      <c r="BA467" s="2">
        <v>1</v>
      </c>
      <c r="BB467" s="2">
        <v>1</v>
      </c>
      <c r="BC467" s="2">
        <v>1</v>
      </c>
      <c r="BD467" s="2" t="s">
        <v>3</v>
      </c>
      <c r="BE467" s="2" t="s">
        <v>3</v>
      </c>
      <c r="BF467" s="2" t="s">
        <v>3</v>
      </c>
      <c r="BG467" s="2" t="s">
        <v>3</v>
      </c>
      <c r="BH467" s="2">
        <v>3</v>
      </c>
      <c r="BI467" s="2">
        <v>2</v>
      </c>
      <c r="BJ467" s="2" t="s">
        <v>548</v>
      </c>
      <c r="BK467" s="2"/>
      <c r="BL467" s="2"/>
      <c r="BM467" s="2">
        <v>333</v>
      </c>
      <c r="BN467" s="2">
        <v>7156650</v>
      </c>
      <c r="BO467" s="2" t="s">
        <v>3</v>
      </c>
      <c r="BP467" s="2">
        <v>0</v>
      </c>
      <c r="BQ467" s="2">
        <v>40</v>
      </c>
      <c r="BR467" s="2">
        <v>0</v>
      </c>
      <c r="BS467" s="2">
        <v>1</v>
      </c>
      <c r="BT467" s="2">
        <v>1</v>
      </c>
      <c r="BU467" s="2">
        <v>1</v>
      </c>
      <c r="BV467" s="2">
        <v>1</v>
      </c>
      <c r="BW467" s="2">
        <v>1</v>
      </c>
      <c r="BX467" s="2">
        <v>1</v>
      </c>
      <c r="BY467" s="2" t="s">
        <v>3</v>
      </c>
      <c r="BZ467" s="2">
        <v>0</v>
      </c>
      <c r="CA467" s="2">
        <v>0</v>
      </c>
      <c r="CB467" s="2"/>
      <c r="CC467" s="2"/>
      <c r="CD467" s="2"/>
      <c r="CE467" s="2"/>
      <c r="CF467" s="2">
        <v>0</v>
      </c>
      <c r="CG467" s="2">
        <v>0</v>
      </c>
      <c r="CH467" s="2"/>
      <c r="CI467" s="2"/>
      <c r="CJ467" s="2"/>
      <c r="CK467" s="2"/>
      <c r="CL467" s="2"/>
      <c r="CM467" s="2">
        <v>0</v>
      </c>
      <c r="CN467" s="2" t="s">
        <v>3</v>
      </c>
      <c r="CO467" s="2">
        <v>0</v>
      </c>
      <c r="CP467" s="2">
        <f t="shared" si="421"/>
        <v>27.14</v>
      </c>
      <c r="CQ467" s="2">
        <f t="shared" si="422"/>
        <v>13.57</v>
      </c>
      <c r="CR467" s="2">
        <f t="shared" si="423"/>
        <v>0</v>
      </c>
      <c r="CS467" s="2">
        <f t="shared" si="424"/>
        <v>0</v>
      </c>
      <c r="CT467" s="2">
        <f t="shared" si="425"/>
        <v>0</v>
      </c>
      <c r="CU467" s="2">
        <f t="shared" si="426"/>
        <v>0</v>
      </c>
      <c r="CV467" s="2">
        <f t="shared" si="427"/>
        <v>0</v>
      </c>
      <c r="CW467" s="2">
        <f t="shared" si="428"/>
        <v>0</v>
      </c>
      <c r="CX467" s="2">
        <f t="shared" si="429"/>
        <v>0</v>
      </c>
      <c r="CY467" s="2">
        <f t="shared" si="430"/>
        <v>0</v>
      </c>
      <c r="CZ467" s="2">
        <f t="shared" si="431"/>
        <v>0</v>
      </c>
      <c r="DA467" s="2"/>
      <c r="DB467" s="2"/>
      <c r="DC467" s="2" t="s">
        <v>3</v>
      </c>
      <c r="DD467" s="2" t="s">
        <v>3</v>
      </c>
      <c r="DE467" s="2" t="s">
        <v>3</v>
      </c>
      <c r="DF467" s="2" t="s">
        <v>3</v>
      </c>
      <c r="DG467" s="2" t="s">
        <v>3</v>
      </c>
      <c r="DH467" s="2" t="s">
        <v>3</v>
      </c>
      <c r="DI467" s="2" t="s">
        <v>3</v>
      </c>
      <c r="DJ467" s="2" t="s">
        <v>3</v>
      </c>
      <c r="DK467" s="2" t="s">
        <v>3</v>
      </c>
      <c r="DL467" s="2" t="s">
        <v>3</v>
      </c>
      <c r="DM467" s="2" t="s">
        <v>3</v>
      </c>
      <c r="DN467" s="2">
        <v>114</v>
      </c>
      <c r="DO467" s="2">
        <v>67</v>
      </c>
      <c r="DP467" s="2">
        <v>1.0469999999999999</v>
      </c>
      <c r="DQ467" s="2">
        <v>1</v>
      </c>
      <c r="DR467" s="2"/>
      <c r="DS467" s="2"/>
      <c r="DT467" s="2"/>
      <c r="DU467" s="2">
        <v>1010</v>
      </c>
      <c r="DV467" s="2" t="s">
        <v>304</v>
      </c>
      <c r="DW467" s="2" t="s">
        <v>304</v>
      </c>
      <c r="DX467" s="2">
        <v>1</v>
      </c>
      <c r="DY467" s="2"/>
      <c r="DZ467" s="2"/>
      <c r="EA467" s="2"/>
      <c r="EB467" s="2"/>
      <c r="EC467" s="2"/>
      <c r="ED467" s="2"/>
      <c r="EE467" s="2">
        <v>44846840</v>
      </c>
      <c r="EF467" s="2">
        <v>40</v>
      </c>
      <c r="EG467" s="2" t="s">
        <v>453</v>
      </c>
      <c r="EH467" s="2">
        <v>0</v>
      </c>
      <c r="EI467" s="2" t="s">
        <v>3</v>
      </c>
      <c r="EJ467" s="2">
        <v>2</v>
      </c>
      <c r="EK467" s="2">
        <v>333</v>
      </c>
      <c r="EL467" s="2" t="s">
        <v>465</v>
      </c>
      <c r="EM467" s="2" t="s">
        <v>466</v>
      </c>
      <c r="EN467" s="2"/>
      <c r="EO467" s="2" t="s">
        <v>3</v>
      </c>
      <c r="EP467" s="2"/>
      <c r="EQ467" s="2">
        <v>0</v>
      </c>
      <c r="ER467" s="2">
        <v>13.57</v>
      </c>
      <c r="ES467" s="2">
        <v>13.57</v>
      </c>
      <c r="ET467" s="2">
        <v>0</v>
      </c>
      <c r="EU467" s="2">
        <v>0</v>
      </c>
      <c r="EV467" s="2">
        <v>0</v>
      </c>
      <c r="EW467" s="2">
        <v>0</v>
      </c>
      <c r="EX467" s="2">
        <v>0</v>
      </c>
      <c r="EY467" s="2"/>
      <c r="EZ467" s="2"/>
      <c r="FA467" s="2"/>
      <c r="FB467" s="2"/>
      <c r="FC467" s="2"/>
      <c r="FD467" s="2"/>
      <c r="FE467" s="2"/>
      <c r="FF467" s="2"/>
      <c r="FG467" s="2"/>
      <c r="FH467" s="2"/>
      <c r="FI467" s="2"/>
      <c r="FJ467" s="2"/>
      <c r="FK467" s="2"/>
      <c r="FL467" s="2"/>
      <c r="FM467" s="2"/>
      <c r="FN467" s="2"/>
      <c r="FO467" s="2"/>
      <c r="FP467" s="2"/>
      <c r="FQ467" s="2">
        <v>0</v>
      </c>
      <c r="FR467" s="2">
        <f t="shared" si="432"/>
        <v>0</v>
      </c>
      <c r="FS467" s="2">
        <v>0</v>
      </c>
      <c r="FT467" s="2"/>
      <c r="FU467" s="2"/>
      <c r="FV467" s="2"/>
      <c r="FW467" s="2"/>
      <c r="FX467" s="2">
        <v>114</v>
      </c>
      <c r="FY467" s="2">
        <v>67</v>
      </c>
      <c r="FZ467" s="2"/>
      <c r="GA467" s="2" t="s">
        <v>3</v>
      </c>
      <c r="GB467" s="2"/>
      <c r="GC467" s="2"/>
      <c r="GD467" s="2">
        <v>0</v>
      </c>
      <c r="GE467" s="2"/>
      <c r="GF467" s="2">
        <v>-1203482581</v>
      </c>
      <c r="GG467" s="2">
        <v>2</v>
      </c>
      <c r="GH467" s="2">
        <v>1</v>
      </c>
      <c r="GI467" s="2">
        <v>3</v>
      </c>
      <c r="GJ467" s="2">
        <v>0</v>
      </c>
      <c r="GK467" s="2">
        <f>ROUND(R467*(R12)/100,2)</f>
        <v>0</v>
      </c>
      <c r="GL467" s="2">
        <f t="shared" si="433"/>
        <v>0</v>
      </c>
      <c r="GM467" s="2">
        <f t="shared" si="434"/>
        <v>27.14</v>
      </c>
      <c r="GN467" s="2">
        <f t="shared" si="435"/>
        <v>0</v>
      </c>
      <c r="GO467" s="2">
        <f t="shared" si="436"/>
        <v>27.14</v>
      </c>
      <c r="GP467" s="2">
        <f t="shared" si="437"/>
        <v>0</v>
      </c>
      <c r="GQ467" s="2"/>
      <c r="GR467" s="2">
        <v>0</v>
      </c>
      <c r="GS467" s="2">
        <v>3</v>
      </c>
      <c r="GT467" s="2">
        <v>0</v>
      </c>
      <c r="GU467" s="2" t="s">
        <v>3</v>
      </c>
      <c r="GV467" s="2">
        <f t="shared" si="438"/>
        <v>0</v>
      </c>
      <c r="GW467" s="2">
        <v>1</v>
      </c>
      <c r="GX467" s="2">
        <f t="shared" si="439"/>
        <v>0</v>
      </c>
      <c r="GY467" s="2"/>
      <c r="GZ467" s="2"/>
      <c r="HA467" s="2">
        <v>0</v>
      </c>
      <c r="HB467" s="2">
        <v>0</v>
      </c>
      <c r="HC467" s="2"/>
      <c r="HD467" s="2"/>
      <c r="HE467" s="2"/>
      <c r="HF467" s="2"/>
      <c r="HG467" s="2"/>
      <c r="HH467" s="2"/>
      <c r="HI467" s="2"/>
      <c r="HJ467" s="2"/>
      <c r="HK467" s="2"/>
      <c r="HL467" s="2"/>
      <c r="HM467" s="2"/>
      <c r="HN467" s="2"/>
      <c r="HO467" s="2"/>
      <c r="HP467" s="2"/>
      <c r="HQ467" s="2"/>
      <c r="HR467" s="2"/>
      <c r="HS467" s="2"/>
      <c r="HT467" s="2"/>
      <c r="HU467" s="2"/>
      <c r="HV467" s="2"/>
      <c r="HW467" s="2"/>
      <c r="HX467" s="2"/>
      <c r="HY467" s="2"/>
      <c r="HZ467" s="2"/>
      <c r="IA467" s="2"/>
      <c r="IB467" s="2"/>
      <c r="IC467" s="2"/>
      <c r="ID467" s="2"/>
      <c r="IE467" s="2"/>
      <c r="IF467" s="2"/>
      <c r="IG467" s="2"/>
      <c r="IH467" s="2"/>
      <c r="II467" s="2"/>
      <c r="IJ467" s="2"/>
      <c r="IK467" s="2">
        <v>0</v>
      </c>
      <c r="IL467" s="2"/>
      <c r="IM467" s="2"/>
      <c r="IN467" s="2"/>
      <c r="IO467" s="2"/>
      <c r="IP467" s="2"/>
      <c r="IQ467" s="2"/>
      <c r="IR467" s="2"/>
      <c r="IS467" s="2"/>
      <c r="IT467" s="2"/>
      <c r="IU467" s="2"/>
    </row>
    <row r="468" spans="1:255" x14ac:dyDescent="0.2">
      <c r="A468">
        <v>18</v>
      </c>
      <c r="B468">
        <v>1</v>
      </c>
      <c r="C468">
        <v>411</v>
      </c>
      <c r="E468" t="s">
        <v>545</v>
      </c>
      <c r="F468" t="s">
        <v>546</v>
      </c>
      <c r="G468" t="s">
        <v>547</v>
      </c>
      <c r="H468" t="s">
        <v>304</v>
      </c>
      <c r="I468">
        <f>I466*J468</f>
        <v>2</v>
      </c>
      <c r="J468">
        <v>100</v>
      </c>
      <c r="O468">
        <f t="shared" si="406"/>
        <v>130.54</v>
      </c>
      <c r="P468">
        <f t="shared" si="407"/>
        <v>130.54</v>
      </c>
      <c r="Q468">
        <f t="shared" si="408"/>
        <v>0</v>
      </c>
      <c r="R468">
        <f t="shared" si="409"/>
        <v>0</v>
      </c>
      <c r="S468">
        <f t="shared" si="410"/>
        <v>0</v>
      </c>
      <c r="T468">
        <f t="shared" si="411"/>
        <v>0</v>
      </c>
      <c r="U468">
        <f t="shared" si="412"/>
        <v>0</v>
      </c>
      <c r="V468">
        <f t="shared" si="413"/>
        <v>0</v>
      </c>
      <c r="W468">
        <f t="shared" si="414"/>
        <v>0</v>
      </c>
      <c r="X468">
        <f t="shared" si="415"/>
        <v>0</v>
      </c>
      <c r="Y468">
        <f t="shared" si="416"/>
        <v>0</v>
      </c>
      <c r="AA468">
        <v>45037307</v>
      </c>
      <c r="AB468">
        <f t="shared" si="417"/>
        <v>13.57</v>
      </c>
      <c r="AC468">
        <f t="shared" si="418"/>
        <v>13.57</v>
      </c>
      <c r="AD468">
        <f t="shared" si="444"/>
        <v>0</v>
      </c>
      <c r="AE468">
        <f t="shared" si="444"/>
        <v>0</v>
      </c>
      <c r="AF468">
        <f t="shared" si="444"/>
        <v>0</v>
      </c>
      <c r="AG468">
        <f t="shared" si="419"/>
        <v>0</v>
      </c>
      <c r="AH468">
        <f t="shared" si="445"/>
        <v>0</v>
      </c>
      <c r="AI468">
        <f t="shared" si="445"/>
        <v>0</v>
      </c>
      <c r="AJ468">
        <f t="shared" si="420"/>
        <v>0</v>
      </c>
      <c r="AK468">
        <v>13.57</v>
      </c>
      <c r="AL468">
        <v>13.57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0</v>
      </c>
      <c r="AU468">
        <v>0</v>
      </c>
      <c r="AV468">
        <v>1</v>
      </c>
      <c r="AW468">
        <v>1</v>
      </c>
      <c r="AZ468">
        <v>1</v>
      </c>
      <c r="BA468">
        <v>1</v>
      </c>
      <c r="BB468">
        <v>1</v>
      </c>
      <c r="BC468">
        <v>4.8099999999999996</v>
      </c>
      <c r="BD468" t="s">
        <v>3</v>
      </c>
      <c r="BE468" t="s">
        <v>3</v>
      </c>
      <c r="BF468" t="s">
        <v>3</v>
      </c>
      <c r="BG468" t="s">
        <v>3</v>
      </c>
      <c r="BH468">
        <v>3</v>
      </c>
      <c r="BI468">
        <v>2</v>
      </c>
      <c r="BJ468" t="s">
        <v>548</v>
      </c>
      <c r="BM468">
        <v>333</v>
      </c>
      <c r="BN468">
        <v>7156650</v>
      </c>
      <c r="BO468" t="s">
        <v>546</v>
      </c>
      <c r="BP468">
        <v>1</v>
      </c>
      <c r="BQ468">
        <v>40</v>
      </c>
      <c r="BR468">
        <v>0</v>
      </c>
      <c r="BS468">
        <v>1</v>
      </c>
      <c r="BT468">
        <v>1</v>
      </c>
      <c r="BU468">
        <v>1</v>
      </c>
      <c r="BV468">
        <v>1</v>
      </c>
      <c r="BW468">
        <v>1</v>
      </c>
      <c r="BX468">
        <v>1</v>
      </c>
      <c r="BY468" t="s">
        <v>3</v>
      </c>
      <c r="BZ468">
        <v>0</v>
      </c>
      <c r="CA468">
        <v>0</v>
      </c>
      <c r="CF468">
        <v>0</v>
      </c>
      <c r="CG468">
        <v>0</v>
      </c>
      <c r="CM468">
        <v>0</v>
      </c>
      <c r="CN468" t="s">
        <v>3</v>
      </c>
      <c r="CO468">
        <v>0</v>
      </c>
      <c r="CP468">
        <f t="shared" si="421"/>
        <v>130.54</v>
      </c>
      <c r="CQ468">
        <f t="shared" si="422"/>
        <v>65.271699999999996</v>
      </c>
      <c r="CR468">
        <f t="shared" si="423"/>
        <v>0</v>
      </c>
      <c r="CS468">
        <f t="shared" si="424"/>
        <v>0</v>
      </c>
      <c r="CT468">
        <f t="shared" si="425"/>
        <v>0</v>
      </c>
      <c r="CU468">
        <f t="shared" si="426"/>
        <v>0</v>
      </c>
      <c r="CV468">
        <f t="shared" si="427"/>
        <v>0</v>
      </c>
      <c r="CW468">
        <f t="shared" si="428"/>
        <v>0</v>
      </c>
      <c r="CX468">
        <f t="shared" si="429"/>
        <v>0</v>
      </c>
      <c r="CY468">
        <f t="shared" si="430"/>
        <v>0</v>
      </c>
      <c r="CZ468">
        <f t="shared" si="431"/>
        <v>0</v>
      </c>
      <c r="DC468" t="s">
        <v>3</v>
      </c>
      <c r="DD468" t="s">
        <v>3</v>
      </c>
      <c r="DE468" t="s">
        <v>3</v>
      </c>
      <c r="DF468" t="s">
        <v>3</v>
      </c>
      <c r="DG468" t="s">
        <v>3</v>
      </c>
      <c r="DH468" t="s">
        <v>3</v>
      </c>
      <c r="DI468" t="s">
        <v>3</v>
      </c>
      <c r="DJ468" t="s">
        <v>3</v>
      </c>
      <c r="DK468" t="s">
        <v>3</v>
      </c>
      <c r="DL468" t="s">
        <v>3</v>
      </c>
      <c r="DM468" t="s">
        <v>3</v>
      </c>
      <c r="DN468">
        <v>114</v>
      </c>
      <c r="DO468">
        <v>67</v>
      </c>
      <c r="DP468">
        <v>1.0469999999999999</v>
      </c>
      <c r="DQ468">
        <v>1</v>
      </c>
      <c r="DU468">
        <v>1010</v>
      </c>
      <c r="DV468" t="s">
        <v>304</v>
      </c>
      <c r="DW468" t="s">
        <v>304</v>
      </c>
      <c r="DX468">
        <v>1</v>
      </c>
      <c r="EE468">
        <v>44846840</v>
      </c>
      <c r="EF468">
        <v>40</v>
      </c>
      <c r="EG468" t="s">
        <v>453</v>
      </c>
      <c r="EH468">
        <v>0</v>
      </c>
      <c r="EI468" t="s">
        <v>3</v>
      </c>
      <c r="EJ468">
        <v>2</v>
      </c>
      <c r="EK468">
        <v>333</v>
      </c>
      <c r="EL468" t="s">
        <v>465</v>
      </c>
      <c r="EM468" t="s">
        <v>466</v>
      </c>
      <c r="EO468" t="s">
        <v>3</v>
      </c>
      <c r="EQ468">
        <v>0</v>
      </c>
      <c r="ER468">
        <v>13.57</v>
      </c>
      <c r="ES468">
        <v>13.57</v>
      </c>
      <c r="ET468">
        <v>0</v>
      </c>
      <c r="EU468">
        <v>0</v>
      </c>
      <c r="EV468">
        <v>0</v>
      </c>
      <c r="EW468">
        <v>0</v>
      </c>
      <c r="EX468">
        <v>0</v>
      </c>
      <c r="FQ468">
        <v>0</v>
      </c>
      <c r="FR468">
        <f t="shared" si="432"/>
        <v>0</v>
      </c>
      <c r="FS468">
        <v>0</v>
      </c>
      <c r="FX468">
        <v>114</v>
      </c>
      <c r="FY468">
        <v>67</v>
      </c>
      <c r="GA468" t="s">
        <v>3</v>
      </c>
      <c r="GD468">
        <v>0</v>
      </c>
      <c r="GF468">
        <v>-1203482581</v>
      </c>
      <c r="GG468">
        <v>2</v>
      </c>
      <c r="GH468">
        <v>1</v>
      </c>
      <c r="GI468">
        <v>3</v>
      </c>
      <c r="GJ468">
        <v>0</v>
      </c>
      <c r="GK468">
        <f>ROUND(R468*(S12)/100,2)</f>
        <v>0</v>
      </c>
      <c r="GL468">
        <f t="shared" si="433"/>
        <v>0</v>
      </c>
      <c r="GM468">
        <f t="shared" si="434"/>
        <v>130.54</v>
      </c>
      <c r="GN468">
        <f t="shared" si="435"/>
        <v>0</v>
      </c>
      <c r="GO468">
        <f t="shared" si="436"/>
        <v>130.54</v>
      </c>
      <c r="GP468">
        <f t="shared" si="437"/>
        <v>0</v>
      </c>
      <c r="GR468">
        <v>0</v>
      </c>
      <c r="GS468">
        <v>3</v>
      </c>
      <c r="GT468">
        <v>0</v>
      </c>
      <c r="GU468" t="s">
        <v>3</v>
      </c>
      <c r="GV468">
        <f t="shared" si="438"/>
        <v>0</v>
      </c>
      <c r="GW468">
        <v>1</v>
      </c>
      <c r="GX468">
        <f t="shared" si="439"/>
        <v>0</v>
      </c>
      <c r="HA468">
        <v>0</v>
      </c>
      <c r="HB468">
        <v>0</v>
      </c>
      <c r="IK468">
        <v>0</v>
      </c>
    </row>
    <row r="469" spans="1:255" x14ac:dyDescent="0.2">
      <c r="A469" s="2">
        <v>18</v>
      </c>
      <c r="B469" s="2">
        <v>1</v>
      </c>
      <c r="C469" s="2">
        <v>409</v>
      </c>
      <c r="D469" s="2"/>
      <c r="E469" s="2" t="s">
        <v>549</v>
      </c>
      <c r="F469" s="2" t="s">
        <v>550</v>
      </c>
      <c r="G469" s="2" t="s">
        <v>551</v>
      </c>
      <c r="H469" s="2" t="s">
        <v>552</v>
      </c>
      <c r="I469" s="2">
        <f>I465*J469</f>
        <v>2E-3</v>
      </c>
      <c r="J469" s="2">
        <v>0.1</v>
      </c>
      <c r="K469" s="2"/>
      <c r="L469" s="2"/>
      <c r="M469" s="2"/>
      <c r="N469" s="2"/>
      <c r="O469" s="2">
        <f t="shared" si="406"/>
        <v>7.81</v>
      </c>
      <c r="P469" s="2">
        <f t="shared" si="407"/>
        <v>7.81</v>
      </c>
      <c r="Q469" s="2">
        <f t="shared" si="408"/>
        <v>0</v>
      </c>
      <c r="R469" s="2">
        <f t="shared" si="409"/>
        <v>0</v>
      </c>
      <c r="S469" s="2">
        <f t="shared" si="410"/>
        <v>0</v>
      </c>
      <c r="T469" s="2">
        <f t="shared" si="411"/>
        <v>0</v>
      </c>
      <c r="U469" s="2">
        <f t="shared" si="412"/>
        <v>0</v>
      </c>
      <c r="V469" s="2">
        <f t="shared" si="413"/>
        <v>0</v>
      </c>
      <c r="W469" s="2">
        <f t="shared" si="414"/>
        <v>0</v>
      </c>
      <c r="X469" s="2">
        <f t="shared" si="415"/>
        <v>0</v>
      </c>
      <c r="Y469" s="2">
        <f t="shared" si="416"/>
        <v>0</v>
      </c>
      <c r="Z469" s="2"/>
      <c r="AA469" s="2">
        <v>45037306</v>
      </c>
      <c r="AB469" s="2">
        <f t="shared" si="417"/>
        <v>3907.01</v>
      </c>
      <c r="AC469" s="2">
        <f t="shared" si="418"/>
        <v>3907.01</v>
      </c>
      <c r="AD469" s="2">
        <f t="shared" si="444"/>
        <v>0</v>
      </c>
      <c r="AE469" s="2">
        <f t="shared" si="444"/>
        <v>0</v>
      </c>
      <c r="AF469" s="2">
        <f t="shared" si="444"/>
        <v>0</v>
      </c>
      <c r="AG469" s="2">
        <f t="shared" si="419"/>
        <v>0</v>
      </c>
      <c r="AH469" s="2">
        <f t="shared" si="445"/>
        <v>0</v>
      </c>
      <c r="AI469" s="2">
        <f t="shared" si="445"/>
        <v>0</v>
      </c>
      <c r="AJ469" s="2">
        <f t="shared" si="420"/>
        <v>0</v>
      </c>
      <c r="AK469" s="2">
        <v>3907.01</v>
      </c>
      <c r="AL469" s="2">
        <v>3907.01</v>
      </c>
      <c r="AM469" s="2">
        <v>0</v>
      </c>
      <c r="AN469" s="2">
        <v>0</v>
      </c>
      <c r="AO469" s="2">
        <v>0</v>
      </c>
      <c r="AP469" s="2">
        <v>0</v>
      </c>
      <c r="AQ469" s="2">
        <v>0</v>
      </c>
      <c r="AR469" s="2">
        <v>0</v>
      </c>
      <c r="AS469" s="2">
        <v>0</v>
      </c>
      <c r="AT469" s="2">
        <v>0</v>
      </c>
      <c r="AU469" s="2">
        <v>0</v>
      </c>
      <c r="AV469" s="2">
        <v>1</v>
      </c>
      <c r="AW469" s="2">
        <v>1</v>
      </c>
      <c r="AX469" s="2"/>
      <c r="AY469" s="2"/>
      <c r="AZ469" s="2">
        <v>1</v>
      </c>
      <c r="BA469" s="2">
        <v>1</v>
      </c>
      <c r="BB469" s="2">
        <v>1</v>
      </c>
      <c r="BC469" s="2">
        <v>1</v>
      </c>
      <c r="BD469" s="2" t="s">
        <v>3</v>
      </c>
      <c r="BE469" s="2" t="s">
        <v>3</v>
      </c>
      <c r="BF469" s="2" t="s">
        <v>3</v>
      </c>
      <c r="BG469" s="2" t="s">
        <v>3</v>
      </c>
      <c r="BH469" s="2">
        <v>3</v>
      </c>
      <c r="BI469" s="2">
        <v>2</v>
      </c>
      <c r="BJ469" s="2" t="s">
        <v>553</v>
      </c>
      <c r="BK469" s="2"/>
      <c r="BL469" s="2"/>
      <c r="BM469" s="2">
        <v>333</v>
      </c>
      <c r="BN469" s="2">
        <v>7156650</v>
      </c>
      <c r="BO469" s="2" t="s">
        <v>3</v>
      </c>
      <c r="BP469" s="2">
        <v>0</v>
      </c>
      <c r="BQ469" s="2">
        <v>40</v>
      </c>
      <c r="BR469" s="2">
        <v>0</v>
      </c>
      <c r="BS469" s="2">
        <v>1</v>
      </c>
      <c r="BT469" s="2">
        <v>1</v>
      </c>
      <c r="BU469" s="2">
        <v>1</v>
      </c>
      <c r="BV469" s="2">
        <v>1</v>
      </c>
      <c r="BW469" s="2">
        <v>1</v>
      </c>
      <c r="BX469" s="2">
        <v>1</v>
      </c>
      <c r="BY469" s="2" t="s">
        <v>3</v>
      </c>
      <c r="BZ469" s="2">
        <v>0</v>
      </c>
      <c r="CA469" s="2">
        <v>0</v>
      </c>
      <c r="CB469" s="2"/>
      <c r="CC469" s="2"/>
      <c r="CD469" s="2"/>
      <c r="CE469" s="2"/>
      <c r="CF469" s="2">
        <v>0</v>
      </c>
      <c r="CG469" s="2">
        <v>0</v>
      </c>
      <c r="CH469" s="2"/>
      <c r="CI469" s="2"/>
      <c r="CJ469" s="2"/>
      <c r="CK469" s="2"/>
      <c r="CL469" s="2"/>
      <c r="CM469" s="2">
        <v>0</v>
      </c>
      <c r="CN469" s="2" t="s">
        <v>3</v>
      </c>
      <c r="CO469" s="2">
        <v>0</v>
      </c>
      <c r="CP469" s="2">
        <f t="shared" si="421"/>
        <v>7.81</v>
      </c>
      <c r="CQ469" s="2">
        <f t="shared" si="422"/>
        <v>3907.01</v>
      </c>
      <c r="CR469" s="2">
        <f t="shared" si="423"/>
        <v>0</v>
      </c>
      <c r="CS469" s="2">
        <f t="shared" si="424"/>
        <v>0</v>
      </c>
      <c r="CT469" s="2">
        <f t="shared" si="425"/>
        <v>0</v>
      </c>
      <c r="CU469" s="2">
        <f t="shared" si="426"/>
        <v>0</v>
      </c>
      <c r="CV469" s="2">
        <f t="shared" si="427"/>
        <v>0</v>
      </c>
      <c r="CW469" s="2">
        <f t="shared" si="428"/>
        <v>0</v>
      </c>
      <c r="CX469" s="2">
        <f t="shared" si="429"/>
        <v>0</v>
      </c>
      <c r="CY469" s="2">
        <f t="shared" si="430"/>
        <v>0</v>
      </c>
      <c r="CZ469" s="2">
        <f t="shared" si="431"/>
        <v>0</v>
      </c>
      <c r="DA469" s="2"/>
      <c r="DB469" s="2"/>
      <c r="DC469" s="2" t="s">
        <v>3</v>
      </c>
      <c r="DD469" s="2" t="s">
        <v>3</v>
      </c>
      <c r="DE469" s="2" t="s">
        <v>3</v>
      </c>
      <c r="DF469" s="2" t="s">
        <v>3</v>
      </c>
      <c r="DG469" s="2" t="s">
        <v>3</v>
      </c>
      <c r="DH469" s="2" t="s">
        <v>3</v>
      </c>
      <c r="DI469" s="2" t="s">
        <v>3</v>
      </c>
      <c r="DJ469" s="2" t="s">
        <v>3</v>
      </c>
      <c r="DK469" s="2" t="s">
        <v>3</v>
      </c>
      <c r="DL469" s="2" t="s">
        <v>3</v>
      </c>
      <c r="DM469" s="2" t="s">
        <v>3</v>
      </c>
      <c r="DN469" s="2">
        <v>114</v>
      </c>
      <c r="DO469" s="2">
        <v>67</v>
      </c>
      <c r="DP469" s="2">
        <v>1.0469999999999999</v>
      </c>
      <c r="DQ469" s="2">
        <v>1</v>
      </c>
      <c r="DR469" s="2"/>
      <c r="DS469" s="2"/>
      <c r="DT469" s="2"/>
      <c r="DU469" s="2">
        <v>1010</v>
      </c>
      <c r="DV469" s="2" t="s">
        <v>552</v>
      </c>
      <c r="DW469" s="2" t="s">
        <v>552</v>
      </c>
      <c r="DX469" s="2">
        <v>1000</v>
      </c>
      <c r="DY469" s="2"/>
      <c r="DZ469" s="2"/>
      <c r="EA469" s="2"/>
      <c r="EB469" s="2"/>
      <c r="EC469" s="2"/>
      <c r="ED469" s="2"/>
      <c r="EE469" s="2">
        <v>44846840</v>
      </c>
      <c r="EF469" s="2">
        <v>40</v>
      </c>
      <c r="EG469" s="2" t="s">
        <v>453</v>
      </c>
      <c r="EH469" s="2">
        <v>0</v>
      </c>
      <c r="EI469" s="2" t="s">
        <v>3</v>
      </c>
      <c r="EJ469" s="2">
        <v>2</v>
      </c>
      <c r="EK469" s="2">
        <v>333</v>
      </c>
      <c r="EL469" s="2" t="s">
        <v>465</v>
      </c>
      <c r="EM469" s="2" t="s">
        <v>466</v>
      </c>
      <c r="EN469" s="2"/>
      <c r="EO469" s="2" t="s">
        <v>3</v>
      </c>
      <c r="EP469" s="2"/>
      <c r="EQ469" s="2">
        <v>0</v>
      </c>
      <c r="ER469" s="2">
        <v>3907.01</v>
      </c>
      <c r="ES469" s="2">
        <v>3907.01</v>
      </c>
      <c r="ET469" s="2">
        <v>0</v>
      </c>
      <c r="EU469" s="2">
        <v>0</v>
      </c>
      <c r="EV469" s="2">
        <v>0</v>
      </c>
      <c r="EW469" s="2">
        <v>0</v>
      </c>
      <c r="EX469" s="2">
        <v>0</v>
      </c>
      <c r="EY469" s="2"/>
      <c r="EZ469" s="2"/>
      <c r="FA469" s="2"/>
      <c r="FB469" s="2"/>
      <c r="FC469" s="2"/>
      <c r="FD469" s="2"/>
      <c r="FE469" s="2"/>
      <c r="FF469" s="2"/>
      <c r="FG469" s="2"/>
      <c r="FH469" s="2"/>
      <c r="FI469" s="2"/>
      <c r="FJ469" s="2"/>
      <c r="FK469" s="2"/>
      <c r="FL469" s="2"/>
      <c r="FM469" s="2"/>
      <c r="FN469" s="2"/>
      <c r="FO469" s="2"/>
      <c r="FP469" s="2"/>
      <c r="FQ469" s="2">
        <v>0</v>
      </c>
      <c r="FR469" s="2">
        <f t="shared" si="432"/>
        <v>0</v>
      </c>
      <c r="FS469" s="2">
        <v>0</v>
      </c>
      <c r="FT469" s="2"/>
      <c r="FU469" s="2"/>
      <c r="FV469" s="2"/>
      <c r="FW469" s="2"/>
      <c r="FX469" s="2">
        <v>114</v>
      </c>
      <c r="FY469" s="2">
        <v>67</v>
      </c>
      <c r="FZ469" s="2"/>
      <c r="GA469" s="2" t="s">
        <v>3</v>
      </c>
      <c r="GB469" s="2"/>
      <c r="GC469" s="2"/>
      <c r="GD469" s="2">
        <v>0</v>
      </c>
      <c r="GE469" s="2"/>
      <c r="GF469" s="2">
        <v>-985284414</v>
      </c>
      <c r="GG469" s="2">
        <v>2</v>
      </c>
      <c r="GH469" s="2">
        <v>1</v>
      </c>
      <c r="GI469" s="2">
        <v>3</v>
      </c>
      <c r="GJ469" s="2">
        <v>0</v>
      </c>
      <c r="GK469" s="2">
        <f>ROUND(R469*(R12)/100,2)</f>
        <v>0</v>
      </c>
      <c r="GL469" s="2">
        <f t="shared" si="433"/>
        <v>0</v>
      </c>
      <c r="GM469" s="2">
        <f t="shared" si="434"/>
        <v>7.81</v>
      </c>
      <c r="GN469" s="2">
        <f t="shared" si="435"/>
        <v>0</v>
      </c>
      <c r="GO469" s="2">
        <f t="shared" si="436"/>
        <v>7.81</v>
      </c>
      <c r="GP469" s="2">
        <f t="shared" si="437"/>
        <v>0</v>
      </c>
      <c r="GQ469" s="2"/>
      <c r="GR469" s="2">
        <v>0</v>
      </c>
      <c r="GS469" s="2">
        <v>3</v>
      </c>
      <c r="GT469" s="2">
        <v>0</v>
      </c>
      <c r="GU469" s="2" t="s">
        <v>3</v>
      </c>
      <c r="GV469" s="2">
        <f t="shared" si="438"/>
        <v>0</v>
      </c>
      <c r="GW469" s="2">
        <v>1</v>
      </c>
      <c r="GX469" s="2">
        <f t="shared" si="439"/>
        <v>0</v>
      </c>
      <c r="GY469" s="2"/>
      <c r="GZ469" s="2"/>
      <c r="HA469" s="2">
        <v>0</v>
      </c>
      <c r="HB469" s="2">
        <v>0</v>
      </c>
      <c r="HC469" s="2"/>
      <c r="HD469" s="2"/>
      <c r="HE469" s="2"/>
      <c r="HF469" s="2"/>
      <c r="HG469" s="2"/>
      <c r="HH469" s="2"/>
      <c r="HI469" s="2"/>
      <c r="HJ469" s="2"/>
      <c r="HK469" s="2"/>
      <c r="HL469" s="2"/>
      <c r="HM469" s="2"/>
      <c r="HN469" s="2"/>
      <c r="HO469" s="2"/>
      <c r="HP469" s="2"/>
      <c r="HQ469" s="2"/>
      <c r="HR469" s="2"/>
      <c r="HS469" s="2"/>
      <c r="HT469" s="2"/>
      <c r="HU469" s="2"/>
      <c r="HV469" s="2"/>
      <c r="HW469" s="2"/>
      <c r="HX469" s="2"/>
      <c r="HY469" s="2"/>
      <c r="HZ469" s="2"/>
      <c r="IA469" s="2"/>
      <c r="IB469" s="2"/>
      <c r="IC469" s="2"/>
      <c r="ID469" s="2"/>
      <c r="IE469" s="2"/>
      <c r="IF469" s="2"/>
      <c r="IG469" s="2"/>
      <c r="IH469" s="2"/>
      <c r="II469" s="2"/>
      <c r="IJ469" s="2"/>
      <c r="IK469" s="2">
        <v>0</v>
      </c>
      <c r="IL469" s="2"/>
      <c r="IM469" s="2"/>
      <c r="IN469" s="2"/>
      <c r="IO469" s="2"/>
      <c r="IP469" s="2"/>
      <c r="IQ469" s="2"/>
      <c r="IR469" s="2"/>
      <c r="IS469" s="2"/>
      <c r="IT469" s="2"/>
      <c r="IU469" s="2"/>
    </row>
    <row r="470" spans="1:255" x14ac:dyDescent="0.2">
      <c r="A470">
        <v>18</v>
      </c>
      <c r="B470">
        <v>1</v>
      </c>
      <c r="C470">
        <v>412</v>
      </c>
      <c r="E470" t="s">
        <v>549</v>
      </c>
      <c r="F470" t="s">
        <v>550</v>
      </c>
      <c r="G470" t="s">
        <v>551</v>
      </c>
      <c r="H470" t="s">
        <v>552</v>
      </c>
      <c r="I470">
        <f>I466*J470</f>
        <v>2E-3</v>
      </c>
      <c r="J470">
        <v>0.1</v>
      </c>
      <c r="O470">
        <f t="shared" si="406"/>
        <v>15.47</v>
      </c>
      <c r="P470">
        <f t="shared" si="407"/>
        <v>15.47</v>
      </c>
      <c r="Q470">
        <f t="shared" si="408"/>
        <v>0</v>
      </c>
      <c r="R470">
        <f t="shared" si="409"/>
        <v>0</v>
      </c>
      <c r="S470">
        <f t="shared" si="410"/>
        <v>0</v>
      </c>
      <c r="T470">
        <f t="shared" si="411"/>
        <v>0</v>
      </c>
      <c r="U470">
        <f t="shared" si="412"/>
        <v>0</v>
      </c>
      <c r="V470">
        <f t="shared" si="413"/>
        <v>0</v>
      </c>
      <c r="W470">
        <f t="shared" si="414"/>
        <v>0</v>
      </c>
      <c r="X470">
        <f t="shared" si="415"/>
        <v>0</v>
      </c>
      <c r="Y470">
        <f t="shared" si="416"/>
        <v>0</v>
      </c>
      <c r="AA470">
        <v>45037307</v>
      </c>
      <c r="AB470">
        <f t="shared" si="417"/>
        <v>3907.01</v>
      </c>
      <c r="AC470">
        <f t="shared" si="418"/>
        <v>3907.01</v>
      </c>
      <c r="AD470">
        <f t="shared" si="444"/>
        <v>0</v>
      </c>
      <c r="AE470">
        <f t="shared" si="444"/>
        <v>0</v>
      </c>
      <c r="AF470">
        <f t="shared" si="444"/>
        <v>0</v>
      </c>
      <c r="AG470">
        <f t="shared" si="419"/>
        <v>0</v>
      </c>
      <c r="AH470">
        <f t="shared" si="445"/>
        <v>0</v>
      </c>
      <c r="AI470">
        <f t="shared" si="445"/>
        <v>0</v>
      </c>
      <c r="AJ470">
        <f t="shared" si="420"/>
        <v>0</v>
      </c>
      <c r="AK470">
        <v>3907.01</v>
      </c>
      <c r="AL470">
        <v>3907.01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1</v>
      </c>
      <c r="AW470">
        <v>1</v>
      </c>
      <c r="AZ470">
        <v>1</v>
      </c>
      <c r="BA470">
        <v>1</v>
      </c>
      <c r="BB470">
        <v>1</v>
      </c>
      <c r="BC470">
        <v>1.98</v>
      </c>
      <c r="BD470" t="s">
        <v>3</v>
      </c>
      <c r="BE470" t="s">
        <v>3</v>
      </c>
      <c r="BF470" t="s">
        <v>3</v>
      </c>
      <c r="BG470" t="s">
        <v>3</v>
      </c>
      <c r="BH470">
        <v>3</v>
      </c>
      <c r="BI470">
        <v>2</v>
      </c>
      <c r="BJ470" t="s">
        <v>553</v>
      </c>
      <c r="BM470">
        <v>333</v>
      </c>
      <c r="BN470">
        <v>7156650</v>
      </c>
      <c r="BO470" t="s">
        <v>550</v>
      </c>
      <c r="BP470">
        <v>1</v>
      </c>
      <c r="BQ470">
        <v>40</v>
      </c>
      <c r="BR470">
        <v>0</v>
      </c>
      <c r="BS470">
        <v>1</v>
      </c>
      <c r="BT470">
        <v>1</v>
      </c>
      <c r="BU470">
        <v>1</v>
      </c>
      <c r="BV470">
        <v>1</v>
      </c>
      <c r="BW470">
        <v>1</v>
      </c>
      <c r="BX470">
        <v>1</v>
      </c>
      <c r="BY470" t="s">
        <v>3</v>
      </c>
      <c r="BZ470">
        <v>0</v>
      </c>
      <c r="CA470">
        <v>0</v>
      </c>
      <c r="CF470">
        <v>0</v>
      </c>
      <c r="CG470">
        <v>0</v>
      </c>
      <c r="CM470">
        <v>0</v>
      </c>
      <c r="CN470" t="s">
        <v>3</v>
      </c>
      <c r="CO470">
        <v>0</v>
      </c>
      <c r="CP470">
        <f t="shared" si="421"/>
        <v>15.47</v>
      </c>
      <c r="CQ470">
        <f t="shared" si="422"/>
        <v>7735.8798000000006</v>
      </c>
      <c r="CR470">
        <f t="shared" si="423"/>
        <v>0</v>
      </c>
      <c r="CS470">
        <f t="shared" si="424"/>
        <v>0</v>
      </c>
      <c r="CT470">
        <f t="shared" si="425"/>
        <v>0</v>
      </c>
      <c r="CU470">
        <f t="shared" si="426"/>
        <v>0</v>
      </c>
      <c r="CV470">
        <f t="shared" si="427"/>
        <v>0</v>
      </c>
      <c r="CW470">
        <f t="shared" si="428"/>
        <v>0</v>
      </c>
      <c r="CX470">
        <f t="shared" si="429"/>
        <v>0</v>
      </c>
      <c r="CY470">
        <f t="shared" si="430"/>
        <v>0</v>
      </c>
      <c r="CZ470">
        <f t="shared" si="431"/>
        <v>0</v>
      </c>
      <c r="DC470" t="s">
        <v>3</v>
      </c>
      <c r="DD470" t="s">
        <v>3</v>
      </c>
      <c r="DE470" t="s">
        <v>3</v>
      </c>
      <c r="DF470" t="s">
        <v>3</v>
      </c>
      <c r="DG470" t="s">
        <v>3</v>
      </c>
      <c r="DH470" t="s">
        <v>3</v>
      </c>
      <c r="DI470" t="s">
        <v>3</v>
      </c>
      <c r="DJ470" t="s">
        <v>3</v>
      </c>
      <c r="DK470" t="s">
        <v>3</v>
      </c>
      <c r="DL470" t="s">
        <v>3</v>
      </c>
      <c r="DM470" t="s">
        <v>3</v>
      </c>
      <c r="DN470">
        <v>114</v>
      </c>
      <c r="DO470">
        <v>67</v>
      </c>
      <c r="DP470">
        <v>1.0469999999999999</v>
      </c>
      <c r="DQ470">
        <v>1</v>
      </c>
      <c r="DU470">
        <v>1010</v>
      </c>
      <c r="DV470" t="s">
        <v>552</v>
      </c>
      <c r="DW470" t="s">
        <v>552</v>
      </c>
      <c r="DX470">
        <v>1000</v>
      </c>
      <c r="EE470">
        <v>44846840</v>
      </c>
      <c r="EF470">
        <v>40</v>
      </c>
      <c r="EG470" t="s">
        <v>453</v>
      </c>
      <c r="EH470">
        <v>0</v>
      </c>
      <c r="EI470" t="s">
        <v>3</v>
      </c>
      <c r="EJ470">
        <v>2</v>
      </c>
      <c r="EK470">
        <v>333</v>
      </c>
      <c r="EL470" t="s">
        <v>465</v>
      </c>
      <c r="EM470" t="s">
        <v>466</v>
      </c>
      <c r="EO470" t="s">
        <v>3</v>
      </c>
      <c r="EQ470">
        <v>0</v>
      </c>
      <c r="ER470">
        <v>3907.01</v>
      </c>
      <c r="ES470">
        <v>3907.01</v>
      </c>
      <c r="ET470">
        <v>0</v>
      </c>
      <c r="EU470">
        <v>0</v>
      </c>
      <c r="EV470">
        <v>0</v>
      </c>
      <c r="EW470">
        <v>0</v>
      </c>
      <c r="EX470">
        <v>0</v>
      </c>
      <c r="FQ470">
        <v>0</v>
      </c>
      <c r="FR470">
        <f t="shared" si="432"/>
        <v>0</v>
      </c>
      <c r="FS470">
        <v>0</v>
      </c>
      <c r="FX470">
        <v>114</v>
      </c>
      <c r="FY470">
        <v>67</v>
      </c>
      <c r="GA470" t="s">
        <v>3</v>
      </c>
      <c r="GD470">
        <v>0</v>
      </c>
      <c r="GF470">
        <v>-985284414</v>
      </c>
      <c r="GG470">
        <v>2</v>
      </c>
      <c r="GH470">
        <v>1</v>
      </c>
      <c r="GI470">
        <v>3</v>
      </c>
      <c r="GJ470">
        <v>0</v>
      </c>
      <c r="GK470">
        <f>ROUND(R470*(S12)/100,2)</f>
        <v>0</v>
      </c>
      <c r="GL470">
        <f t="shared" si="433"/>
        <v>0</v>
      </c>
      <c r="GM470">
        <f t="shared" si="434"/>
        <v>15.47</v>
      </c>
      <c r="GN470">
        <f t="shared" si="435"/>
        <v>0</v>
      </c>
      <c r="GO470">
        <f t="shared" si="436"/>
        <v>15.47</v>
      </c>
      <c r="GP470">
        <f t="shared" si="437"/>
        <v>0</v>
      </c>
      <c r="GR470">
        <v>0</v>
      </c>
      <c r="GS470">
        <v>3</v>
      </c>
      <c r="GT470">
        <v>0</v>
      </c>
      <c r="GU470" t="s">
        <v>3</v>
      </c>
      <c r="GV470">
        <f t="shared" si="438"/>
        <v>0</v>
      </c>
      <c r="GW470">
        <v>1</v>
      </c>
      <c r="GX470">
        <f t="shared" si="439"/>
        <v>0</v>
      </c>
      <c r="HA470">
        <v>0</v>
      </c>
      <c r="HB470">
        <v>0</v>
      </c>
      <c r="IK470">
        <v>0</v>
      </c>
    </row>
    <row r="471" spans="1:255" x14ac:dyDescent="0.2">
      <c r="A471" s="2">
        <v>17</v>
      </c>
      <c r="B471" s="2">
        <v>1</v>
      </c>
      <c r="C471" s="2">
        <f>ROW(SmtRes!A414)</f>
        <v>414</v>
      </c>
      <c r="D471" s="2">
        <f>ROW(EtalonRes!A395)</f>
        <v>395</v>
      </c>
      <c r="E471" s="2" t="s">
        <v>554</v>
      </c>
      <c r="F471" s="2" t="s">
        <v>555</v>
      </c>
      <c r="G471" s="2" t="s">
        <v>556</v>
      </c>
      <c r="H471" s="2" t="s">
        <v>463</v>
      </c>
      <c r="I471" s="2">
        <f>ROUND(2/100,9)</f>
        <v>0.02</v>
      </c>
      <c r="J471" s="2">
        <v>0</v>
      </c>
      <c r="K471" s="2"/>
      <c r="L471" s="2"/>
      <c r="M471" s="2"/>
      <c r="N471" s="2"/>
      <c r="O471" s="2">
        <f t="shared" si="406"/>
        <v>50.7</v>
      </c>
      <c r="P471" s="2">
        <f t="shared" si="407"/>
        <v>6.02</v>
      </c>
      <c r="Q471" s="2">
        <f t="shared" si="408"/>
        <v>5.21</v>
      </c>
      <c r="R471" s="2">
        <f t="shared" si="409"/>
        <v>1.21</v>
      </c>
      <c r="S471" s="2">
        <f t="shared" si="410"/>
        <v>39.47</v>
      </c>
      <c r="T471" s="2">
        <f t="shared" si="411"/>
        <v>0</v>
      </c>
      <c r="U471" s="2">
        <f t="shared" si="412"/>
        <v>3.0359999999999996</v>
      </c>
      <c r="V471" s="2">
        <f t="shared" si="413"/>
        <v>0</v>
      </c>
      <c r="W471" s="2">
        <f t="shared" si="414"/>
        <v>0</v>
      </c>
      <c r="X471" s="2">
        <f t="shared" si="415"/>
        <v>0</v>
      </c>
      <c r="Y471" s="2">
        <f t="shared" si="416"/>
        <v>0</v>
      </c>
      <c r="Z471" s="2"/>
      <c r="AA471" s="2">
        <v>45037306</v>
      </c>
      <c r="AB471" s="2">
        <f t="shared" si="417"/>
        <v>2534.7249999999999</v>
      </c>
      <c r="AC471" s="2">
        <f t="shared" si="418"/>
        <v>301</v>
      </c>
      <c r="AD471" s="2">
        <f>ROUND(((ET471*1.25)),6)</f>
        <v>260.32499999999999</v>
      </c>
      <c r="AE471" s="2">
        <f>ROUND(((EU471*1.25)),6)</f>
        <v>60.45</v>
      </c>
      <c r="AF471" s="2">
        <f>ROUND(((EV471*1.15)),6)</f>
        <v>1973.4</v>
      </c>
      <c r="AG471" s="2">
        <f t="shared" si="419"/>
        <v>0</v>
      </c>
      <c r="AH471" s="2">
        <f>((EW471*1.15))</f>
        <v>151.79999999999998</v>
      </c>
      <c r="AI471" s="2">
        <f>((EX471*1.25))</f>
        <v>0</v>
      </c>
      <c r="AJ471" s="2">
        <f t="shared" si="420"/>
        <v>0</v>
      </c>
      <c r="AK471" s="2">
        <v>2225.2600000000002</v>
      </c>
      <c r="AL471" s="2">
        <v>301</v>
      </c>
      <c r="AM471" s="2">
        <v>208.26</v>
      </c>
      <c r="AN471" s="2">
        <v>48.36</v>
      </c>
      <c r="AO471" s="2">
        <v>1716</v>
      </c>
      <c r="AP471" s="2">
        <v>0</v>
      </c>
      <c r="AQ471" s="2">
        <v>132</v>
      </c>
      <c r="AR471" s="2">
        <v>0</v>
      </c>
      <c r="AS471" s="2">
        <v>0</v>
      </c>
      <c r="AT471" s="2">
        <v>0</v>
      </c>
      <c r="AU471" s="2">
        <v>0</v>
      </c>
      <c r="AV471" s="2">
        <v>1</v>
      </c>
      <c r="AW471" s="2">
        <v>1</v>
      </c>
      <c r="AX471" s="2"/>
      <c r="AY471" s="2"/>
      <c r="AZ471" s="2">
        <v>1</v>
      </c>
      <c r="BA471" s="2">
        <v>1</v>
      </c>
      <c r="BB471" s="2">
        <v>1</v>
      </c>
      <c r="BC471" s="2">
        <v>1</v>
      </c>
      <c r="BD471" s="2" t="s">
        <v>3</v>
      </c>
      <c r="BE471" s="2" t="s">
        <v>3</v>
      </c>
      <c r="BF471" s="2" t="s">
        <v>3</v>
      </c>
      <c r="BG471" s="2" t="s">
        <v>3</v>
      </c>
      <c r="BH471" s="2">
        <v>0</v>
      </c>
      <c r="BI471" s="2">
        <v>2</v>
      </c>
      <c r="BJ471" s="2" t="s">
        <v>557</v>
      </c>
      <c r="BK471" s="2"/>
      <c r="BL471" s="2"/>
      <c r="BM471" s="2">
        <v>333</v>
      </c>
      <c r="BN471" s="2">
        <v>7156650</v>
      </c>
      <c r="BO471" s="2" t="s">
        <v>3</v>
      </c>
      <c r="BP471" s="2">
        <v>0</v>
      </c>
      <c r="BQ471" s="2">
        <v>40</v>
      </c>
      <c r="BR471" s="2">
        <v>0</v>
      </c>
      <c r="BS471" s="2">
        <v>1</v>
      </c>
      <c r="BT471" s="2">
        <v>1</v>
      </c>
      <c r="BU471" s="2">
        <v>1</v>
      </c>
      <c r="BV471" s="2">
        <v>1</v>
      </c>
      <c r="BW471" s="2">
        <v>1</v>
      </c>
      <c r="BX471" s="2">
        <v>1</v>
      </c>
      <c r="BY471" s="2" t="s">
        <v>3</v>
      </c>
      <c r="BZ471" s="2">
        <v>0</v>
      </c>
      <c r="CA471" s="2">
        <v>0</v>
      </c>
      <c r="CB471" s="2"/>
      <c r="CC471" s="2"/>
      <c r="CD471" s="2"/>
      <c r="CE471" s="2"/>
      <c r="CF471" s="2">
        <v>0</v>
      </c>
      <c r="CG471" s="2">
        <v>0</v>
      </c>
      <c r="CH471" s="2"/>
      <c r="CI471" s="2"/>
      <c r="CJ471" s="2"/>
      <c r="CK471" s="2"/>
      <c r="CL471" s="2"/>
      <c r="CM471" s="2">
        <v>0</v>
      </c>
      <c r="CN471" s="2" t="s">
        <v>3</v>
      </c>
      <c r="CO471" s="2">
        <v>0</v>
      </c>
      <c r="CP471" s="2">
        <f t="shared" si="421"/>
        <v>50.7</v>
      </c>
      <c r="CQ471" s="2">
        <f t="shared" si="422"/>
        <v>301</v>
      </c>
      <c r="CR471" s="2">
        <f t="shared" si="423"/>
        <v>260.32499999999999</v>
      </c>
      <c r="CS471" s="2">
        <f t="shared" si="424"/>
        <v>60.45</v>
      </c>
      <c r="CT471" s="2">
        <f t="shared" si="425"/>
        <v>1973.4</v>
      </c>
      <c r="CU471" s="2">
        <f t="shared" si="426"/>
        <v>0</v>
      </c>
      <c r="CV471" s="2">
        <f t="shared" si="427"/>
        <v>151.79999999999998</v>
      </c>
      <c r="CW471" s="2">
        <f t="shared" si="428"/>
        <v>0</v>
      </c>
      <c r="CX471" s="2">
        <f t="shared" si="429"/>
        <v>0</v>
      </c>
      <c r="CY471" s="2">
        <f t="shared" si="430"/>
        <v>0</v>
      </c>
      <c r="CZ471" s="2">
        <f t="shared" si="431"/>
        <v>0</v>
      </c>
      <c r="DA471" s="2"/>
      <c r="DB471" s="2"/>
      <c r="DC471" s="2" t="s">
        <v>3</v>
      </c>
      <c r="DD471" s="2" t="s">
        <v>3</v>
      </c>
      <c r="DE471" s="2" t="s">
        <v>36</v>
      </c>
      <c r="DF471" s="2" t="s">
        <v>36</v>
      </c>
      <c r="DG471" s="2" t="s">
        <v>37</v>
      </c>
      <c r="DH471" s="2" t="s">
        <v>3</v>
      </c>
      <c r="DI471" s="2" t="s">
        <v>37</v>
      </c>
      <c r="DJ471" s="2" t="s">
        <v>36</v>
      </c>
      <c r="DK471" s="2" t="s">
        <v>3</v>
      </c>
      <c r="DL471" s="2" t="s">
        <v>3</v>
      </c>
      <c r="DM471" s="2" t="s">
        <v>3</v>
      </c>
      <c r="DN471" s="2">
        <v>114</v>
      </c>
      <c r="DO471" s="2">
        <v>67</v>
      </c>
      <c r="DP471" s="2">
        <v>1.0469999999999999</v>
      </c>
      <c r="DQ471" s="2">
        <v>1</v>
      </c>
      <c r="DR471" s="2"/>
      <c r="DS471" s="2"/>
      <c r="DT471" s="2"/>
      <c r="DU471" s="2">
        <v>1010</v>
      </c>
      <c r="DV471" s="2" t="s">
        <v>463</v>
      </c>
      <c r="DW471" s="2" t="s">
        <v>463</v>
      </c>
      <c r="DX471" s="2">
        <v>100</v>
      </c>
      <c r="DY471" s="2"/>
      <c r="DZ471" s="2"/>
      <c r="EA471" s="2"/>
      <c r="EB471" s="2"/>
      <c r="EC471" s="2"/>
      <c r="ED471" s="2"/>
      <c r="EE471" s="2">
        <v>44846840</v>
      </c>
      <c r="EF471" s="2">
        <v>40</v>
      </c>
      <c r="EG471" s="2" t="s">
        <v>453</v>
      </c>
      <c r="EH471" s="2">
        <v>0</v>
      </c>
      <c r="EI471" s="2" t="s">
        <v>3</v>
      </c>
      <c r="EJ471" s="2">
        <v>2</v>
      </c>
      <c r="EK471" s="2">
        <v>333</v>
      </c>
      <c r="EL471" s="2" t="s">
        <v>465</v>
      </c>
      <c r="EM471" s="2" t="s">
        <v>466</v>
      </c>
      <c r="EN471" s="2"/>
      <c r="EO471" s="2" t="s">
        <v>3</v>
      </c>
      <c r="EP471" s="2"/>
      <c r="EQ471" s="2">
        <v>131072</v>
      </c>
      <c r="ER471" s="2">
        <v>2225.2600000000002</v>
      </c>
      <c r="ES471" s="2">
        <v>301</v>
      </c>
      <c r="ET471" s="2">
        <v>208.26</v>
      </c>
      <c r="EU471" s="2">
        <v>48.36</v>
      </c>
      <c r="EV471" s="2">
        <v>1716</v>
      </c>
      <c r="EW471" s="2">
        <v>132</v>
      </c>
      <c r="EX471" s="2">
        <v>0</v>
      </c>
      <c r="EY471" s="2">
        <v>0</v>
      </c>
      <c r="EZ471" s="2"/>
      <c r="FA471" s="2"/>
      <c r="FB471" s="2"/>
      <c r="FC471" s="2"/>
      <c r="FD471" s="2"/>
      <c r="FE471" s="2"/>
      <c r="FF471" s="2"/>
      <c r="FG471" s="2"/>
      <c r="FH471" s="2"/>
      <c r="FI471" s="2"/>
      <c r="FJ471" s="2"/>
      <c r="FK471" s="2"/>
      <c r="FL471" s="2"/>
      <c r="FM471" s="2"/>
      <c r="FN471" s="2"/>
      <c r="FO471" s="2"/>
      <c r="FP471" s="2"/>
      <c r="FQ471" s="2">
        <v>0</v>
      </c>
      <c r="FR471" s="2">
        <f t="shared" si="432"/>
        <v>0</v>
      </c>
      <c r="FS471" s="2">
        <v>0</v>
      </c>
      <c r="FT471" s="2"/>
      <c r="FU471" s="2"/>
      <c r="FV471" s="2"/>
      <c r="FW471" s="2"/>
      <c r="FX471" s="2">
        <v>114</v>
      </c>
      <c r="FY471" s="2">
        <v>67</v>
      </c>
      <c r="FZ471" s="2"/>
      <c r="GA471" s="2" t="s">
        <v>3</v>
      </c>
      <c r="GB471" s="2"/>
      <c r="GC471" s="2"/>
      <c r="GD471" s="2">
        <v>0</v>
      </c>
      <c r="GE471" s="2"/>
      <c r="GF471" s="2">
        <v>-19184179</v>
      </c>
      <c r="GG471" s="2">
        <v>2</v>
      </c>
      <c r="GH471" s="2">
        <v>1</v>
      </c>
      <c r="GI471" s="2">
        <v>3</v>
      </c>
      <c r="GJ471" s="2">
        <v>0</v>
      </c>
      <c r="GK471" s="2">
        <f>ROUND(R471*(R12)/100,2)</f>
        <v>2.1800000000000002</v>
      </c>
      <c r="GL471" s="2">
        <f t="shared" si="433"/>
        <v>0</v>
      </c>
      <c r="GM471" s="2">
        <f t="shared" si="434"/>
        <v>52.88</v>
      </c>
      <c r="GN471" s="2">
        <f t="shared" si="435"/>
        <v>0</v>
      </c>
      <c r="GO471" s="2">
        <f t="shared" si="436"/>
        <v>52.88</v>
      </c>
      <c r="GP471" s="2">
        <f t="shared" si="437"/>
        <v>0</v>
      </c>
      <c r="GQ471" s="2"/>
      <c r="GR471" s="2">
        <v>0</v>
      </c>
      <c r="GS471" s="2">
        <v>3</v>
      </c>
      <c r="GT471" s="2">
        <v>0</v>
      </c>
      <c r="GU471" s="2" t="s">
        <v>3</v>
      </c>
      <c r="GV471" s="2">
        <f t="shared" si="438"/>
        <v>0</v>
      </c>
      <c r="GW471" s="2">
        <v>1</v>
      </c>
      <c r="GX471" s="2">
        <f t="shared" si="439"/>
        <v>0</v>
      </c>
      <c r="GY471" s="2"/>
      <c r="GZ471" s="2"/>
      <c r="HA471" s="2">
        <v>0</v>
      </c>
      <c r="HB471" s="2">
        <v>0</v>
      </c>
      <c r="HC471" s="2"/>
      <c r="HD471" s="2"/>
      <c r="HE471" s="2"/>
      <c r="HF471" s="2"/>
      <c r="HG471" s="2"/>
      <c r="HH471" s="2"/>
      <c r="HI471" s="2"/>
      <c r="HJ471" s="2"/>
      <c r="HK471" s="2"/>
      <c r="HL471" s="2"/>
      <c r="HM471" s="2"/>
      <c r="HN471" s="2"/>
      <c r="HO471" s="2"/>
      <c r="HP471" s="2"/>
      <c r="HQ471" s="2"/>
      <c r="HR471" s="2"/>
      <c r="HS471" s="2"/>
      <c r="HT471" s="2"/>
      <c r="HU471" s="2"/>
      <c r="HV471" s="2"/>
      <c r="HW471" s="2"/>
      <c r="HX471" s="2"/>
      <c r="HY471" s="2"/>
      <c r="HZ471" s="2"/>
      <c r="IA471" s="2"/>
      <c r="IB471" s="2"/>
      <c r="IC471" s="2"/>
      <c r="ID471" s="2"/>
      <c r="IE471" s="2"/>
      <c r="IF471" s="2"/>
      <c r="IG471" s="2"/>
      <c r="IH471" s="2"/>
      <c r="II471" s="2"/>
      <c r="IJ471" s="2"/>
      <c r="IK471" s="2">
        <v>0</v>
      </c>
      <c r="IL471" s="2"/>
      <c r="IM471" s="2"/>
      <c r="IN471" s="2"/>
      <c r="IO471" s="2"/>
      <c r="IP471" s="2"/>
      <c r="IQ471" s="2"/>
      <c r="IR471" s="2"/>
      <c r="IS471" s="2"/>
      <c r="IT471" s="2"/>
      <c r="IU471" s="2"/>
    </row>
    <row r="472" spans="1:255" x14ac:dyDescent="0.2">
      <c r="A472">
        <v>17</v>
      </c>
      <c r="B472">
        <v>1</v>
      </c>
      <c r="C472">
        <f>ROW(SmtRes!A416)</f>
        <v>416</v>
      </c>
      <c r="D472">
        <f>ROW(EtalonRes!A396)</f>
        <v>396</v>
      </c>
      <c r="E472" t="s">
        <v>554</v>
      </c>
      <c r="F472" t="s">
        <v>555</v>
      </c>
      <c r="G472" t="s">
        <v>556</v>
      </c>
      <c r="H472" t="s">
        <v>463</v>
      </c>
      <c r="I472">
        <f>ROUND(2/100,9)</f>
        <v>0.02</v>
      </c>
      <c r="J472">
        <v>0</v>
      </c>
      <c r="O472">
        <f t="shared" si="406"/>
        <v>882.92</v>
      </c>
      <c r="P472">
        <f t="shared" si="407"/>
        <v>31.48</v>
      </c>
      <c r="Q472">
        <f t="shared" si="408"/>
        <v>46.29</v>
      </c>
      <c r="R472">
        <f t="shared" si="409"/>
        <v>24.66</v>
      </c>
      <c r="S472">
        <f t="shared" si="410"/>
        <v>805.15</v>
      </c>
      <c r="T472">
        <f t="shared" si="411"/>
        <v>0</v>
      </c>
      <c r="U472">
        <f t="shared" si="412"/>
        <v>3.0359999999999996</v>
      </c>
      <c r="V472">
        <f t="shared" si="413"/>
        <v>0</v>
      </c>
      <c r="W472">
        <f t="shared" si="414"/>
        <v>0</v>
      </c>
      <c r="X472">
        <f t="shared" si="415"/>
        <v>619.97</v>
      </c>
      <c r="Y472">
        <f t="shared" si="416"/>
        <v>330.11</v>
      </c>
      <c r="AA472">
        <v>45037307</v>
      </c>
      <c r="AB472">
        <f t="shared" si="417"/>
        <v>2534.7249999999999</v>
      </c>
      <c r="AC472">
        <f t="shared" si="418"/>
        <v>301</v>
      </c>
      <c r="AD472">
        <f>ROUND(((ET472*1.25)),6)</f>
        <v>260.32499999999999</v>
      </c>
      <c r="AE472">
        <f>ROUND(((EU472*1.25)),6)</f>
        <v>60.45</v>
      </c>
      <c r="AF472">
        <f>ROUND(((EV472*1.15)),6)</f>
        <v>1973.4</v>
      </c>
      <c r="AG472">
        <f t="shared" si="419"/>
        <v>0</v>
      </c>
      <c r="AH472">
        <f>((EW472*1.15))</f>
        <v>151.79999999999998</v>
      </c>
      <c r="AI472">
        <f>((EX472*1.25))</f>
        <v>0</v>
      </c>
      <c r="AJ472">
        <f t="shared" si="420"/>
        <v>0</v>
      </c>
      <c r="AK472">
        <v>2225.2600000000002</v>
      </c>
      <c r="AL472">
        <v>301</v>
      </c>
      <c r="AM472">
        <v>208.26</v>
      </c>
      <c r="AN472">
        <v>48.36</v>
      </c>
      <c r="AO472">
        <v>1716</v>
      </c>
      <c r="AP472">
        <v>0</v>
      </c>
      <c r="AQ472">
        <v>132</v>
      </c>
      <c r="AR472">
        <v>0</v>
      </c>
      <c r="AS472">
        <v>0</v>
      </c>
      <c r="AT472">
        <v>77</v>
      </c>
      <c r="AU472">
        <v>41</v>
      </c>
      <c r="AV472">
        <v>1</v>
      </c>
      <c r="AW472">
        <v>1</v>
      </c>
      <c r="AZ472">
        <v>1</v>
      </c>
      <c r="BA472">
        <v>20.399999999999999</v>
      </c>
      <c r="BB472">
        <v>8.89</v>
      </c>
      <c r="BC472">
        <v>5.23</v>
      </c>
      <c r="BD472" t="s">
        <v>3</v>
      </c>
      <c r="BE472" t="s">
        <v>3</v>
      </c>
      <c r="BF472" t="s">
        <v>3</v>
      </c>
      <c r="BG472" t="s">
        <v>3</v>
      </c>
      <c r="BH472">
        <v>0</v>
      </c>
      <c r="BI472">
        <v>2</v>
      </c>
      <c r="BJ472" t="s">
        <v>557</v>
      </c>
      <c r="BM472">
        <v>333</v>
      </c>
      <c r="BN472">
        <v>7156650</v>
      </c>
      <c r="BO472" t="s">
        <v>555</v>
      </c>
      <c r="BP472">
        <v>1</v>
      </c>
      <c r="BQ472">
        <v>40</v>
      </c>
      <c r="BR472">
        <v>0</v>
      </c>
      <c r="BS472">
        <v>20.399999999999999</v>
      </c>
      <c r="BT472">
        <v>1</v>
      </c>
      <c r="BU472">
        <v>1</v>
      </c>
      <c r="BV472">
        <v>1</v>
      </c>
      <c r="BW472">
        <v>1</v>
      </c>
      <c r="BX472">
        <v>1</v>
      </c>
      <c r="BY472" t="s">
        <v>3</v>
      </c>
      <c r="BZ472">
        <v>77</v>
      </c>
      <c r="CA472">
        <v>41</v>
      </c>
      <c r="CF472">
        <v>0</v>
      </c>
      <c r="CG472">
        <v>0</v>
      </c>
      <c r="CM472">
        <v>0</v>
      </c>
      <c r="CN472" t="s">
        <v>3</v>
      </c>
      <c r="CO472">
        <v>0</v>
      </c>
      <c r="CP472">
        <f t="shared" si="421"/>
        <v>882.92</v>
      </c>
      <c r="CQ472">
        <f t="shared" si="422"/>
        <v>1574.23</v>
      </c>
      <c r="CR472">
        <f t="shared" si="423"/>
        <v>2314.2892500000003</v>
      </c>
      <c r="CS472">
        <f t="shared" si="424"/>
        <v>1233.18</v>
      </c>
      <c r="CT472">
        <f t="shared" si="425"/>
        <v>40257.360000000001</v>
      </c>
      <c r="CU472">
        <f t="shared" si="426"/>
        <v>0</v>
      </c>
      <c r="CV472">
        <f t="shared" si="427"/>
        <v>151.79999999999998</v>
      </c>
      <c r="CW472">
        <f t="shared" si="428"/>
        <v>0</v>
      </c>
      <c r="CX472">
        <f t="shared" si="429"/>
        <v>0</v>
      </c>
      <c r="CY472">
        <f t="shared" si="430"/>
        <v>619.96550000000002</v>
      </c>
      <c r="CZ472">
        <f t="shared" si="431"/>
        <v>330.11149999999998</v>
      </c>
      <c r="DC472" t="s">
        <v>3</v>
      </c>
      <c r="DD472" t="s">
        <v>3</v>
      </c>
      <c r="DE472" t="s">
        <v>36</v>
      </c>
      <c r="DF472" t="s">
        <v>36</v>
      </c>
      <c r="DG472" t="s">
        <v>37</v>
      </c>
      <c r="DH472" t="s">
        <v>3</v>
      </c>
      <c r="DI472" t="s">
        <v>37</v>
      </c>
      <c r="DJ472" t="s">
        <v>36</v>
      </c>
      <c r="DK472" t="s">
        <v>3</v>
      </c>
      <c r="DL472" t="s">
        <v>3</v>
      </c>
      <c r="DM472" t="s">
        <v>3</v>
      </c>
      <c r="DN472">
        <v>114</v>
      </c>
      <c r="DO472">
        <v>67</v>
      </c>
      <c r="DP472">
        <v>1.0469999999999999</v>
      </c>
      <c r="DQ472">
        <v>1</v>
      </c>
      <c r="DU472">
        <v>1010</v>
      </c>
      <c r="DV472" t="s">
        <v>463</v>
      </c>
      <c r="DW472" t="s">
        <v>463</v>
      </c>
      <c r="DX472">
        <v>100</v>
      </c>
      <c r="EE472">
        <v>44846840</v>
      </c>
      <c r="EF472">
        <v>40</v>
      </c>
      <c r="EG472" t="s">
        <v>453</v>
      </c>
      <c r="EH472">
        <v>0</v>
      </c>
      <c r="EI472" t="s">
        <v>3</v>
      </c>
      <c r="EJ472">
        <v>2</v>
      </c>
      <c r="EK472">
        <v>333</v>
      </c>
      <c r="EL472" t="s">
        <v>465</v>
      </c>
      <c r="EM472" t="s">
        <v>466</v>
      </c>
      <c r="EO472" t="s">
        <v>3</v>
      </c>
      <c r="EQ472">
        <v>131072</v>
      </c>
      <c r="ER472">
        <v>2225.2600000000002</v>
      </c>
      <c r="ES472">
        <v>301</v>
      </c>
      <c r="ET472">
        <v>208.26</v>
      </c>
      <c r="EU472">
        <v>48.36</v>
      </c>
      <c r="EV472">
        <v>1716</v>
      </c>
      <c r="EW472">
        <v>132</v>
      </c>
      <c r="EX472">
        <v>0</v>
      </c>
      <c r="EY472">
        <v>0</v>
      </c>
      <c r="FQ472">
        <v>0</v>
      </c>
      <c r="FR472">
        <f t="shared" si="432"/>
        <v>0</v>
      </c>
      <c r="FS472">
        <v>0</v>
      </c>
      <c r="FX472">
        <v>114</v>
      </c>
      <c r="FY472">
        <v>67</v>
      </c>
      <c r="GA472" t="s">
        <v>3</v>
      </c>
      <c r="GD472">
        <v>0</v>
      </c>
      <c r="GF472">
        <v>-19184179</v>
      </c>
      <c r="GG472">
        <v>2</v>
      </c>
      <c r="GH472">
        <v>1</v>
      </c>
      <c r="GI472">
        <v>3</v>
      </c>
      <c r="GJ472">
        <v>0</v>
      </c>
      <c r="GK472">
        <f>ROUND(R472*(S12)/100,2)</f>
        <v>41.43</v>
      </c>
      <c r="GL472">
        <f t="shared" si="433"/>
        <v>0</v>
      </c>
      <c r="GM472">
        <f t="shared" si="434"/>
        <v>1874.43</v>
      </c>
      <c r="GN472">
        <f t="shared" si="435"/>
        <v>0</v>
      </c>
      <c r="GO472">
        <f t="shared" si="436"/>
        <v>1874.43</v>
      </c>
      <c r="GP472">
        <f t="shared" si="437"/>
        <v>0</v>
      </c>
      <c r="GR472">
        <v>0</v>
      </c>
      <c r="GS472">
        <v>3</v>
      </c>
      <c r="GT472">
        <v>0</v>
      </c>
      <c r="GU472" t="s">
        <v>3</v>
      </c>
      <c r="GV472">
        <f t="shared" si="438"/>
        <v>0</v>
      </c>
      <c r="GW472">
        <v>1</v>
      </c>
      <c r="GX472">
        <f t="shared" si="439"/>
        <v>0</v>
      </c>
      <c r="HA472">
        <v>0</v>
      </c>
      <c r="HB472">
        <v>0</v>
      </c>
      <c r="IK472">
        <v>0</v>
      </c>
    </row>
    <row r="473" spans="1:255" x14ac:dyDescent="0.2">
      <c r="A473" s="2">
        <v>18</v>
      </c>
      <c r="B473" s="2">
        <v>1</v>
      </c>
      <c r="C473" s="2">
        <v>414</v>
      </c>
      <c r="D473" s="2"/>
      <c r="E473" s="2" t="s">
        <v>558</v>
      </c>
      <c r="F473" s="2" t="s">
        <v>559</v>
      </c>
      <c r="G473" s="2" t="s">
        <v>560</v>
      </c>
      <c r="H473" s="2" t="s">
        <v>304</v>
      </c>
      <c r="I473" s="2">
        <f>I471*J473</f>
        <v>2</v>
      </c>
      <c r="J473" s="2">
        <v>100</v>
      </c>
      <c r="K473" s="2"/>
      <c r="L473" s="2"/>
      <c r="M473" s="2"/>
      <c r="N473" s="2"/>
      <c r="O473" s="2">
        <f t="shared" si="406"/>
        <v>962.46</v>
      </c>
      <c r="P473" s="2">
        <f t="shared" si="407"/>
        <v>962.46</v>
      </c>
      <c r="Q473" s="2">
        <f t="shared" si="408"/>
        <v>0</v>
      </c>
      <c r="R473" s="2">
        <f t="shared" si="409"/>
        <v>0</v>
      </c>
      <c r="S473" s="2">
        <f t="shared" si="410"/>
        <v>0</v>
      </c>
      <c r="T473" s="2">
        <f t="shared" si="411"/>
        <v>0</v>
      </c>
      <c r="U473" s="2">
        <f t="shared" si="412"/>
        <v>0</v>
      </c>
      <c r="V473" s="2">
        <f t="shared" si="413"/>
        <v>0</v>
      </c>
      <c r="W473" s="2">
        <f t="shared" si="414"/>
        <v>0</v>
      </c>
      <c r="X473" s="2">
        <f t="shared" si="415"/>
        <v>0</v>
      </c>
      <c r="Y473" s="2">
        <f t="shared" si="416"/>
        <v>0</v>
      </c>
      <c r="Z473" s="2"/>
      <c r="AA473" s="2">
        <v>45037306</v>
      </c>
      <c r="AB473" s="2">
        <f t="shared" si="417"/>
        <v>481.23</v>
      </c>
      <c r="AC473" s="2">
        <f t="shared" si="418"/>
        <v>481.23</v>
      </c>
      <c r="AD473" s="2">
        <f t="shared" ref="AD473:AF474" si="446">ROUND((ET473),6)</f>
        <v>0</v>
      </c>
      <c r="AE473" s="2">
        <f t="shared" si="446"/>
        <v>0</v>
      </c>
      <c r="AF473" s="2">
        <f t="shared" si="446"/>
        <v>0</v>
      </c>
      <c r="AG473" s="2">
        <f t="shared" si="419"/>
        <v>0</v>
      </c>
      <c r="AH473" s="2">
        <f>(EW473)</f>
        <v>0</v>
      </c>
      <c r="AI473" s="2">
        <f>(EX473)</f>
        <v>0</v>
      </c>
      <c r="AJ473" s="2">
        <f t="shared" si="420"/>
        <v>0</v>
      </c>
      <c r="AK473" s="2">
        <v>481.23</v>
      </c>
      <c r="AL473" s="2">
        <v>481.23</v>
      </c>
      <c r="AM473" s="2">
        <v>0</v>
      </c>
      <c r="AN473" s="2">
        <v>0</v>
      </c>
      <c r="AO473" s="2">
        <v>0</v>
      </c>
      <c r="AP473" s="2">
        <v>0</v>
      </c>
      <c r="AQ473" s="2">
        <v>0</v>
      </c>
      <c r="AR473" s="2">
        <v>0</v>
      </c>
      <c r="AS473" s="2">
        <v>0</v>
      </c>
      <c r="AT473" s="2">
        <v>0</v>
      </c>
      <c r="AU473" s="2">
        <v>0</v>
      </c>
      <c r="AV473" s="2">
        <v>1</v>
      </c>
      <c r="AW473" s="2">
        <v>1</v>
      </c>
      <c r="AX473" s="2"/>
      <c r="AY473" s="2"/>
      <c r="AZ473" s="2">
        <v>1</v>
      </c>
      <c r="BA473" s="2">
        <v>1</v>
      </c>
      <c r="BB473" s="2">
        <v>1</v>
      </c>
      <c r="BC473" s="2">
        <v>1</v>
      </c>
      <c r="BD473" s="2" t="s">
        <v>3</v>
      </c>
      <c r="BE473" s="2" t="s">
        <v>3</v>
      </c>
      <c r="BF473" s="2" t="s">
        <v>3</v>
      </c>
      <c r="BG473" s="2" t="s">
        <v>3</v>
      </c>
      <c r="BH473" s="2">
        <v>3</v>
      </c>
      <c r="BI473" s="2">
        <v>2</v>
      </c>
      <c r="BJ473" s="2" t="s">
        <v>561</v>
      </c>
      <c r="BK473" s="2"/>
      <c r="BL473" s="2"/>
      <c r="BM473" s="2">
        <v>333</v>
      </c>
      <c r="BN473" s="2">
        <v>7156650</v>
      </c>
      <c r="BO473" s="2" t="s">
        <v>3</v>
      </c>
      <c r="BP473" s="2">
        <v>0</v>
      </c>
      <c r="BQ473" s="2">
        <v>40</v>
      </c>
      <c r="BR473" s="2">
        <v>0</v>
      </c>
      <c r="BS473" s="2">
        <v>1</v>
      </c>
      <c r="BT473" s="2">
        <v>1</v>
      </c>
      <c r="BU473" s="2">
        <v>1</v>
      </c>
      <c r="BV473" s="2">
        <v>1</v>
      </c>
      <c r="BW473" s="2">
        <v>1</v>
      </c>
      <c r="BX473" s="2">
        <v>1</v>
      </c>
      <c r="BY473" s="2" t="s">
        <v>3</v>
      </c>
      <c r="BZ473" s="2">
        <v>0</v>
      </c>
      <c r="CA473" s="2">
        <v>0</v>
      </c>
      <c r="CB473" s="2"/>
      <c r="CC473" s="2"/>
      <c r="CD473" s="2"/>
      <c r="CE473" s="2"/>
      <c r="CF473" s="2">
        <v>0</v>
      </c>
      <c r="CG473" s="2">
        <v>0</v>
      </c>
      <c r="CH473" s="2"/>
      <c r="CI473" s="2"/>
      <c r="CJ473" s="2"/>
      <c r="CK473" s="2"/>
      <c r="CL473" s="2"/>
      <c r="CM473" s="2">
        <v>0</v>
      </c>
      <c r="CN473" s="2" t="s">
        <v>3</v>
      </c>
      <c r="CO473" s="2">
        <v>0</v>
      </c>
      <c r="CP473" s="2">
        <f t="shared" si="421"/>
        <v>962.46</v>
      </c>
      <c r="CQ473" s="2">
        <f t="shared" si="422"/>
        <v>481.23</v>
      </c>
      <c r="CR473" s="2">
        <f t="shared" si="423"/>
        <v>0</v>
      </c>
      <c r="CS473" s="2">
        <f t="shared" si="424"/>
        <v>0</v>
      </c>
      <c r="CT473" s="2">
        <f t="shared" si="425"/>
        <v>0</v>
      </c>
      <c r="CU473" s="2">
        <f t="shared" si="426"/>
        <v>0</v>
      </c>
      <c r="CV473" s="2">
        <f t="shared" si="427"/>
        <v>0</v>
      </c>
      <c r="CW473" s="2">
        <f t="shared" si="428"/>
        <v>0</v>
      </c>
      <c r="CX473" s="2">
        <f t="shared" si="429"/>
        <v>0</v>
      </c>
      <c r="CY473" s="2">
        <f t="shared" si="430"/>
        <v>0</v>
      </c>
      <c r="CZ473" s="2">
        <f t="shared" si="431"/>
        <v>0</v>
      </c>
      <c r="DA473" s="2"/>
      <c r="DB473" s="2"/>
      <c r="DC473" s="2" t="s">
        <v>3</v>
      </c>
      <c r="DD473" s="2" t="s">
        <v>3</v>
      </c>
      <c r="DE473" s="2" t="s">
        <v>3</v>
      </c>
      <c r="DF473" s="2" t="s">
        <v>3</v>
      </c>
      <c r="DG473" s="2" t="s">
        <v>3</v>
      </c>
      <c r="DH473" s="2" t="s">
        <v>3</v>
      </c>
      <c r="DI473" s="2" t="s">
        <v>3</v>
      </c>
      <c r="DJ473" s="2" t="s">
        <v>3</v>
      </c>
      <c r="DK473" s="2" t="s">
        <v>3</v>
      </c>
      <c r="DL473" s="2" t="s">
        <v>3</v>
      </c>
      <c r="DM473" s="2" t="s">
        <v>3</v>
      </c>
      <c r="DN473" s="2">
        <v>114</v>
      </c>
      <c r="DO473" s="2">
        <v>67</v>
      </c>
      <c r="DP473" s="2">
        <v>1.0469999999999999</v>
      </c>
      <c r="DQ473" s="2">
        <v>1</v>
      </c>
      <c r="DR473" s="2"/>
      <c r="DS473" s="2"/>
      <c r="DT473" s="2"/>
      <c r="DU473" s="2">
        <v>1010</v>
      </c>
      <c r="DV473" s="2" t="s">
        <v>304</v>
      </c>
      <c r="DW473" s="2" t="s">
        <v>304</v>
      </c>
      <c r="DX473" s="2">
        <v>1</v>
      </c>
      <c r="DY473" s="2"/>
      <c r="DZ473" s="2"/>
      <c r="EA473" s="2"/>
      <c r="EB473" s="2"/>
      <c r="EC473" s="2"/>
      <c r="ED473" s="2"/>
      <c r="EE473" s="2">
        <v>44846840</v>
      </c>
      <c r="EF473" s="2">
        <v>40</v>
      </c>
      <c r="EG473" s="2" t="s">
        <v>453</v>
      </c>
      <c r="EH473" s="2">
        <v>0</v>
      </c>
      <c r="EI473" s="2" t="s">
        <v>3</v>
      </c>
      <c r="EJ473" s="2">
        <v>2</v>
      </c>
      <c r="EK473" s="2">
        <v>333</v>
      </c>
      <c r="EL473" s="2" t="s">
        <v>465</v>
      </c>
      <c r="EM473" s="2" t="s">
        <v>466</v>
      </c>
      <c r="EN473" s="2"/>
      <c r="EO473" s="2" t="s">
        <v>3</v>
      </c>
      <c r="EP473" s="2"/>
      <c r="EQ473" s="2">
        <v>0</v>
      </c>
      <c r="ER473" s="2">
        <v>481.23</v>
      </c>
      <c r="ES473" s="2">
        <v>481.23</v>
      </c>
      <c r="ET473" s="2">
        <v>0</v>
      </c>
      <c r="EU473" s="2">
        <v>0</v>
      </c>
      <c r="EV473" s="2">
        <v>0</v>
      </c>
      <c r="EW473" s="2">
        <v>0</v>
      </c>
      <c r="EX473" s="2">
        <v>0</v>
      </c>
      <c r="EY473" s="2"/>
      <c r="EZ473" s="2"/>
      <c r="FA473" s="2"/>
      <c r="FB473" s="2"/>
      <c r="FC473" s="2"/>
      <c r="FD473" s="2"/>
      <c r="FE473" s="2"/>
      <c r="FF473" s="2"/>
      <c r="FG473" s="2"/>
      <c r="FH473" s="2"/>
      <c r="FI473" s="2"/>
      <c r="FJ473" s="2"/>
      <c r="FK473" s="2"/>
      <c r="FL473" s="2"/>
      <c r="FM473" s="2"/>
      <c r="FN473" s="2"/>
      <c r="FO473" s="2"/>
      <c r="FP473" s="2"/>
      <c r="FQ473" s="2">
        <v>0</v>
      </c>
      <c r="FR473" s="2">
        <f t="shared" si="432"/>
        <v>0</v>
      </c>
      <c r="FS473" s="2">
        <v>0</v>
      </c>
      <c r="FT473" s="2"/>
      <c r="FU473" s="2"/>
      <c r="FV473" s="2"/>
      <c r="FW473" s="2"/>
      <c r="FX473" s="2">
        <v>114</v>
      </c>
      <c r="FY473" s="2">
        <v>67</v>
      </c>
      <c r="FZ473" s="2"/>
      <c r="GA473" s="2" t="s">
        <v>3</v>
      </c>
      <c r="GB473" s="2"/>
      <c r="GC473" s="2"/>
      <c r="GD473" s="2">
        <v>0</v>
      </c>
      <c r="GE473" s="2"/>
      <c r="GF473" s="2">
        <v>-780789268</v>
      </c>
      <c r="GG473" s="2">
        <v>2</v>
      </c>
      <c r="GH473" s="2">
        <v>1</v>
      </c>
      <c r="GI473" s="2">
        <v>3</v>
      </c>
      <c r="GJ473" s="2">
        <v>0</v>
      </c>
      <c r="GK473" s="2">
        <f>ROUND(R473*(R12)/100,2)</f>
        <v>0</v>
      </c>
      <c r="GL473" s="2">
        <f t="shared" si="433"/>
        <v>0</v>
      </c>
      <c r="GM473" s="2">
        <f t="shared" si="434"/>
        <v>962.46</v>
      </c>
      <c r="GN473" s="2">
        <f t="shared" si="435"/>
        <v>0</v>
      </c>
      <c r="GO473" s="2">
        <f t="shared" si="436"/>
        <v>962.46</v>
      </c>
      <c r="GP473" s="2">
        <f t="shared" si="437"/>
        <v>0</v>
      </c>
      <c r="GQ473" s="2"/>
      <c r="GR473" s="2">
        <v>0</v>
      </c>
      <c r="GS473" s="2">
        <v>3</v>
      </c>
      <c r="GT473" s="2">
        <v>0</v>
      </c>
      <c r="GU473" s="2" t="s">
        <v>3</v>
      </c>
      <c r="GV473" s="2">
        <f t="shared" si="438"/>
        <v>0</v>
      </c>
      <c r="GW473" s="2">
        <v>1</v>
      </c>
      <c r="GX473" s="2">
        <f t="shared" si="439"/>
        <v>0</v>
      </c>
      <c r="GY473" s="2"/>
      <c r="GZ473" s="2"/>
      <c r="HA473" s="2">
        <v>0</v>
      </c>
      <c r="HB473" s="2">
        <v>0</v>
      </c>
      <c r="HC473" s="2"/>
      <c r="HD473" s="2"/>
      <c r="HE473" s="2"/>
      <c r="HF473" s="2"/>
      <c r="HG473" s="2"/>
      <c r="HH473" s="2"/>
      <c r="HI473" s="2"/>
      <c r="HJ473" s="2"/>
      <c r="HK473" s="2"/>
      <c r="HL473" s="2"/>
      <c r="HM473" s="2"/>
      <c r="HN473" s="2"/>
      <c r="HO473" s="2"/>
      <c r="HP473" s="2"/>
      <c r="HQ473" s="2"/>
      <c r="HR473" s="2"/>
      <c r="HS473" s="2"/>
      <c r="HT473" s="2"/>
      <c r="HU473" s="2"/>
      <c r="HV473" s="2"/>
      <c r="HW473" s="2"/>
      <c r="HX473" s="2"/>
      <c r="HY473" s="2"/>
      <c r="HZ473" s="2"/>
      <c r="IA473" s="2"/>
      <c r="IB473" s="2"/>
      <c r="IC473" s="2"/>
      <c r="ID473" s="2"/>
      <c r="IE473" s="2"/>
      <c r="IF473" s="2"/>
      <c r="IG473" s="2"/>
      <c r="IH473" s="2"/>
      <c r="II473" s="2"/>
      <c r="IJ473" s="2"/>
      <c r="IK473" s="2">
        <v>0</v>
      </c>
      <c r="IL473" s="2"/>
      <c r="IM473" s="2"/>
      <c r="IN473" s="2"/>
      <c r="IO473" s="2"/>
      <c r="IP473" s="2"/>
      <c r="IQ473" s="2"/>
      <c r="IR473" s="2"/>
      <c r="IS473" s="2"/>
      <c r="IT473" s="2"/>
      <c r="IU473" s="2"/>
    </row>
    <row r="474" spans="1:255" x14ac:dyDescent="0.2">
      <c r="A474">
        <v>18</v>
      </c>
      <c r="B474">
        <v>1</v>
      </c>
      <c r="C474">
        <v>416</v>
      </c>
      <c r="E474" t="s">
        <v>558</v>
      </c>
      <c r="F474" t="s">
        <v>559</v>
      </c>
      <c r="G474" t="s">
        <v>560</v>
      </c>
      <c r="H474" t="s">
        <v>304</v>
      </c>
      <c r="I474">
        <f>I472*J474</f>
        <v>2</v>
      </c>
      <c r="J474">
        <v>100</v>
      </c>
      <c r="O474">
        <f t="shared" si="406"/>
        <v>3743.97</v>
      </c>
      <c r="P474">
        <f t="shared" si="407"/>
        <v>3743.97</v>
      </c>
      <c r="Q474">
        <f t="shared" si="408"/>
        <v>0</v>
      </c>
      <c r="R474">
        <f t="shared" si="409"/>
        <v>0</v>
      </c>
      <c r="S474">
        <f t="shared" si="410"/>
        <v>0</v>
      </c>
      <c r="T474">
        <f t="shared" si="411"/>
        <v>0</v>
      </c>
      <c r="U474">
        <f t="shared" si="412"/>
        <v>0</v>
      </c>
      <c r="V474">
        <f t="shared" si="413"/>
        <v>0</v>
      </c>
      <c r="W474">
        <f t="shared" si="414"/>
        <v>0</v>
      </c>
      <c r="X474">
        <f t="shared" si="415"/>
        <v>0</v>
      </c>
      <c r="Y474">
        <f t="shared" si="416"/>
        <v>0</v>
      </c>
      <c r="AA474">
        <v>45037307</v>
      </c>
      <c r="AB474">
        <f t="shared" si="417"/>
        <v>481.23</v>
      </c>
      <c r="AC474">
        <f t="shared" si="418"/>
        <v>481.23</v>
      </c>
      <c r="AD474">
        <f t="shared" si="446"/>
        <v>0</v>
      </c>
      <c r="AE474">
        <f t="shared" si="446"/>
        <v>0</v>
      </c>
      <c r="AF474">
        <f t="shared" si="446"/>
        <v>0</v>
      </c>
      <c r="AG474">
        <f t="shared" si="419"/>
        <v>0</v>
      </c>
      <c r="AH474">
        <f>(EW474)</f>
        <v>0</v>
      </c>
      <c r="AI474">
        <f>(EX474)</f>
        <v>0</v>
      </c>
      <c r="AJ474">
        <f t="shared" si="420"/>
        <v>0</v>
      </c>
      <c r="AK474">
        <v>481.23</v>
      </c>
      <c r="AL474">
        <v>481.23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1</v>
      </c>
      <c r="AW474">
        <v>1</v>
      </c>
      <c r="AZ474">
        <v>1</v>
      </c>
      <c r="BA474">
        <v>1</v>
      </c>
      <c r="BB474">
        <v>1</v>
      </c>
      <c r="BC474">
        <v>3.89</v>
      </c>
      <c r="BD474" t="s">
        <v>3</v>
      </c>
      <c r="BE474" t="s">
        <v>3</v>
      </c>
      <c r="BF474" t="s">
        <v>3</v>
      </c>
      <c r="BG474" t="s">
        <v>3</v>
      </c>
      <c r="BH474">
        <v>3</v>
      </c>
      <c r="BI474">
        <v>2</v>
      </c>
      <c r="BJ474" t="s">
        <v>561</v>
      </c>
      <c r="BM474">
        <v>333</v>
      </c>
      <c r="BN474">
        <v>7156650</v>
      </c>
      <c r="BO474" t="s">
        <v>559</v>
      </c>
      <c r="BP474">
        <v>1</v>
      </c>
      <c r="BQ474">
        <v>40</v>
      </c>
      <c r="BR474">
        <v>0</v>
      </c>
      <c r="BS474">
        <v>1</v>
      </c>
      <c r="BT474">
        <v>1</v>
      </c>
      <c r="BU474">
        <v>1</v>
      </c>
      <c r="BV474">
        <v>1</v>
      </c>
      <c r="BW474">
        <v>1</v>
      </c>
      <c r="BX474">
        <v>1</v>
      </c>
      <c r="BY474" t="s">
        <v>3</v>
      </c>
      <c r="BZ474">
        <v>0</v>
      </c>
      <c r="CA474">
        <v>0</v>
      </c>
      <c r="CF474">
        <v>0</v>
      </c>
      <c r="CG474">
        <v>0</v>
      </c>
      <c r="CM474">
        <v>0</v>
      </c>
      <c r="CN474" t="s">
        <v>3</v>
      </c>
      <c r="CO474">
        <v>0</v>
      </c>
      <c r="CP474">
        <f t="shared" si="421"/>
        <v>3743.97</v>
      </c>
      <c r="CQ474">
        <f t="shared" si="422"/>
        <v>1871.9847000000002</v>
      </c>
      <c r="CR474">
        <f t="shared" si="423"/>
        <v>0</v>
      </c>
      <c r="CS474">
        <f t="shared" si="424"/>
        <v>0</v>
      </c>
      <c r="CT474">
        <f t="shared" si="425"/>
        <v>0</v>
      </c>
      <c r="CU474">
        <f t="shared" si="426"/>
        <v>0</v>
      </c>
      <c r="CV474">
        <f t="shared" si="427"/>
        <v>0</v>
      </c>
      <c r="CW474">
        <f t="shared" si="428"/>
        <v>0</v>
      </c>
      <c r="CX474">
        <f t="shared" si="429"/>
        <v>0</v>
      </c>
      <c r="CY474">
        <f t="shared" si="430"/>
        <v>0</v>
      </c>
      <c r="CZ474">
        <f t="shared" si="431"/>
        <v>0</v>
      </c>
      <c r="DC474" t="s">
        <v>3</v>
      </c>
      <c r="DD474" t="s">
        <v>3</v>
      </c>
      <c r="DE474" t="s">
        <v>3</v>
      </c>
      <c r="DF474" t="s">
        <v>3</v>
      </c>
      <c r="DG474" t="s">
        <v>3</v>
      </c>
      <c r="DH474" t="s">
        <v>3</v>
      </c>
      <c r="DI474" t="s">
        <v>3</v>
      </c>
      <c r="DJ474" t="s">
        <v>3</v>
      </c>
      <c r="DK474" t="s">
        <v>3</v>
      </c>
      <c r="DL474" t="s">
        <v>3</v>
      </c>
      <c r="DM474" t="s">
        <v>3</v>
      </c>
      <c r="DN474">
        <v>114</v>
      </c>
      <c r="DO474">
        <v>67</v>
      </c>
      <c r="DP474">
        <v>1.0469999999999999</v>
      </c>
      <c r="DQ474">
        <v>1</v>
      </c>
      <c r="DU474">
        <v>1010</v>
      </c>
      <c r="DV474" t="s">
        <v>304</v>
      </c>
      <c r="DW474" t="s">
        <v>304</v>
      </c>
      <c r="DX474">
        <v>1</v>
      </c>
      <c r="EE474">
        <v>44846840</v>
      </c>
      <c r="EF474">
        <v>40</v>
      </c>
      <c r="EG474" t="s">
        <v>453</v>
      </c>
      <c r="EH474">
        <v>0</v>
      </c>
      <c r="EI474" t="s">
        <v>3</v>
      </c>
      <c r="EJ474">
        <v>2</v>
      </c>
      <c r="EK474">
        <v>333</v>
      </c>
      <c r="EL474" t="s">
        <v>465</v>
      </c>
      <c r="EM474" t="s">
        <v>466</v>
      </c>
      <c r="EO474" t="s">
        <v>3</v>
      </c>
      <c r="EQ474">
        <v>0</v>
      </c>
      <c r="ER474">
        <v>481.23</v>
      </c>
      <c r="ES474">
        <v>481.23</v>
      </c>
      <c r="ET474">
        <v>0</v>
      </c>
      <c r="EU474">
        <v>0</v>
      </c>
      <c r="EV474">
        <v>0</v>
      </c>
      <c r="EW474">
        <v>0</v>
      </c>
      <c r="EX474">
        <v>0</v>
      </c>
      <c r="FQ474">
        <v>0</v>
      </c>
      <c r="FR474">
        <f t="shared" si="432"/>
        <v>0</v>
      </c>
      <c r="FS474">
        <v>0</v>
      </c>
      <c r="FX474">
        <v>114</v>
      </c>
      <c r="FY474">
        <v>67</v>
      </c>
      <c r="GA474" t="s">
        <v>3</v>
      </c>
      <c r="GD474">
        <v>0</v>
      </c>
      <c r="GF474">
        <v>-780789268</v>
      </c>
      <c r="GG474">
        <v>2</v>
      </c>
      <c r="GH474">
        <v>1</v>
      </c>
      <c r="GI474">
        <v>3</v>
      </c>
      <c r="GJ474">
        <v>0</v>
      </c>
      <c r="GK474">
        <f>ROUND(R474*(S12)/100,2)</f>
        <v>0</v>
      </c>
      <c r="GL474">
        <f t="shared" si="433"/>
        <v>0</v>
      </c>
      <c r="GM474">
        <f t="shared" si="434"/>
        <v>3743.97</v>
      </c>
      <c r="GN474">
        <f t="shared" si="435"/>
        <v>0</v>
      </c>
      <c r="GO474">
        <f t="shared" si="436"/>
        <v>3743.97</v>
      </c>
      <c r="GP474">
        <f t="shared" si="437"/>
        <v>0</v>
      </c>
      <c r="GR474">
        <v>0</v>
      </c>
      <c r="GS474">
        <v>3</v>
      </c>
      <c r="GT474">
        <v>0</v>
      </c>
      <c r="GU474" t="s">
        <v>3</v>
      </c>
      <c r="GV474">
        <f t="shared" si="438"/>
        <v>0</v>
      </c>
      <c r="GW474">
        <v>1</v>
      </c>
      <c r="GX474">
        <f t="shared" si="439"/>
        <v>0</v>
      </c>
      <c r="HA474">
        <v>0</v>
      </c>
      <c r="HB474">
        <v>0</v>
      </c>
      <c r="IK474">
        <v>0</v>
      </c>
    </row>
    <row r="475" spans="1:255" x14ac:dyDescent="0.2">
      <c r="A475" s="2">
        <v>17</v>
      </c>
      <c r="B475" s="2">
        <v>1</v>
      </c>
      <c r="C475" s="2">
        <f>ROW(SmtRes!A419)</f>
        <v>419</v>
      </c>
      <c r="D475" s="2">
        <f>ROW(EtalonRes!A397)</f>
        <v>397</v>
      </c>
      <c r="E475" s="2" t="s">
        <v>562</v>
      </c>
      <c r="F475" s="2" t="s">
        <v>563</v>
      </c>
      <c r="G475" s="2" t="s">
        <v>564</v>
      </c>
      <c r="H475" s="2" t="s">
        <v>463</v>
      </c>
      <c r="I475" s="2">
        <f>ROUND(1/100,9)</f>
        <v>0.01</v>
      </c>
      <c r="J475" s="2">
        <v>0</v>
      </c>
      <c r="K475" s="2"/>
      <c r="L475" s="2"/>
      <c r="M475" s="2"/>
      <c r="N475" s="2"/>
      <c r="O475" s="2">
        <f t="shared" si="406"/>
        <v>32.47</v>
      </c>
      <c r="P475" s="2">
        <f t="shared" si="407"/>
        <v>3.01</v>
      </c>
      <c r="Q475" s="2">
        <f t="shared" si="408"/>
        <v>3.93</v>
      </c>
      <c r="R475" s="2">
        <f t="shared" si="409"/>
        <v>0.91</v>
      </c>
      <c r="S475" s="2">
        <f t="shared" si="410"/>
        <v>25.53</v>
      </c>
      <c r="T475" s="2">
        <f t="shared" si="411"/>
        <v>0</v>
      </c>
      <c r="U475" s="2">
        <f t="shared" si="412"/>
        <v>1.9641999999999999</v>
      </c>
      <c r="V475" s="2">
        <f t="shared" si="413"/>
        <v>0</v>
      </c>
      <c r="W475" s="2">
        <f t="shared" si="414"/>
        <v>0</v>
      </c>
      <c r="X475" s="2">
        <f t="shared" si="415"/>
        <v>0</v>
      </c>
      <c r="Y475" s="2">
        <f t="shared" si="416"/>
        <v>0</v>
      </c>
      <c r="Z475" s="2"/>
      <c r="AA475" s="2">
        <v>45037306</v>
      </c>
      <c r="AB475" s="2">
        <f t="shared" si="417"/>
        <v>3247.0725000000002</v>
      </c>
      <c r="AC475" s="2">
        <f t="shared" si="418"/>
        <v>301</v>
      </c>
      <c r="AD475" s="2">
        <f>ROUND(((ET475*1.25)),6)</f>
        <v>392.61250000000001</v>
      </c>
      <c r="AE475" s="2">
        <f>ROUND(((EU475*1.25)),6)</f>
        <v>91.174999999999997</v>
      </c>
      <c r="AF475" s="2">
        <f>ROUND(((EV475*1.15)),6)</f>
        <v>2553.46</v>
      </c>
      <c r="AG475" s="2">
        <f t="shared" si="419"/>
        <v>0</v>
      </c>
      <c r="AH475" s="2">
        <f>((EW475*1.15))</f>
        <v>196.42</v>
      </c>
      <c r="AI475" s="2">
        <f>((EX475*1.25))</f>
        <v>0</v>
      </c>
      <c r="AJ475" s="2">
        <f t="shared" si="420"/>
        <v>0</v>
      </c>
      <c r="AK475" s="2">
        <v>2835.49</v>
      </c>
      <c r="AL475" s="2">
        <v>301</v>
      </c>
      <c r="AM475" s="2">
        <v>314.08999999999997</v>
      </c>
      <c r="AN475" s="2">
        <v>72.94</v>
      </c>
      <c r="AO475" s="2">
        <v>2220.4</v>
      </c>
      <c r="AP475" s="2">
        <v>0</v>
      </c>
      <c r="AQ475" s="2">
        <v>170.8</v>
      </c>
      <c r="AR475" s="2">
        <v>0</v>
      </c>
      <c r="AS475" s="2">
        <v>0</v>
      </c>
      <c r="AT475" s="2">
        <v>0</v>
      </c>
      <c r="AU475" s="2">
        <v>0</v>
      </c>
      <c r="AV475" s="2">
        <v>1</v>
      </c>
      <c r="AW475" s="2">
        <v>1</v>
      </c>
      <c r="AX475" s="2"/>
      <c r="AY475" s="2"/>
      <c r="AZ475" s="2">
        <v>1</v>
      </c>
      <c r="BA475" s="2">
        <v>1</v>
      </c>
      <c r="BB475" s="2">
        <v>1</v>
      </c>
      <c r="BC475" s="2">
        <v>1</v>
      </c>
      <c r="BD475" s="2" t="s">
        <v>3</v>
      </c>
      <c r="BE475" s="2" t="s">
        <v>3</v>
      </c>
      <c r="BF475" s="2" t="s">
        <v>3</v>
      </c>
      <c r="BG475" s="2" t="s">
        <v>3</v>
      </c>
      <c r="BH475" s="2">
        <v>0</v>
      </c>
      <c r="BI475" s="2">
        <v>2</v>
      </c>
      <c r="BJ475" s="2" t="s">
        <v>565</v>
      </c>
      <c r="BK475" s="2"/>
      <c r="BL475" s="2"/>
      <c r="BM475" s="2">
        <v>333</v>
      </c>
      <c r="BN475" s="2">
        <v>7156650</v>
      </c>
      <c r="BO475" s="2" t="s">
        <v>3</v>
      </c>
      <c r="BP475" s="2">
        <v>0</v>
      </c>
      <c r="BQ475" s="2">
        <v>40</v>
      </c>
      <c r="BR475" s="2">
        <v>0</v>
      </c>
      <c r="BS475" s="2">
        <v>1</v>
      </c>
      <c r="BT475" s="2">
        <v>1</v>
      </c>
      <c r="BU475" s="2">
        <v>1</v>
      </c>
      <c r="BV475" s="2">
        <v>1</v>
      </c>
      <c r="BW475" s="2">
        <v>1</v>
      </c>
      <c r="BX475" s="2">
        <v>1</v>
      </c>
      <c r="BY475" s="2" t="s">
        <v>3</v>
      </c>
      <c r="BZ475" s="2">
        <v>0</v>
      </c>
      <c r="CA475" s="2">
        <v>0</v>
      </c>
      <c r="CB475" s="2"/>
      <c r="CC475" s="2"/>
      <c r="CD475" s="2"/>
      <c r="CE475" s="2"/>
      <c r="CF475" s="2">
        <v>0</v>
      </c>
      <c r="CG475" s="2">
        <v>0</v>
      </c>
      <c r="CH475" s="2"/>
      <c r="CI475" s="2"/>
      <c r="CJ475" s="2"/>
      <c r="CK475" s="2"/>
      <c r="CL475" s="2"/>
      <c r="CM475" s="2">
        <v>0</v>
      </c>
      <c r="CN475" s="2" t="s">
        <v>3</v>
      </c>
      <c r="CO475" s="2">
        <v>0</v>
      </c>
      <c r="CP475" s="2">
        <f t="shared" si="421"/>
        <v>32.47</v>
      </c>
      <c r="CQ475" s="2">
        <f t="shared" si="422"/>
        <v>301</v>
      </c>
      <c r="CR475" s="2">
        <f t="shared" si="423"/>
        <v>392.61250000000001</v>
      </c>
      <c r="CS475" s="2">
        <f t="shared" si="424"/>
        <v>91.174999999999997</v>
      </c>
      <c r="CT475" s="2">
        <f t="shared" si="425"/>
        <v>2553.46</v>
      </c>
      <c r="CU475" s="2">
        <f t="shared" si="426"/>
        <v>0</v>
      </c>
      <c r="CV475" s="2">
        <f t="shared" si="427"/>
        <v>196.42</v>
      </c>
      <c r="CW475" s="2">
        <f t="shared" si="428"/>
        <v>0</v>
      </c>
      <c r="CX475" s="2">
        <f t="shared" si="429"/>
        <v>0</v>
      </c>
      <c r="CY475" s="2">
        <f t="shared" si="430"/>
        <v>0</v>
      </c>
      <c r="CZ475" s="2">
        <f t="shared" si="431"/>
        <v>0</v>
      </c>
      <c r="DA475" s="2"/>
      <c r="DB475" s="2"/>
      <c r="DC475" s="2" t="s">
        <v>3</v>
      </c>
      <c r="DD475" s="2" t="s">
        <v>3</v>
      </c>
      <c r="DE475" s="2" t="s">
        <v>36</v>
      </c>
      <c r="DF475" s="2" t="s">
        <v>36</v>
      </c>
      <c r="DG475" s="2" t="s">
        <v>37</v>
      </c>
      <c r="DH475" s="2" t="s">
        <v>3</v>
      </c>
      <c r="DI475" s="2" t="s">
        <v>37</v>
      </c>
      <c r="DJ475" s="2" t="s">
        <v>36</v>
      </c>
      <c r="DK475" s="2" t="s">
        <v>3</v>
      </c>
      <c r="DL475" s="2" t="s">
        <v>3</v>
      </c>
      <c r="DM475" s="2" t="s">
        <v>3</v>
      </c>
      <c r="DN475" s="2">
        <v>114</v>
      </c>
      <c r="DO475" s="2">
        <v>67</v>
      </c>
      <c r="DP475" s="2">
        <v>1.0469999999999999</v>
      </c>
      <c r="DQ475" s="2">
        <v>1</v>
      </c>
      <c r="DR475" s="2"/>
      <c r="DS475" s="2"/>
      <c r="DT475" s="2"/>
      <c r="DU475" s="2">
        <v>1010</v>
      </c>
      <c r="DV475" s="2" t="s">
        <v>463</v>
      </c>
      <c r="DW475" s="2" t="s">
        <v>463</v>
      </c>
      <c r="DX475" s="2">
        <v>100</v>
      </c>
      <c r="DY475" s="2"/>
      <c r="DZ475" s="2"/>
      <c r="EA475" s="2"/>
      <c r="EB475" s="2"/>
      <c r="EC475" s="2"/>
      <c r="ED475" s="2"/>
      <c r="EE475" s="2">
        <v>44846840</v>
      </c>
      <c r="EF475" s="2">
        <v>40</v>
      </c>
      <c r="EG475" s="2" t="s">
        <v>453</v>
      </c>
      <c r="EH475" s="2">
        <v>0</v>
      </c>
      <c r="EI475" s="2" t="s">
        <v>3</v>
      </c>
      <c r="EJ475" s="2">
        <v>2</v>
      </c>
      <c r="EK475" s="2">
        <v>333</v>
      </c>
      <c r="EL475" s="2" t="s">
        <v>465</v>
      </c>
      <c r="EM475" s="2" t="s">
        <v>466</v>
      </c>
      <c r="EN475" s="2"/>
      <c r="EO475" s="2" t="s">
        <v>3</v>
      </c>
      <c r="EP475" s="2"/>
      <c r="EQ475" s="2">
        <v>131072</v>
      </c>
      <c r="ER475" s="2">
        <v>2835.49</v>
      </c>
      <c r="ES475" s="2">
        <v>301</v>
      </c>
      <c r="ET475" s="2">
        <v>314.08999999999997</v>
      </c>
      <c r="EU475" s="2">
        <v>72.94</v>
      </c>
      <c r="EV475" s="2">
        <v>2220.4</v>
      </c>
      <c r="EW475" s="2">
        <v>170.8</v>
      </c>
      <c r="EX475" s="2">
        <v>0</v>
      </c>
      <c r="EY475" s="2">
        <v>0</v>
      </c>
      <c r="EZ475" s="2"/>
      <c r="FA475" s="2"/>
      <c r="FB475" s="2"/>
      <c r="FC475" s="2"/>
      <c r="FD475" s="2"/>
      <c r="FE475" s="2"/>
      <c r="FF475" s="2"/>
      <c r="FG475" s="2"/>
      <c r="FH475" s="2"/>
      <c r="FI475" s="2"/>
      <c r="FJ475" s="2"/>
      <c r="FK475" s="2"/>
      <c r="FL475" s="2"/>
      <c r="FM475" s="2"/>
      <c r="FN475" s="2"/>
      <c r="FO475" s="2"/>
      <c r="FP475" s="2"/>
      <c r="FQ475" s="2">
        <v>0</v>
      </c>
      <c r="FR475" s="2">
        <f t="shared" si="432"/>
        <v>0</v>
      </c>
      <c r="FS475" s="2">
        <v>0</v>
      </c>
      <c r="FT475" s="2"/>
      <c r="FU475" s="2"/>
      <c r="FV475" s="2"/>
      <c r="FW475" s="2"/>
      <c r="FX475" s="2">
        <v>114</v>
      </c>
      <c r="FY475" s="2">
        <v>67</v>
      </c>
      <c r="FZ475" s="2"/>
      <c r="GA475" s="2" t="s">
        <v>3</v>
      </c>
      <c r="GB475" s="2"/>
      <c r="GC475" s="2"/>
      <c r="GD475" s="2">
        <v>0</v>
      </c>
      <c r="GE475" s="2"/>
      <c r="GF475" s="2">
        <v>1582423197</v>
      </c>
      <c r="GG475" s="2">
        <v>2</v>
      </c>
      <c r="GH475" s="2">
        <v>1</v>
      </c>
      <c r="GI475" s="2">
        <v>3</v>
      </c>
      <c r="GJ475" s="2">
        <v>0</v>
      </c>
      <c r="GK475" s="2">
        <f>ROUND(R475*(R12)/100,2)</f>
        <v>1.64</v>
      </c>
      <c r="GL475" s="2">
        <f t="shared" si="433"/>
        <v>0</v>
      </c>
      <c r="GM475" s="2">
        <f t="shared" si="434"/>
        <v>34.11</v>
      </c>
      <c r="GN475" s="2">
        <f t="shared" si="435"/>
        <v>0</v>
      </c>
      <c r="GO475" s="2">
        <f t="shared" si="436"/>
        <v>34.11</v>
      </c>
      <c r="GP475" s="2">
        <f t="shared" si="437"/>
        <v>0</v>
      </c>
      <c r="GQ475" s="2"/>
      <c r="GR475" s="2">
        <v>0</v>
      </c>
      <c r="GS475" s="2">
        <v>3</v>
      </c>
      <c r="GT475" s="2">
        <v>0</v>
      </c>
      <c r="GU475" s="2" t="s">
        <v>3</v>
      </c>
      <c r="GV475" s="2">
        <f t="shared" si="438"/>
        <v>0</v>
      </c>
      <c r="GW475" s="2">
        <v>1</v>
      </c>
      <c r="GX475" s="2">
        <f t="shared" si="439"/>
        <v>0</v>
      </c>
      <c r="GY475" s="2"/>
      <c r="GZ475" s="2"/>
      <c r="HA475" s="2">
        <v>0</v>
      </c>
      <c r="HB475" s="2">
        <v>0</v>
      </c>
      <c r="HC475" s="2"/>
      <c r="HD475" s="2"/>
      <c r="HE475" s="2"/>
      <c r="HF475" s="2"/>
      <c r="HG475" s="2"/>
      <c r="HH475" s="2"/>
      <c r="HI475" s="2"/>
      <c r="HJ475" s="2"/>
      <c r="HK475" s="2"/>
      <c r="HL475" s="2"/>
      <c r="HM475" s="2"/>
      <c r="HN475" s="2"/>
      <c r="HO475" s="2"/>
      <c r="HP475" s="2"/>
      <c r="HQ475" s="2"/>
      <c r="HR475" s="2"/>
      <c r="HS475" s="2"/>
      <c r="HT475" s="2"/>
      <c r="HU475" s="2"/>
      <c r="HV475" s="2"/>
      <c r="HW475" s="2"/>
      <c r="HX475" s="2"/>
      <c r="HY475" s="2"/>
      <c r="HZ475" s="2"/>
      <c r="IA475" s="2"/>
      <c r="IB475" s="2"/>
      <c r="IC475" s="2"/>
      <c r="ID475" s="2"/>
      <c r="IE475" s="2"/>
      <c r="IF475" s="2"/>
      <c r="IG475" s="2"/>
      <c r="IH475" s="2"/>
      <c r="II475" s="2"/>
      <c r="IJ475" s="2"/>
      <c r="IK475" s="2">
        <v>0</v>
      </c>
      <c r="IL475" s="2"/>
      <c r="IM475" s="2"/>
      <c r="IN475" s="2"/>
      <c r="IO475" s="2"/>
      <c r="IP475" s="2"/>
      <c r="IQ475" s="2"/>
      <c r="IR475" s="2"/>
      <c r="IS475" s="2"/>
      <c r="IT475" s="2"/>
      <c r="IU475" s="2"/>
    </row>
    <row r="476" spans="1:255" x14ac:dyDescent="0.2">
      <c r="A476">
        <v>17</v>
      </c>
      <c r="B476">
        <v>1</v>
      </c>
      <c r="C476">
        <f>ROW(SmtRes!A422)</f>
        <v>422</v>
      </c>
      <c r="D476">
        <f>ROW(EtalonRes!A398)</f>
        <v>398</v>
      </c>
      <c r="E476" t="s">
        <v>562</v>
      </c>
      <c r="F476" t="s">
        <v>563</v>
      </c>
      <c r="G476" t="s">
        <v>564</v>
      </c>
      <c r="H476" t="s">
        <v>463</v>
      </c>
      <c r="I476">
        <f>ROUND(1/100,9)</f>
        <v>0.01</v>
      </c>
      <c r="J476">
        <v>0</v>
      </c>
      <c r="O476">
        <f t="shared" si="406"/>
        <v>571.54999999999995</v>
      </c>
      <c r="P476">
        <f t="shared" si="407"/>
        <v>15.74</v>
      </c>
      <c r="Q476">
        <f t="shared" si="408"/>
        <v>34.9</v>
      </c>
      <c r="R476">
        <f t="shared" si="409"/>
        <v>18.600000000000001</v>
      </c>
      <c r="S476">
        <f t="shared" si="410"/>
        <v>520.91</v>
      </c>
      <c r="T476">
        <f t="shared" si="411"/>
        <v>0</v>
      </c>
      <c r="U476">
        <f t="shared" si="412"/>
        <v>1.9641999999999999</v>
      </c>
      <c r="V476">
        <f t="shared" si="413"/>
        <v>0</v>
      </c>
      <c r="W476">
        <f t="shared" si="414"/>
        <v>0</v>
      </c>
      <c r="X476">
        <f t="shared" si="415"/>
        <v>401.1</v>
      </c>
      <c r="Y476">
        <f t="shared" si="416"/>
        <v>213.57</v>
      </c>
      <c r="AA476">
        <v>45037307</v>
      </c>
      <c r="AB476">
        <f t="shared" si="417"/>
        <v>3247.0725000000002</v>
      </c>
      <c r="AC476">
        <f t="shared" si="418"/>
        <v>301</v>
      </c>
      <c r="AD476">
        <f>ROUND(((ET476*1.25)),6)</f>
        <v>392.61250000000001</v>
      </c>
      <c r="AE476">
        <f>ROUND(((EU476*1.25)),6)</f>
        <v>91.174999999999997</v>
      </c>
      <c r="AF476">
        <f>ROUND(((EV476*1.15)),6)</f>
        <v>2553.46</v>
      </c>
      <c r="AG476">
        <f t="shared" si="419"/>
        <v>0</v>
      </c>
      <c r="AH476">
        <f>((EW476*1.15))</f>
        <v>196.42</v>
      </c>
      <c r="AI476">
        <f>((EX476*1.25))</f>
        <v>0</v>
      </c>
      <c r="AJ476">
        <f t="shared" si="420"/>
        <v>0</v>
      </c>
      <c r="AK476">
        <v>2835.49</v>
      </c>
      <c r="AL476">
        <v>301</v>
      </c>
      <c r="AM476">
        <v>314.08999999999997</v>
      </c>
      <c r="AN476">
        <v>72.94</v>
      </c>
      <c r="AO476">
        <v>2220.4</v>
      </c>
      <c r="AP476">
        <v>0</v>
      </c>
      <c r="AQ476">
        <v>170.8</v>
      </c>
      <c r="AR476">
        <v>0</v>
      </c>
      <c r="AS476">
        <v>0</v>
      </c>
      <c r="AT476">
        <v>77</v>
      </c>
      <c r="AU476">
        <v>41</v>
      </c>
      <c r="AV476">
        <v>1</v>
      </c>
      <c r="AW476">
        <v>1</v>
      </c>
      <c r="AZ476">
        <v>1</v>
      </c>
      <c r="BA476">
        <v>20.399999999999999</v>
      </c>
      <c r="BB476">
        <v>8.89</v>
      </c>
      <c r="BC476">
        <v>5.23</v>
      </c>
      <c r="BD476" t="s">
        <v>3</v>
      </c>
      <c r="BE476" t="s">
        <v>3</v>
      </c>
      <c r="BF476" t="s">
        <v>3</v>
      </c>
      <c r="BG476" t="s">
        <v>3</v>
      </c>
      <c r="BH476">
        <v>0</v>
      </c>
      <c r="BI476">
        <v>2</v>
      </c>
      <c r="BJ476" t="s">
        <v>565</v>
      </c>
      <c r="BM476">
        <v>333</v>
      </c>
      <c r="BN476">
        <v>7156650</v>
      </c>
      <c r="BO476" t="s">
        <v>563</v>
      </c>
      <c r="BP476">
        <v>1</v>
      </c>
      <c r="BQ476">
        <v>40</v>
      </c>
      <c r="BR476">
        <v>0</v>
      </c>
      <c r="BS476">
        <v>20.399999999999999</v>
      </c>
      <c r="BT476">
        <v>1</v>
      </c>
      <c r="BU476">
        <v>1</v>
      </c>
      <c r="BV476">
        <v>1</v>
      </c>
      <c r="BW476">
        <v>1</v>
      </c>
      <c r="BX476">
        <v>1</v>
      </c>
      <c r="BY476" t="s">
        <v>3</v>
      </c>
      <c r="BZ476">
        <v>77</v>
      </c>
      <c r="CA476">
        <v>41</v>
      </c>
      <c r="CF476">
        <v>0</v>
      </c>
      <c r="CG476">
        <v>0</v>
      </c>
      <c r="CM476">
        <v>0</v>
      </c>
      <c r="CN476" t="s">
        <v>3</v>
      </c>
      <c r="CO476">
        <v>0</v>
      </c>
      <c r="CP476">
        <f t="shared" si="421"/>
        <v>571.54999999999995</v>
      </c>
      <c r="CQ476">
        <f t="shared" si="422"/>
        <v>1574.23</v>
      </c>
      <c r="CR476">
        <f t="shared" si="423"/>
        <v>3490.3251250000003</v>
      </c>
      <c r="CS476">
        <f t="shared" si="424"/>
        <v>1859.9699999999998</v>
      </c>
      <c r="CT476">
        <f t="shared" si="425"/>
        <v>52090.583999999995</v>
      </c>
      <c r="CU476">
        <f t="shared" si="426"/>
        <v>0</v>
      </c>
      <c r="CV476">
        <f t="shared" si="427"/>
        <v>196.42</v>
      </c>
      <c r="CW476">
        <f t="shared" si="428"/>
        <v>0</v>
      </c>
      <c r="CX476">
        <f t="shared" si="429"/>
        <v>0</v>
      </c>
      <c r="CY476">
        <f t="shared" si="430"/>
        <v>401.10069999999996</v>
      </c>
      <c r="CZ476">
        <f t="shared" si="431"/>
        <v>213.57309999999998</v>
      </c>
      <c r="DC476" t="s">
        <v>3</v>
      </c>
      <c r="DD476" t="s">
        <v>3</v>
      </c>
      <c r="DE476" t="s">
        <v>36</v>
      </c>
      <c r="DF476" t="s">
        <v>36</v>
      </c>
      <c r="DG476" t="s">
        <v>37</v>
      </c>
      <c r="DH476" t="s">
        <v>3</v>
      </c>
      <c r="DI476" t="s">
        <v>37</v>
      </c>
      <c r="DJ476" t="s">
        <v>36</v>
      </c>
      <c r="DK476" t="s">
        <v>3</v>
      </c>
      <c r="DL476" t="s">
        <v>3</v>
      </c>
      <c r="DM476" t="s">
        <v>3</v>
      </c>
      <c r="DN476">
        <v>114</v>
      </c>
      <c r="DO476">
        <v>67</v>
      </c>
      <c r="DP476">
        <v>1.0469999999999999</v>
      </c>
      <c r="DQ476">
        <v>1</v>
      </c>
      <c r="DU476">
        <v>1010</v>
      </c>
      <c r="DV476" t="s">
        <v>463</v>
      </c>
      <c r="DW476" t="s">
        <v>463</v>
      </c>
      <c r="DX476">
        <v>100</v>
      </c>
      <c r="EE476">
        <v>44846840</v>
      </c>
      <c r="EF476">
        <v>40</v>
      </c>
      <c r="EG476" t="s">
        <v>453</v>
      </c>
      <c r="EH476">
        <v>0</v>
      </c>
      <c r="EI476" t="s">
        <v>3</v>
      </c>
      <c r="EJ476">
        <v>2</v>
      </c>
      <c r="EK476">
        <v>333</v>
      </c>
      <c r="EL476" t="s">
        <v>465</v>
      </c>
      <c r="EM476" t="s">
        <v>466</v>
      </c>
      <c r="EO476" t="s">
        <v>3</v>
      </c>
      <c r="EQ476">
        <v>131072</v>
      </c>
      <c r="ER476">
        <v>2835.49</v>
      </c>
      <c r="ES476">
        <v>301</v>
      </c>
      <c r="ET476">
        <v>314.08999999999997</v>
      </c>
      <c r="EU476">
        <v>72.94</v>
      </c>
      <c r="EV476">
        <v>2220.4</v>
      </c>
      <c r="EW476">
        <v>170.8</v>
      </c>
      <c r="EX476">
        <v>0</v>
      </c>
      <c r="EY476">
        <v>0</v>
      </c>
      <c r="FQ476">
        <v>0</v>
      </c>
      <c r="FR476">
        <f t="shared" si="432"/>
        <v>0</v>
      </c>
      <c r="FS476">
        <v>0</v>
      </c>
      <c r="FX476">
        <v>114</v>
      </c>
      <c r="FY476">
        <v>67</v>
      </c>
      <c r="GA476" t="s">
        <v>3</v>
      </c>
      <c r="GD476">
        <v>0</v>
      </c>
      <c r="GF476">
        <v>1582423197</v>
      </c>
      <c r="GG476">
        <v>2</v>
      </c>
      <c r="GH476">
        <v>1</v>
      </c>
      <c r="GI476">
        <v>3</v>
      </c>
      <c r="GJ476">
        <v>0</v>
      </c>
      <c r="GK476">
        <f>ROUND(R476*(S12)/100,2)</f>
        <v>31.25</v>
      </c>
      <c r="GL476">
        <f t="shared" si="433"/>
        <v>0</v>
      </c>
      <c r="GM476">
        <f t="shared" si="434"/>
        <v>1217.47</v>
      </c>
      <c r="GN476">
        <f t="shared" si="435"/>
        <v>0</v>
      </c>
      <c r="GO476">
        <f t="shared" si="436"/>
        <v>1217.47</v>
      </c>
      <c r="GP476">
        <f t="shared" si="437"/>
        <v>0</v>
      </c>
      <c r="GR476">
        <v>0</v>
      </c>
      <c r="GS476">
        <v>3</v>
      </c>
      <c r="GT476">
        <v>0</v>
      </c>
      <c r="GU476" t="s">
        <v>3</v>
      </c>
      <c r="GV476">
        <f t="shared" si="438"/>
        <v>0</v>
      </c>
      <c r="GW476">
        <v>1</v>
      </c>
      <c r="GX476">
        <f t="shared" si="439"/>
        <v>0</v>
      </c>
      <c r="HA476">
        <v>0</v>
      </c>
      <c r="HB476">
        <v>0</v>
      </c>
      <c r="IK476">
        <v>0</v>
      </c>
    </row>
    <row r="477" spans="1:255" x14ac:dyDescent="0.2">
      <c r="A477" s="2">
        <v>18</v>
      </c>
      <c r="B477" s="2">
        <v>1</v>
      </c>
      <c r="C477" s="2">
        <v>419</v>
      </c>
      <c r="D477" s="2"/>
      <c r="E477" s="2" t="s">
        <v>566</v>
      </c>
      <c r="F477" s="2" t="s">
        <v>567</v>
      </c>
      <c r="G477" s="2" t="s">
        <v>568</v>
      </c>
      <c r="H477" s="2" t="s">
        <v>304</v>
      </c>
      <c r="I477" s="2">
        <f>I475*J477</f>
        <v>1</v>
      </c>
      <c r="J477" s="2">
        <v>100</v>
      </c>
      <c r="K477" s="2"/>
      <c r="L477" s="2"/>
      <c r="M477" s="2"/>
      <c r="N477" s="2"/>
      <c r="O477" s="2">
        <f t="shared" si="406"/>
        <v>4721.68</v>
      </c>
      <c r="P477" s="2">
        <f t="shared" si="407"/>
        <v>4721.68</v>
      </c>
      <c r="Q477" s="2">
        <f t="shared" si="408"/>
        <v>0</v>
      </c>
      <c r="R477" s="2">
        <f t="shared" si="409"/>
        <v>0</v>
      </c>
      <c r="S477" s="2">
        <f t="shared" si="410"/>
        <v>0</v>
      </c>
      <c r="T477" s="2">
        <f t="shared" si="411"/>
        <v>0</v>
      </c>
      <c r="U477" s="2">
        <f t="shared" si="412"/>
        <v>0</v>
      </c>
      <c r="V477" s="2">
        <f t="shared" si="413"/>
        <v>0</v>
      </c>
      <c r="W477" s="2">
        <f t="shared" si="414"/>
        <v>0</v>
      </c>
      <c r="X477" s="2">
        <f t="shared" si="415"/>
        <v>0</v>
      </c>
      <c r="Y477" s="2">
        <f t="shared" si="416"/>
        <v>0</v>
      </c>
      <c r="Z477" s="2"/>
      <c r="AA477" s="2">
        <v>45037306</v>
      </c>
      <c r="AB477" s="2">
        <f t="shared" si="417"/>
        <v>4721.68</v>
      </c>
      <c r="AC477" s="2">
        <f t="shared" si="418"/>
        <v>4721.68</v>
      </c>
      <c r="AD477" s="2">
        <f t="shared" ref="AD477:AF480" si="447">ROUND((ET477),6)</f>
        <v>0</v>
      </c>
      <c r="AE477" s="2">
        <f t="shared" si="447"/>
        <v>0</v>
      </c>
      <c r="AF477" s="2">
        <f t="shared" si="447"/>
        <v>0</v>
      </c>
      <c r="AG477" s="2">
        <f t="shared" si="419"/>
        <v>0</v>
      </c>
      <c r="AH477" s="2">
        <f t="shared" ref="AH477:AI480" si="448">(EW477)</f>
        <v>0</v>
      </c>
      <c r="AI477" s="2">
        <f t="shared" si="448"/>
        <v>0</v>
      </c>
      <c r="AJ477" s="2">
        <f t="shared" si="420"/>
        <v>0</v>
      </c>
      <c r="AK477" s="2">
        <v>4721.68</v>
      </c>
      <c r="AL477" s="2">
        <v>4721.68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0</v>
      </c>
      <c r="AV477" s="2">
        <v>1</v>
      </c>
      <c r="AW477" s="2">
        <v>1</v>
      </c>
      <c r="AX477" s="2"/>
      <c r="AY477" s="2"/>
      <c r="AZ477" s="2">
        <v>1</v>
      </c>
      <c r="BA477" s="2">
        <v>1</v>
      </c>
      <c r="BB477" s="2">
        <v>1</v>
      </c>
      <c r="BC477" s="2">
        <v>1</v>
      </c>
      <c r="BD477" s="2" t="s">
        <v>3</v>
      </c>
      <c r="BE477" s="2" t="s">
        <v>3</v>
      </c>
      <c r="BF477" s="2" t="s">
        <v>3</v>
      </c>
      <c r="BG477" s="2" t="s">
        <v>3</v>
      </c>
      <c r="BH477" s="2">
        <v>3</v>
      </c>
      <c r="BI477" s="2">
        <v>2</v>
      </c>
      <c r="BJ477" s="2" t="s">
        <v>569</v>
      </c>
      <c r="BK477" s="2"/>
      <c r="BL477" s="2"/>
      <c r="BM477" s="2">
        <v>333</v>
      </c>
      <c r="BN477" s="2">
        <v>7156650</v>
      </c>
      <c r="BO477" s="2" t="s">
        <v>3</v>
      </c>
      <c r="BP477" s="2">
        <v>0</v>
      </c>
      <c r="BQ477" s="2">
        <v>40</v>
      </c>
      <c r="BR477" s="2">
        <v>0</v>
      </c>
      <c r="BS477" s="2">
        <v>1</v>
      </c>
      <c r="BT477" s="2">
        <v>1</v>
      </c>
      <c r="BU477" s="2">
        <v>1</v>
      </c>
      <c r="BV477" s="2">
        <v>1</v>
      </c>
      <c r="BW477" s="2">
        <v>1</v>
      </c>
      <c r="BX477" s="2">
        <v>1</v>
      </c>
      <c r="BY477" s="2" t="s">
        <v>3</v>
      </c>
      <c r="BZ477" s="2">
        <v>0</v>
      </c>
      <c r="CA477" s="2">
        <v>0</v>
      </c>
      <c r="CB477" s="2"/>
      <c r="CC477" s="2"/>
      <c r="CD477" s="2"/>
      <c r="CE477" s="2"/>
      <c r="CF477" s="2">
        <v>0</v>
      </c>
      <c r="CG477" s="2">
        <v>0</v>
      </c>
      <c r="CH477" s="2"/>
      <c r="CI477" s="2"/>
      <c r="CJ477" s="2"/>
      <c r="CK477" s="2"/>
      <c r="CL477" s="2"/>
      <c r="CM477" s="2">
        <v>0</v>
      </c>
      <c r="CN477" s="2" t="s">
        <v>3</v>
      </c>
      <c r="CO477" s="2">
        <v>0</v>
      </c>
      <c r="CP477" s="2">
        <f t="shared" si="421"/>
        <v>4721.68</v>
      </c>
      <c r="CQ477" s="2">
        <f t="shared" si="422"/>
        <v>4721.68</v>
      </c>
      <c r="CR477" s="2">
        <f t="shared" si="423"/>
        <v>0</v>
      </c>
      <c r="CS477" s="2">
        <f t="shared" si="424"/>
        <v>0</v>
      </c>
      <c r="CT477" s="2">
        <f t="shared" si="425"/>
        <v>0</v>
      </c>
      <c r="CU477" s="2">
        <f t="shared" si="426"/>
        <v>0</v>
      </c>
      <c r="CV477" s="2">
        <f t="shared" si="427"/>
        <v>0</v>
      </c>
      <c r="CW477" s="2">
        <f t="shared" si="428"/>
        <v>0</v>
      </c>
      <c r="CX477" s="2">
        <f t="shared" si="429"/>
        <v>0</v>
      </c>
      <c r="CY477" s="2">
        <f t="shared" si="430"/>
        <v>0</v>
      </c>
      <c r="CZ477" s="2">
        <f t="shared" si="431"/>
        <v>0</v>
      </c>
      <c r="DA477" s="2"/>
      <c r="DB477" s="2"/>
      <c r="DC477" s="2" t="s">
        <v>3</v>
      </c>
      <c r="DD477" s="2" t="s">
        <v>3</v>
      </c>
      <c r="DE477" s="2" t="s">
        <v>3</v>
      </c>
      <c r="DF477" s="2" t="s">
        <v>3</v>
      </c>
      <c r="DG477" s="2" t="s">
        <v>3</v>
      </c>
      <c r="DH477" s="2" t="s">
        <v>3</v>
      </c>
      <c r="DI477" s="2" t="s">
        <v>3</v>
      </c>
      <c r="DJ477" s="2" t="s">
        <v>3</v>
      </c>
      <c r="DK477" s="2" t="s">
        <v>3</v>
      </c>
      <c r="DL477" s="2" t="s">
        <v>3</v>
      </c>
      <c r="DM477" s="2" t="s">
        <v>3</v>
      </c>
      <c r="DN477" s="2">
        <v>114</v>
      </c>
      <c r="DO477" s="2">
        <v>67</v>
      </c>
      <c r="DP477" s="2">
        <v>1.0469999999999999</v>
      </c>
      <c r="DQ477" s="2">
        <v>1</v>
      </c>
      <c r="DR477" s="2"/>
      <c r="DS477" s="2"/>
      <c r="DT477" s="2"/>
      <c r="DU477" s="2">
        <v>1010</v>
      </c>
      <c r="DV477" s="2" t="s">
        <v>304</v>
      </c>
      <c r="DW477" s="2" t="s">
        <v>304</v>
      </c>
      <c r="DX477" s="2">
        <v>1</v>
      </c>
      <c r="DY477" s="2"/>
      <c r="DZ477" s="2"/>
      <c r="EA477" s="2"/>
      <c r="EB477" s="2"/>
      <c r="EC477" s="2"/>
      <c r="ED477" s="2"/>
      <c r="EE477" s="2">
        <v>44846840</v>
      </c>
      <c r="EF477" s="2">
        <v>40</v>
      </c>
      <c r="EG477" s="2" t="s">
        <v>453</v>
      </c>
      <c r="EH477" s="2">
        <v>0</v>
      </c>
      <c r="EI477" s="2" t="s">
        <v>3</v>
      </c>
      <c r="EJ477" s="2">
        <v>2</v>
      </c>
      <c r="EK477" s="2">
        <v>333</v>
      </c>
      <c r="EL477" s="2" t="s">
        <v>465</v>
      </c>
      <c r="EM477" s="2" t="s">
        <v>466</v>
      </c>
      <c r="EN477" s="2"/>
      <c r="EO477" s="2" t="s">
        <v>3</v>
      </c>
      <c r="EP477" s="2"/>
      <c r="EQ477" s="2">
        <v>0</v>
      </c>
      <c r="ER477" s="2">
        <v>4721.68</v>
      </c>
      <c r="ES477" s="2">
        <v>4721.68</v>
      </c>
      <c r="ET477" s="2">
        <v>0</v>
      </c>
      <c r="EU477" s="2">
        <v>0</v>
      </c>
      <c r="EV477" s="2">
        <v>0</v>
      </c>
      <c r="EW477" s="2">
        <v>0</v>
      </c>
      <c r="EX477" s="2">
        <v>0</v>
      </c>
      <c r="EY477" s="2"/>
      <c r="EZ477" s="2"/>
      <c r="FA477" s="2"/>
      <c r="FB477" s="2"/>
      <c r="FC477" s="2"/>
      <c r="FD477" s="2"/>
      <c r="FE477" s="2"/>
      <c r="FF477" s="2"/>
      <c r="FG477" s="2"/>
      <c r="FH477" s="2"/>
      <c r="FI477" s="2"/>
      <c r="FJ477" s="2"/>
      <c r="FK477" s="2"/>
      <c r="FL477" s="2"/>
      <c r="FM477" s="2"/>
      <c r="FN477" s="2"/>
      <c r="FO477" s="2"/>
      <c r="FP477" s="2"/>
      <c r="FQ477" s="2">
        <v>0</v>
      </c>
      <c r="FR477" s="2">
        <f t="shared" si="432"/>
        <v>0</v>
      </c>
      <c r="FS477" s="2">
        <v>0</v>
      </c>
      <c r="FT477" s="2"/>
      <c r="FU477" s="2"/>
      <c r="FV477" s="2"/>
      <c r="FW477" s="2"/>
      <c r="FX477" s="2">
        <v>114</v>
      </c>
      <c r="FY477" s="2">
        <v>67</v>
      </c>
      <c r="FZ477" s="2"/>
      <c r="GA477" s="2" t="s">
        <v>3</v>
      </c>
      <c r="GB477" s="2"/>
      <c r="GC477" s="2"/>
      <c r="GD477" s="2">
        <v>0</v>
      </c>
      <c r="GE477" s="2"/>
      <c r="GF477" s="2">
        <v>88848191</v>
      </c>
      <c r="GG477" s="2">
        <v>2</v>
      </c>
      <c r="GH477" s="2">
        <v>1</v>
      </c>
      <c r="GI477" s="2">
        <v>3</v>
      </c>
      <c r="GJ477" s="2">
        <v>0</v>
      </c>
      <c r="GK477" s="2">
        <f>ROUND(R477*(R12)/100,2)</f>
        <v>0</v>
      </c>
      <c r="GL477" s="2">
        <f t="shared" si="433"/>
        <v>0</v>
      </c>
      <c r="GM477" s="2">
        <f t="shared" si="434"/>
        <v>4721.68</v>
      </c>
      <c r="GN477" s="2">
        <f t="shared" si="435"/>
        <v>0</v>
      </c>
      <c r="GO477" s="2">
        <f t="shared" si="436"/>
        <v>4721.68</v>
      </c>
      <c r="GP477" s="2">
        <f t="shared" si="437"/>
        <v>0</v>
      </c>
      <c r="GQ477" s="2"/>
      <c r="GR477" s="2">
        <v>0</v>
      </c>
      <c r="GS477" s="2">
        <v>3</v>
      </c>
      <c r="GT477" s="2">
        <v>0</v>
      </c>
      <c r="GU477" s="2" t="s">
        <v>3</v>
      </c>
      <c r="GV477" s="2">
        <f t="shared" si="438"/>
        <v>0</v>
      </c>
      <c r="GW477" s="2">
        <v>1</v>
      </c>
      <c r="GX477" s="2">
        <f t="shared" si="439"/>
        <v>0</v>
      </c>
      <c r="GY477" s="2"/>
      <c r="GZ477" s="2"/>
      <c r="HA477" s="2">
        <v>0</v>
      </c>
      <c r="HB477" s="2">
        <v>0</v>
      </c>
      <c r="HC477" s="2"/>
      <c r="HD477" s="2"/>
      <c r="HE477" s="2"/>
      <c r="HF477" s="2"/>
      <c r="HG477" s="2"/>
      <c r="HH477" s="2"/>
      <c r="HI477" s="2"/>
      <c r="HJ477" s="2"/>
      <c r="HK477" s="2"/>
      <c r="HL477" s="2"/>
      <c r="HM477" s="2"/>
      <c r="HN477" s="2"/>
      <c r="HO477" s="2"/>
      <c r="HP477" s="2"/>
      <c r="HQ477" s="2"/>
      <c r="HR477" s="2"/>
      <c r="HS477" s="2"/>
      <c r="HT477" s="2"/>
      <c r="HU477" s="2"/>
      <c r="HV477" s="2"/>
      <c r="HW477" s="2"/>
      <c r="HX477" s="2"/>
      <c r="HY477" s="2"/>
      <c r="HZ477" s="2"/>
      <c r="IA477" s="2"/>
      <c r="IB477" s="2"/>
      <c r="IC477" s="2"/>
      <c r="ID477" s="2"/>
      <c r="IE477" s="2"/>
      <c r="IF477" s="2"/>
      <c r="IG477" s="2"/>
      <c r="IH477" s="2"/>
      <c r="II477" s="2"/>
      <c r="IJ477" s="2"/>
      <c r="IK477" s="2">
        <v>0</v>
      </c>
      <c r="IL477" s="2"/>
      <c r="IM477" s="2"/>
      <c r="IN477" s="2"/>
      <c r="IO477" s="2"/>
      <c r="IP477" s="2"/>
      <c r="IQ477" s="2"/>
      <c r="IR477" s="2"/>
      <c r="IS477" s="2"/>
      <c r="IT477" s="2"/>
      <c r="IU477" s="2"/>
    </row>
    <row r="478" spans="1:255" x14ac:dyDescent="0.2">
      <c r="A478">
        <v>18</v>
      </c>
      <c r="B478">
        <v>1</v>
      </c>
      <c r="C478">
        <v>422</v>
      </c>
      <c r="E478" t="s">
        <v>566</v>
      </c>
      <c r="F478" t="s">
        <v>567</v>
      </c>
      <c r="G478" t="s">
        <v>568</v>
      </c>
      <c r="H478" t="s">
        <v>304</v>
      </c>
      <c r="I478">
        <f>I476*J478</f>
        <v>1</v>
      </c>
      <c r="J478">
        <v>100</v>
      </c>
      <c r="O478">
        <f t="shared" si="406"/>
        <v>10907.08</v>
      </c>
      <c r="P478">
        <f t="shared" si="407"/>
        <v>10907.08</v>
      </c>
      <c r="Q478">
        <f t="shared" si="408"/>
        <v>0</v>
      </c>
      <c r="R478">
        <f t="shared" si="409"/>
        <v>0</v>
      </c>
      <c r="S478">
        <f t="shared" si="410"/>
        <v>0</v>
      </c>
      <c r="T478">
        <f t="shared" si="411"/>
        <v>0</v>
      </c>
      <c r="U478">
        <f t="shared" si="412"/>
        <v>0</v>
      </c>
      <c r="V478">
        <f t="shared" si="413"/>
        <v>0</v>
      </c>
      <c r="W478">
        <f t="shared" si="414"/>
        <v>0</v>
      </c>
      <c r="X478">
        <f t="shared" si="415"/>
        <v>0</v>
      </c>
      <c r="Y478">
        <f t="shared" si="416"/>
        <v>0</v>
      </c>
      <c r="AA478">
        <v>45037307</v>
      </c>
      <c r="AB478">
        <f t="shared" si="417"/>
        <v>4721.68</v>
      </c>
      <c r="AC478">
        <f t="shared" si="418"/>
        <v>4721.68</v>
      </c>
      <c r="AD478">
        <f t="shared" si="447"/>
        <v>0</v>
      </c>
      <c r="AE478">
        <f t="shared" si="447"/>
        <v>0</v>
      </c>
      <c r="AF478">
        <f t="shared" si="447"/>
        <v>0</v>
      </c>
      <c r="AG478">
        <f t="shared" si="419"/>
        <v>0</v>
      </c>
      <c r="AH478">
        <f t="shared" si="448"/>
        <v>0</v>
      </c>
      <c r="AI478">
        <f t="shared" si="448"/>
        <v>0</v>
      </c>
      <c r="AJ478">
        <f t="shared" si="420"/>
        <v>0</v>
      </c>
      <c r="AK478">
        <v>4721.68</v>
      </c>
      <c r="AL478">
        <v>4721.68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1</v>
      </c>
      <c r="AW478">
        <v>1</v>
      </c>
      <c r="AZ478">
        <v>1</v>
      </c>
      <c r="BA478">
        <v>1</v>
      </c>
      <c r="BB478">
        <v>1</v>
      </c>
      <c r="BC478">
        <v>2.31</v>
      </c>
      <c r="BD478" t="s">
        <v>3</v>
      </c>
      <c r="BE478" t="s">
        <v>3</v>
      </c>
      <c r="BF478" t="s">
        <v>3</v>
      </c>
      <c r="BG478" t="s">
        <v>3</v>
      </c>
      <c r="BH478">
        <v>3</v>
      </c>
      <c r="BI478">
        <v>2</v>
      </c>
      <c r="BJ478" t="s">
        <v>569</v>
      </c>
      <c r="BM478">
        <v>333</v>
      </c>
      <c r="BN478">
        <v>7156650</v>
      </c>
      <c r="BO478" t="s">
        <v>567</v>
      </c>
      <c r="BP478">
        <v>1</v>
      </c>
      <c r="BQ478">
        <v>40</v>
      </c>
      <c r="BR478">
        <v>0</v>
      </c>
      <c r="BS478">
        <v>1</v>
      </c>
      <c r="BT478">
        <v>1</v>
      </c>
      <c r="BU478">
        <v>1</v>
      </c>
      <c r="BV478">
        <v>1</v>
      </c>
      <c r="BW478">
        <v>1</v>
      </c>
      <c r="BX478">
        <v>1</v>
      </c>
      <c r="BY478" t="s">
        <v>3</v>
      </c>
      <c r="BZ478">
        <v>0</v>
      </c>
      <c r="CA478">
        <v>0</v>
      </c>
      <c r="CF478">
        <v>0</v>
      </c>
      <c r="CG478">
        <v>0</v>
      </c>
      <c r="CM478">
        <v>0</v>
      </c>
      <c r="CN478" t="s">
        <v>3</v>
      </c>
      <c r="CO478">
        <v>0</v>
      </c>
      <c r="CP478">
        <f t="shared" si="421"/>
        <v>10907.08</v>
      </c>
      <c r="CQ478">
        <f t="shared" si="422"/>
        <v>10907.080800000002</v>
      </c>
      <c r="CR478">
        <f t="shared" si="423"/>
        <v>0</v>
      </c>
      <c r="CS478">
        <f t="shared" si="424"/>
        <v>0</v>
      </c>
      <c r="CT478">
        <f t="shared" si="425"/>
        <v>0</v>
      </c>
      <c r="CU478">
        <f t="shared" si="426"/>
        <v>0</v>
      </c>
      <c r="CV478">
        <f t="shared" si="427"/>
        <v>0</v>
      </c>
      <c r="CW478">
        <f t="shared" si="428"/>
        <v>0</v>
      </c>
      <c r="CX478">
        <f t="shared" si="429"/>
        <v>0</v>
      </c>
      <c r="CY478">
        <f t="shared" si="430"/>
        <v>0</v>
      </c>
      <c r="CZ478">
        <f t="shared" si="431"/>
        <v>0</v>
      </c>
      <c r="DC478" t="s">
        <v>3</v>
      </c>
      <c r="DD478" t="s">
        <v>3</v>
      </c>
      <c r="DE478" t="s">
        <v>3</v>
      </c>
      <c r="DF478" t="s">
        <v>3</v>
      </c>
      <c r="DG478" t="s">
        <v>3</v>
      </c>
      <c r="DH478" t="s">
        <v>3</v>
      </c>
      <c r="DI478" t="s">
        <v>3</v>
      </c>
      <c r="DJ478" t="s">
        <v>3</v>
      </c>
      <c r="DK478" t="s">
        <v>3</v>
      </c>
      <c r="DL478" t="s">
        <v>3</v>
      </c>
      <c r="DM478" t="s">
        <v>3</v>
      </c>
      <c r="DN478">
        <v>114</v>
      </c>
      <c r="DO478">
        <v>67</v>
      </c>
      <c r="DP478">
        <v>1.0469999999999999</v>
      </c>
      <c r="DQ478">
        <v>1</v>
      </c>
      <c r="DU478">
        <v>1010</v>
      </c>
      <c r="DV478" t="s">
        <v>304</v>
      </c>
      <c r="DW478" t="s">
        <v>304</v>
      </c>
      <c r="DX478">
        <v>1</v>
      </c>
      <c r="EE478">
        <v>44846840</v>
      </c>
      <c r="EF478">
        <v>40</v>
      </c>
      <c r="EG478" t="s">
        <v>453</v>
      </c>
      <c r="EH478">
        <v>0</v>
      </c>
      <c r="EI478" t="s">
        <v>3</v>
      </c>
      <c r="EJ478">
        <v>2</v>
      </c>
      <c r="EK478">
        <v>333</v>
      </c>
      <c r="EL478" t="s">
        <v>465</v>
      </c>
      <c r="EM478" t="s">
        <v>466</v>
      </c>
      <c r="EO478" t="s">
        <v>3</v>
      </c>
      <c r="EQ478">
        <v>0</v>
      </c>
      <c r="ER478">
        <v>4721.68</v>
      </c>
      <c r="ES478">
        <v>4721.68</v>
      </c>
      <c r="ET478">
        <v>0</v>
      </c>
      <c r="EU478">
        <v>0</v>
      </c>
      <c r="EV478">
        <v>0</v>
      </c>
      <c r="EW478">
        <v>0</v>
      </c>
      <c r="EX478">
        <v>0</v>
      </c>
      <c r="FQ478">
        <v>0</v>
      </c>
      <c r="FR478">
        <f t="shared" si="432"/>
        <v>0</v>
      </c>
      <c r="FS478">
        <v>0</v>
      </c>
      <c r="FX478">
        <v>114</v>
      </c>
      <c r="FY478">
        <v>67</v>
      </c>
      <c r="GA478" t="s">
        <v>3</v>
      </c>
      <c r="GD478">
        <v>0</v>
      </c>
      <c r="GF478">
        <v>88848191</v>
      </c>
      <c r="GG478">
        <v>2</v>
      </c>
      <c r="GH478">
        <v>1</v>
      </c>
      <c r="GI478">
        <v>3</v>
      </c>
      <c r="GJ478">
        <v>0</v>
      </c>
      <c r="GK478">
        <f>ROUND(R478*(S12)/100,2)</f>
        <v>0</v>
      </c>
      <c r="GL478">
        <f t="shared" si="433"/>
        <v>0</v>
      </c>
      <c r="GM478">
        <f t="shared" si="434"/>
        <v>10907.08</v>
      </c>
      <c r="GN478">
        <f t="shared" si="435"/>
        <v>0</v>
      </c>
      <c r="GO478">
        <f t="shared" si="436"/>
        <v>10907.08</v>
      </c>
      <c r="GP478">
        <f t="shared" si="437"/>
        <v>0</v>
      </c>
      <c r="GR478">
        <v>0</v>
      </c>
      <c r="GS478">
        <v>3</v>
      </c>
      <c r="GT478">
        <v>0</v>
      </c>
      <c r="GU478" t="s">
        <v>3</v>
      </c>
      <c r="GV478">
        <f t="shared" si="438"/>
        <v>0</v>
      </c>
      <c r="GW478">
        <v>1</v>
      </c>
      <c r="GX478">
        <f t="shared" si="439"/>
        <v>0</v>
      </c>
      <c r="HA478">
        <v>0</v>
      </c>
      <c r="HB478">
        <v>0</v>
      </c>
      <c r="IK478">
        <v>0</v>
      </c>
    </row>
    <row r="479" spans="1:255" x14ac:dyDescent="0.2">
      <c r="A479" s="2">
        <v>18</v>
      </c>
      <c r="B479" s="2">
        <v>1</v>
      </c>
      <c r="C479" s="2">
        <v>418</v>
      </c>
      <c r="D479" s="2"/>
      <c r="E479" s="2" t="s">
        <v>570</v>
      </c>
      <c r="F479" s="2" t="s">
        <v>571</v>
      </c>
      <c r="G479" s="2" t="s">
        <v>572</v>
      </c>
      <c r="H479" s="2" t="s">
        <v>304</v>
      </c>
      <c r="I479" s="2">
        <f>I475*J479</f>
        <v>1</v>
      </c>
      <c r="J479" s="2">
        <v>100</v>
      </c>
      <c r="K479" s="2"/>
      <c r="L479" s="2"/>
      <c r="M479" s="2"/>
      <c r="N479" s="2"/>
      <c r="O479" s="2">
        <f t="shared" si="406"/>
        <v>193.54</v>
      </c>
      <c r="P479" s="2">
        <f t="shared" si="407"/>
        <v>193.54</v>
      </c>
      <c r="Q479" s="2">
        <f t="shared" si="408"/>
        <v>0</v>
      </c>
      <c r="R479" s="2">
        <f t="shared" si="409"/>
        <v>0</v>
      </c>
      <c r="S479" s="2">
        <f t="shared" si="410"/>
        <v>0</v>
      </c>
      <c r="T479" s="2">
        <f t="shared" si="411"/>
        <v>0</v>
      </c>
      <c r="U479" s="2">
        <f t="shared" si="412"/>
        <v>0</v>
      </c>
      <c r="V479" s="2">
        <f t="shared" si="413"/>
        <v>0</v>
      </c>
      <c r="W479" s="2">
        <f t="shared" si="414"/>
        <v>0</v>
      </c>
      <c r="X479" s="2">
        <f t="shared" si="415"/>
        <v>0</v>
      </c>
      <c r="Y479" s="2">
        <f t="shared" si="416"/>
        <v>0</v>
      </c>
      <c r="Z479" s="2"/>
      <c r="AA479" s="2">
        <v>45037306</v>
      </c>
      <c r="AB479" s="2">
        <f t="shared" si="417"/>
        <v>193.54</v>
      </c>
      <c r="AC479" s="2">
        <f t="shared" si="418"/>
        <v>193.54</v>
      </c>
      <c r="AD479" s="2">
        <f t="shared" si="447"/>
        <v>0</v>
      </c>
      <c r="AE479" s="2">
        <f t="shared" si="447"/>
        <v>0</v>
      </c>
      <c r="AF479" s="2">
        <f t="shared" si="447"/>
        <v>0</v>
      </c>
      <c r="AG479" s="2">
        <f t="shared" si="419"/>
        <v>0</v>
      </c>
      <c r="AH479" s="2">
        <f t="shared" si="448"/>
        <v>0</v>
      </c>
      <c r="AI479" s="2">
        <f t="shared" si="448"/>
        <v>0</v>
      </c>
      <c r="AJ479" s="2">
        <f t="shared" si="420"/>
        <v>0</v>
      </c>
      <c r="AK479" s="2">
        <v>193.54</v>
      </c>
      <c r="AL479" s="2">
        <v>193.54</v>
      </c>
      <c r="AM479" s="2">
        <v>0</v>
      </c>
      <c r="AN479" s="2">
        <v>0</v>
      </c>
      <c r="AO479" s="2">
        <v>0</v>
      </c>
      <c r="AP479" s="2">
        <v>0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1</v>
      </c>
      <c r="AW479" s="2">
        <v>1</v>
      </c>
      <c r="AX479" s="2"/>
      <c r="AY479" s="2"/>
      <c r="AZ479" s="2">
        <v>1</v>
      </c>
      <c r="BA479" s="2">
        <v>1</v>
      </c>
      <c r="BB479" s="2">
        <v>1</v>
      </c>
      <c r="BC479" s="2">
        <v>1</v>
      </c>
      <c r="BD479" s="2" t="s">
        <v>3</v>
      </c>
      <c r="BE479" s="2" t="s">
        <v>3</v>
      </c>
      <c r="BF479" s="2" t="s">
        <v>3</v>
      </c>
      <c r="BG479" s="2" t="s">
        <v>3</v>
      </c>
      <c r="BH479" s="2">
        <v>3</v>
      </c>
      <c r="BI479" s="2">
        <v>2</v>
      </c>
      <c r="BJ479" s="2" t="s">
        <v>573</v>
      </c>
      <c r="BK479" s="2"/>
      <c r="BL479" s="2"/>
      <c r="BM479" s="2">
        <v>333</v>
      </c>
      <c r="BN479" s="2">
        <v>7156650</v>
      </c>
      <c r="BO479" s="2" t="s">
        <v>3</v>
      </c>
      <c r="BP479" s="2">
        <v>0</v>
      </c>
      <c r="BQ479" s="2">
        <v>40</v>
      </c>
      <c r="BR479" s="2">
        <v>0</v>
      </c>
      <c r="BS479" s="2">
        <v>1</v>
      </c>
      <c r="BT479" s="2">
        <v>1</v>
      </c>
      <c r="BU479" s="2">
        <v>1</v>
      </c>
      <c r="BV479" s="2">
        <v>1</v>
      </c>
      <c r="BW479" s="2">
        <v>1</v>
      </c>
      <c r="BX479" s="2">
        <v>1</v>
      </c>
      <c r="BY479" s="2" t="s">
        <v>3</v>
      </c>
      <c r="BZ479" s="2">
        <v>0</v>
      </c>
      <c r="CA479" s="2">
        <v>0</v>
      </c>
      <c r="CB479" s="2"/>
      <c r="CC479" s="2"/>
      <c r="CD479" s="2"/>
      <c r="CE479" s="2"/>
      <c r="CF479" s="2">
        <v>0</v>
      </c>
      <c r="CG479" s="2">
        <v>0</v>
      </c>
      <c r="CH479" s="2"/>
      <c r="CI479" s="2"/>
      <c r="CJ479" s="2"/>
      <c r="CK479" s="2"/>
      <c r="CL479" s="2"/>
      <c r="CM479" s="2">
        <v>0</v>
      </c>
      <c r="CN479" s="2" t="s">
        <v>3</v>
      </c>
      <c r="CO479" s="2">
        <v>0</v>
      </c>
      <c r="CP479" s="2">
        <f t="shared" si="421"/>
        <v>193.54</v>
      </c>
      <c r="CQ479" s="2">
        <f t="shared" si="422"/>
        <v>193.54</v>
      </c>
      <c r="CR479" s="2">
        <f t="shared" si="423"/>
        <v>0</v>
      </c>
      <c r="CS479" s="2">
        <f t="shared" si="424"/>
        <v>0</v>
      </c>
      <c r="CT479" s="2">
        <f t="shared" si="425"/>
        <v>0</v>
      </c>
      <c r="CU479" s="2">
        <f t="shared" si="426"/>
        <v>0</v>
      </c>
      <c r="CV479" s="2">
        <f t="shared" si="427"/>
        <v>0</v>
      </c>
      <c r="CW479" s="2">
        <f t="shared" si="428"/>
        <v>0</v>
      </c>
      <c r="CX479" s="2">
        <f t="shared" si="429"/>
        <v>0</v>
      </c>
      <c r="CY479" s="2">
        <f t="shared" si="430"/>
        <v>0</v>
      </c>
      <c r="CZ479" s="2">
        <f t="shared" si="431"/>
        <v>0</v>
      </c>
      <c r="DA479" s="2"/>
      <c r="DB479" s="2"/>
      <c r="DC479" s="2" t="s">
        <v>3</v>
      </c>
      <c r="DD479" s="2" t="s">
        <v>3</v>
      </c>
      <c r="DE479" s="2" t="s">
        <v>3</v>
      </c>
      <c r="DF479" s="2" t="s">
        <v>3</v>
      </c>
      <c r="DG479" s="2" t="s">
        <v>3</v>
      </c>
      <c r="DH479" s="2" t="s">
        <v>3</v>
      </c>
      <c r="DI479" s="2" t="s">
        <v>3</v>
      </c>
      <c r="DJ479" s="2" t="s">
        <v>3</v>
      </c>
      <c r="DK479" s="2" t="s">
        <v>3</v>
      </c>
      <c r="DL479" s="2" t="s">
        <v>3</v>
      </c>
      <c r="DM479" s="2" t="s">
        <v>3</v>
      </c>
      <c r="DN479" s="2">
        <v>114</v>
      </c>
      <c r="DO479" s="2">
        <v>67</v>
      </c>
      <c r="DP479" s="2">
        <v>1.0469999999999999</v>
      </c>
      <c r="DQ479" s="2">
        <v>1</v>
      </c>
      <c r="DR479" s="2"/>
      <c r="DS479" s="2"/>
      <c r="DT479" s="2"/>
      <c r="DU479" s="2">
        <v>1010</v>
      </c>
      <c r="DV479" s="2" t="s">
        <v>304</v>
      </c>
      <c r="DW479" s="2" t="s">
        <v>304</v>
      </c>
      <c r="DX479" s="2">
        <v>1</v>
      </c>
      <c r="DY479" s="2"/>
      <c r="DZ479" s="2"/>
      <c r="EA479" s="2"/>
      <c r="EB479" s="2"/>
      <c r="EC479" s="2"/>
      <c r="ED479" s="2"/>
      <c r="EE479" s="2">
        <v>44846840</v>
      </c>
      <c r="EF479" s="2">
        <v>40</v>
      </c>
      <c r="EG479" s="2" t="s">
        <v>453</v>
      </c>
      <c r="EH479" s="2">
        <v>0</v>
      </c>
      <c r="EI479" s="2" t="s">
        <v>3</v>
      </c>
      <c r="EJ479" s="2">
        <v>2</v>
      </c>
      <c r="EK479" s="2">
        <v>333</v>
      </c>
      <c r="EL479" s="2" t="s">
        <v>465</v>
      </c>
      <c r="EM479" s="2" t="s">
        <v>466</v>
      </c>
      <c r="EN479" s="2"/>
      <c r="EO479" s="2" t="s">
        <v>3</v>
      </c>
      <c r="EP479" s="2"/>
      <c r="EQ479" s="2">
        <v>0</v>
      </c>
      <c r="ER479" s="2">
        <v>193.54</v>
      </c>
      <c r="ES479" s="2">
        <v>193.54</v>
      </c>
      <c r="ET479" s="2">
        <v>0</v>
      </c>
      <c r="EU479" s="2">
        <v>0</v>
      </c>
      <c r="EV479" s="2">
        <v>0</v>
      </c>
      <c r="EW479" s="2">
        <v>0</v>
      </c>
      <c r="EX479" s="2">
        <v>0</v>
      </c>
      <c r="EY479" s="2"/>
      <c r="EZ479" s="2"/>
      <c r="FA479" s="2"/>
      <c r="FB479" s="2"/>
      <c r="FC479" s="2"/>
      <c r="FD479" s="2"/>
      <c r="FE479" s="2"/>
      <c r="FF479" s="2"/>
      <c r="FG479" s="2"/>
      <c r="FH479" s="2"/>
      <c r="FI479" s="2"/>
      <c r="FJ479" s="2"/>
      <c r="FK479" s="2"/>
      <c r="FL479" s="2"/>
      <c r="FM479" s="2"/>
      <c r="FN479" s="2"/>
      <c r="FO479" s="2"/>
      <c r="FP479" s="2"/>
      <c r="FQ479" s="2">
        <v>0</v>
      </c>
      <c r="FR479" s="2">
        <f t="shared" si="432"/>
        <v>0</v>
      </c>
      <c r="FS479" s="2">
        <v>0</v>
      </c>
      <c r="FT479" s="2"/>
      <c r="FU479" s="2"/>
      <c r="FV479" s="2"/>
      <c r="FW479" s="2"/>
      <c r="FX479" s="2">
        <v>114</v>
      </c>
      <c r="FY479" s="2">
        <v>67</v>
      </c>
      <c r="FZ479" s="2"/>
      <c r="GA479" s="2" t="s">
        <v>3</v>
      </c>
      <c r="GB479" s="2"/>
      <c r="GC479" s="2"/>
      <c r="GD479" s="2">
        <v>0</v>
      </c>
      <c r="GE479" s="2"/>
      <c r="GF479" s="2">
        <v>754547905</v>
      </c>
      <c r="GG479" s="2">
        <v>2</v>
      </c>
      <c r="GH479" s="2">
        <v>1</v>
      </c>
      <c r="GI479" s="2">
        <v>3</v>
      </c>
      <c r="GJ479" s="2">
        <v>0</v>
      </c>
      <c r="GK479" s="2">
        <f>ROUND(R479*(R12)/100,2)</f>
        <v>0</v>
      </c>
      <c r="GL479" s="2">
        <f t="shared" si="433"/>
        <v>0</v>
      </c>
      <c r="GM479" s="2">
        <f t="shared" si="434"/>
        <v>193.54</v>
      </c>
      <c r="GN479" s="2">
        <f t="shared" si="435"/>
        <v>0</v>
      </c>
      <c r="GO479" s="2">
        <f t="shared" si="436"/>
        <v>193.54</v>
      </c>
      <c r="GP479" s="2">
        <f t="shared" si="437"/>
        <v>0</v>
      </c>
      <c r="GQ479" s="2"/>
      <c r="GR479" s="2">
        <v>0</v>
      </c>
      <c r="GS479" s="2">
        <v>3</v>
      </c>
      <c r="GT479" s="2">
        <v>0</v>
      </c>
      <c r="GU479" s="2" t="s">
        <v>3</v>
      </c>
      <c r="GV479" s="2">
        <f t="shared" si="438"/>
        <v>0</v>
      </c>
      <c r="GW479" s="2">
        <v>1</v>
      </c>
      <c r="GX479" s="2">
        <f t="shared" si="439"/>
        <v>0</v>
      </c>
      <c r="GY479" s="2"/>
      <c r="GZ479" s="2"/>
      <c r="HA479" s="2">
        <v>0</v>
      </c>
      <c r="HB479" s="2">
        <v>0</v>
      </c>
      <c r="HC479" s="2"/>
      <c r="HD479" s="2"/>
      <c r="HE479" s="2"/>
      <c r="HF479" s="2"/>
      <c r="HG479" s="2"/>
      <c r="HH479" s="2"/>
      <c r="HI479" s="2"/>
      <c r="HJ479" s="2"/>
      <c r="HK479" s="2"/>
      <c r="HL479" s="2"/>
      <c r="HM479" s="2"/>
      <c r="HN479" s="2"/>
      <c r="HO479" s="2"/>
      <c r="HP479" s="2"/>
      <c r="HQ479" s="2"/>
      <c r="HR479" s="2"/>
      <c r="HS479" s="2"/>
      <c r="HT479" s="2"/>
      <c r="HU479" s="2"/>
      <c r="HV479" s="2"/>
      <c r="HW479" s="2"/>
      <c r="HX479" s="2"/>
      <c r="HY479" s="2"/>
      <c r="HZ479" s="2"/>
      <c r="IA479" s="2"/>
      <c r="IB479" s="2"/>
      <c r="IC479" s="2"/>
      <c r="ID479" s="2"/>
      <c r="IE479" s="2"/>
      <c r="IF479" s="2"/>
      <c r="IG479" s="2"/>
      <c r="IH479" s="2"/>
      <c r="II479" s="2"/>
      <c r="IJ479" s="2"/>
      <c r="IK479" s="2">
        <v>0</v>
      </c>
      <c r="IL479" s="2"/>
      <c r="IM479" s="2"/>
      <c r="IN479" s="2"/>
      <c r="IO479" s="2"/>
      <c r="IP479" s="2"/>
      <c r="IQ479" s="2"/>
      <c r="IR479" s="2"/>
      <c r="IS479" s="2"/>
      <c r="IT479" s="2"/>
      <c r="IU479" s="2"/>
    </row>
    <row r="480" spans="1:255" x14ac:dyDescent="0.2">
      <c r="A480">
        <v>18</v>
      </c>
      <c r="B480">
        <v>1</v>
      </c>
      <c r="C480">
        <v>421</v>
      </c>
      <c r="E480" t="s">
        <v>570</v>
      </c>
      <c r="F480" t="s">
        <v>571</v>
      </c>
      <c r="G480" t="s">
        <v>572</v>
      </c>
      <c r="H480" t="s">
        <v>304</v>
      </c>
      <c r="I480">
        <f>I476*J480</f>
        <v>1</v>
      </c>
      <c r="J480">
        <v>100</v>
      </c>
      <c r="O480">
        <f t="shared" si="406"/>
        <v>1006.41</v>
      </c>
      <c r="P480">
        <f t="shared" si="407"/>
        <v>1006.41</v>
      </c>
      <c r="Q480">
        <f t="shared" si="408"/>
        <v>0</v>
      </c>
      <c r="R480">
        <f t="shared" si="409"/>
        <v>0</v>
      </c>
      <c r="S480">
        <f t="shared" si="410"/>
        <v>0</v>
      </c>
      <c r="T480">
        <f t="shared" si="411"/>
        <v>0</v>
      </c>
      <c r="U480">
        <f t="shared" si="412"/>
        <v>0</v>
      </c>
      <c r="V480">
        <f t="shared" si="413"/>
        <v>0</v>
      </c>
      <c r="W480">
        <f t="shared" si="414"/>
        <v>0</v>
      </c>
      <c r="X480">
        <f t="shared" si="415"/>
        <v>0</v>
      </c>
      <c r="Y480">
        <f t="shared" si="416"/>
        <v>0</v>
      </c>
      <c r="AA480">
        <v>45037307</v>
      </c>
      <c r="AB480">
        <f t="shared" si="417"/>
        <v>193.54</v>
      </c>
      <c r="AC480">
        <f t="shared" si="418"/>
        <v>193.54</v>
      </c>
      <c r="AD480">
        <f t="shared" si="447"/>
        <v>0</v>
      </c>
      <c r="AE480">
        <f t="shared" si="447"/>
        <v>0</v>
      </c>
      <c r="AF480">
        <f t="shared" si="447"/>
        <v>0</v>
      </c>
      <c r="AG480">
        <f t="shared" si="419"/>
        <v>0</v>
      </c>
      <c r="AH480">
        <f t="shared" si="448"/>
        <v>0</v>
      </c>
      <c r="AI480">
        <f t="shared" si="448"/>
        <v>0</v>
      </c>
      <c r="AJ480">
        <f t="shared" si="420"/>
        <v>0</v>
      </c>
      <c r="AK480">
        <v>193.54</v>
      </c>
      <c r="AL480">
        <v>193.54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1</v>
      </c>
      <c r="AW480">
        <v>1</v>
      </c>
      <c r="AZ480">
        <v>1</v>
      </c>
      <c r="BA480">
        <v>1</v>
      </c>
      <c r="BB480">
        <v>1</v>
      </c>
      <c r="BC480">
        <v>5.2</v>
      </c>
      <c r="BD480" t="s">
        <v>3</v>
      </c>
      <c r="BE480" t="s">
        <v>3</v>
      </c>
      <c r="BF480" t="s">
        <v>3</v>
      </c>
      <c r="BG480" t="s">
        <v>3</v>
      </c>
      <c r="BH480">
        <v>3</v>
      </c>
      <c r="BI480">
        <v>2</v>
      </c>
      <c r="BJ480" t="s">
        <v>573</v>
      </c>
      <c r="BM480">
        <v>333</v>
      </c>
      <c r="BN480">
        <v>7156650</v>
      </c>
      <c r="BO480" t="s">
        <v>571</v>
      </c>
      <c r="BP480">
        <v>1</v>
      </c>
      <c r="BQ480">
        <v>40</v>
      </c>
      <c r="BR480">
        <v>0</v>
      </c>
      <c r="BS480">
        <v>1</v>
      </c>
      <c r="BT480">
        <v>1</v>
      </c>
      <c r="BU480">
        <v>1</v>
      </c>
      <c r="BV480">
        <v>1</v>
      </c>
      <c r="BW480">
        <v>1</v>
      </c>
      <c r="BX480">
        <v>1</v>
      </c>
      <c r="BY480" t="s">
        <v>3</v>
      </c>
      <c r="BZ480">
        <v>0</v>
      </c>
      <c r="CA480">
        <v>0</v>
      </c>
      <c r="CF480">
        <v>0</v>
      </c>
      <c r="CG480">
        <v>0</v>
      </c>
      <c r="CM480">
        <v>0</v>
      </c>
      <c r="CN480" t="s">
        <v>3</v>
      </c>
      <c r="CO480">
        <v>0</v>
      </c>
      <c r="CP480">
        <f t="shared" si="421"/>
        <v>1006.41</v>
      </c>
      <c r="CQ480">
        <f t="shared" si="422"/>
        <v>1006.408</v>
      </c>
      <c r="CR480">
        <f t="shared" si="423"/>
        <v>0</v>
      </c>
      <c r="CS480">
        <f t="shared" si="424"/>
        <v>0</v>
      </c>
      <c r="CT480">
        <f t="shared" si="425"/>
        <v>0</v>
      </c>
      <c r="CU480">
        <f t="shared" si="426"/>
        <v>0</v>
      </c>
      <c r="CV480">
        <f t="shared" si="427"/>
        <v>0</v>
      </c>
      <c r="CW480">
        <f t="shared" si="428"/>
        <v>0</v>
      </c>
      <c r="CX480">
        <f t="shared" si="429"/>
        <v>0</v>
      </c>
      <c r="CY480">
        <f t="shared" si="430"/>
        <v>0</v>
      </c>
      <c r="CZ480">
        <f t="shared" si="431"/>
        <v>0</v>
      </c>
      <c r="DC480" t="s">
        <v>3</v>
      </c>
      <c r="DD480" t="s">
        <v>3</v>
      </c>
      <c r="DE480" t="s">
        <v>3</v>
      </c>
      <c r="DF480" t="s">
        <v>3</v>
      </c>
      <c r="DG480" t="s">
        <v>3</v>
      </c>
      <c r="DH480" t="s">
        <v>3</v>
      </c>
      <c r="DI480" t="s">
        <v>3</v>
      </c>
      <c r="DJ480" t="s">
        <v>3</v>
      </c>
      <c r="DK480" t="s">
        <v>3</v>
      </c>
      <c r="DL480" t="s">
        <v>3</v>
      </c>
      <c r="DM480" t="s">
        <v>3</v>
      </c>
      <c r="DN480">
        <v>114</v>
      </c>
      <c r="DO480">
        <v>67</v>
      </c>
      <c r="DP480">
        <v>1.0469999999999999</v>
      </c>
      <c r="DQ480">
        <v>1</v>
      </c>
      <c r="DU480">
        <v>1010</v>
      </c>
      <c r="DV480" t="s">
        <v>304</v>
      </c>
      <c r="DW480" t="s">
        <v>304</v>
      </c>
      <c r="DX480">
        <v>1</v>
      </c>
      <c r="EE480">
        <v>44846840</v>
      </c>
      <c r="EF480">
        <v>40</v>
      </c>
      <c r="EG480" t="s">
        <v>453</v>
      </c>
      <c r="EH480">
        <v>0</v>
      </c>
      <c r="EI480" t="s">
        <v>3</v>
      </c>
      <c r="EJ480">
        <v>2</v>
      </c>
      <c r="EK480">
        <v>333</v>
      </c>
      <c r="EL480" t="s">
        <v>465</v>
      </c>
      <c r="EM480" t="s">
        <v>466</v>
      </c>
      <c r="EO480" t="s">
        <v>3</v>
      </c>
      <c r="EQ480">
        <v>0</v>
      </c>
      <c r="ER480">
        <v>193.54</v>
      </c>
      <c r="ES480">
        <v>193.54</v>
      </c>
      <c r="ET480">
        <v>0</v>
      </c>
      <c r="EU480">
        <v>0</v>
      </c>
      <c r="EV480">
        <v>0</v>
      </c>
      <c r="EW480">
        <v>0</v>
      </c>
      <c r="EX480">
        <v>0</v>
      </c>
      <c r="FQ480">
        <v>0</v>
      </c>
      <c r="FR480">
        <f t="shared" si="432"/>
        <v>0</v>
      </c>
      <c r="FS480">
        <v>0</v>
      </c>
      <c r="FX480">
        <v>114</v>
      </c>
      <c r="FY480">
        <v>67</v>
      </c>
      <c r="GA480" t="s">
        <v>3</v>
      </c>
      <c r="GD480">
        <v>0</v>
      </c>
      <c r="GF480">
        <v>754547905</v>
      </c>
      <c r="GG480">
        <v>2</v>
      </c>
      <c r="GH480">
        <v>1</v>
      </c>
      <c r="GI480">
        <v>3</v>
      </c>
      <c r="GJ480">
        <v>0</v>
      </c>
      <c r="GK480">
        <f>ROUND(R480*(S12)/100,2)</f>
        <v>0</v>
      </c>
      <c r="GL480">
        <f t="shared" si="433"/>
        <v>0</v>
      </c>
      <c r="GM480">
        <f t="shared" si="434"/>
        <v>1006.41</v>
      </c>
      <c r="GN480">
        <f t="shared" si="435"/>
        <v>0</v>
      </c>
      <c r="GO480">
        <f t="shared" si="436"/>
        <v>1006.41</v>
      </c>
      <c r="GP480">
        <f t="shared" si="437"/>
        <v>0</v>
      </c>
      <c r="GR480">
        <v>0</v>
      </c>
      <c r="GS480">
        <v>3</v>
      </c>
      <c r="GT480">
        <v>0</v>
      </c>
      <c r="GU480" t="s">
        <v>3</v>
      </c>
      <c r="GV480">
        <f t="shared" si="438"/>
        <v>0</v>
      </c>
      <c r="GW480">
        <v>1</v>
      </c>
      <c r="GX480">
        <f t="shared" si="439"/>
        <v>0</v>
      </c>
      <c r="HA480">
        <v>0</v>
      </c>
      <c r="HB480">
        <v>0</v>
      </c>
      <c r="IK480">
        <v>0</v>
      </c>
    </row>
    <row r="482" spans="1:206" x14ac:dyDescent="0.2">
      <c r="A482" s="3">
        <v>51</v>
      </c>
      <c r="B482" s="3">
        <f>B449</f>
        <v>1</v>
      </c>
      <c r="C482" s="3">
        <f>A449</f>
        <v>5</v>
      </c>
      <c r="D482" s="3">
        <f>ROW(A449)</f>
        <v>449</v>
      </c>
      <c r="E482" s="3"/>
      <c r="F482" s="3" t="str">
        <f>IF(F449&lt;&gt;"",F449,"")</f>
        <v>Новый подраздел</v>
      </c>
      <c r="G482" s="3" t="str">
        <f>IF(G449&lt;&gt;"",G449,"")</f>
        <v>Электромонтажные работы</v>
      </c>
      <c r="H482" s="3">
        <v>0</v>
      </c>
      <c r="I482" s="3"/>
      <c r="J482" s="3"/>
      <c r="K482" s="3"/>
      <c r="L482" s="3"/>
      <c r="M482" s="3"/>
      <c r="N482" s="3"/>
      <c r="O482" s="3">
        <f t="shared" ref="O482:T482" si="449">ROUND(AB482,2)</f>
        <v>7843.17</v>
      </c>
      <c r="P482" s="3">
        <f t="shared" si="449"/>
        <v>7570.51</v>
      </c>
      <c r="Q482" s="3">
        <f t="shared" si="449"/>
        <v>19.36</v>
      </c>
      <c r="R482" s="3">
        <f t="shared" si="449"/>
        <v>3.74</v>
      </c>
      <c r="S482" s="3">
        <f t="shared" si="449"/>
        <v>253.3</v>
      </c>
      <c r="T482" s="3">
        <f t="shared" si="449"/>
        <v>0</v>
      </c>
      <c r="U482" s="3">
        <f>AH482</f>
        <v>20.545899999999996</v>
      </c>
      <c r="V482" s="3">
        <f>AI482</f>
        <v>0</v>
      </c>
      <c r="W482" s="3">
        <f>ROUND(AJ482,2)</f>
        <v>0</v>
      </c>
      <c r="X482" s="3">
        <f>ROUND(AK482,2)</f>
        <v>0</v>
      </c>
      <c r="Y482" s="3">
        <f>ROUND(AL482,2)</f>
        <v>0</v>
      </c>
      <c r="Z482" s="3"/>
      <c r="AA482" s="3"/>
      <c r="AB482" s="3">
        <f>ROUND(SUMIF(AA453:AA480,"=45037306",O453:O480),2)</f>
        <v>7843.17</v>
      </c>
      <c r="AC482" s="3">
        <f>ROUND(SUMIF(AA453:AA480,"=45037306",P453:P480),2)</f>
        <v>7570.51</v>
      </c>
      <c r="AD482" s="3">
        <f>ROUND(SUMIF(AA453:AA480,"=45037306",Q453:Q480),2)</f>
        <v>19.36</v>
      </c>
      <c r="AE482" s="3">
        <f>ROUND(SUMIF(AA453:AA480,"=45037306",R453:R480),2)</f>
        <v>3.74</v>
      </c>
      <c r="AF482" s="3">
        <f>ROUND(SUMIF(AA453:AA480,"=45037306",S453:S480),2)</f>
        <v>253.3</v>
      </c>
      <c r="AG482" s="3">
        <f>ROUND(SUMIF(AA453:AA480,"=45037306",T453:T480),2)</f>
        <v>0</v>
      </c>
      <c r="AH482" s="3">
        <f>SUMIF(AA453:AA480,"=45037306",U453:U480)</f>
        <v>20.545899999999996</v>
      </c>
      <c r="AI482" s="3">
        <f>SUMIF(AA453:AA480,"=45037306",V453:V480)</f>
        <v>0</v>
      </c>
      <c r="AJ482" s="3">
        <f>ROUND(SUMIF(AA453:AA480,"=45037306",W453:W480),2)</f>
        <v>0</v>
      </c>
      <c r="AK482" s="3">
        <f>ROUND(SUMIF(AA453:AA480,"=45037306",X453:X480),2)</f>
        <v>0</v>
      </c>
      <c r="AL482" s="3">
        <f>ROUND(SUMIF(AA453:AA480,"=45037306",Y453:Y480),2)</f>
        <v>0</v>
      </c>
      <c r="AM482" s="3"/>
      <c r="AN482" s="3"/>
      <c r="AO482" s="3">
        <f t="shared" ref="AO482:BC482" si="450">ROUND(BX482,2)</f>
        <v>0</v>
      </c>
      <c r="AP482" s="3">
        <f t="shared" si="450"/>
        <v>0</v>
      </c>
      <c r="AQ482" s="3">
        <f t="shared" si="450"/>
        <v>0</v>
      </c>
      <c r="AR482" s="3">
        <f t="shared" si="450"/>
        <v>7849.91</v>
      </c>
      <c r="AS482" s="3">
        <f t="shared" si="450"/>
        <v>0</v>
      </c>
      <c r="AT482" s="3">
        <f t="shared" si="450"/>
        <v>7849.91</v>
      </c>
      <c r="AU482" s="3">
        <f t="shared" si="450"/>
        <v>0</v>
      </c>
      <c r="AV482" s="3">
        <f t="shared" si="450"/>
        <v>7570.51</v>
      </c>
      <c r="AW482" s="3">
        <f t="shared" si="450"/>
        <v>7570.51</v>
      </c>
      <c r="AX482" s="3">
        <f t="shared" si="450"/>
        <v>0</v>
      </c>
      <c r="AY482" s="3">
        <f t="shared" si="450"/>
        <v>7570.51</v>
      </c>
      <c r="AZ482" s="3">
        <f t="shared" si="450"/>
        <v>0</v>
      </c>
      <c r="BA482" s="3">
        <f t="shared" si="450"/>
        <v>0</v>
      </c>
      <c r="BB482" s="3">
        <f t="shared" si="450"/>
        <v>0</v>
      </c>
      <c r="BC482" s="3">
        <f t="shared" si="450"/>
        <v>0</v>
      </c>
      <c r="BD482" s="3"/>
      <c r="BE482" s="3"/>
      <c r="BF482" s="3"/>
      <c r="BG482" s="3"/>
      <c r="BH482" s="3"/>
      <c r="BI482" s="3"/>
      <c r="BJ482" s="3"/>
      <c r="BK482" s="3"/>
      <c r="BL482" s="3"/>
      <c r="BM482" s="3"/>
      <c r="BN482" s="3"/>
      <c r="BO482" s="3"/>
      <c r="BP482" s="3"/>
      <c r="BQ482" s="3"/>
      <c r="BR482" s="3"/>
      <c r="BS482" s="3"/>
      <c r="BT482" s="3"/>
      <c r="BU482" s="3"/>
      <c r="BV482" s="3"/>
      <c r="BW482" s="3"/>
      <c r="BX482" s="3">
        <f>ROUND(SUMIF(AA453:AA480,"=45037306",FQ453:FQ480),2)</f>
        <v>0</v>
      </c>
      <c r="BY482" s="3">
        <f>ROUND(SUMIF(AA453:AA480,"=45037306",FR453:FR480),2)</f>
        <v>0</v>
      </c>
      <c r="BZ482" s="3">
        <f>ROUND(SUMIF(AA453:AA480,"=45037306",GL453:GL480),2)</f>
        <v>0</v>
      </c>
      <c r="CA482" s="3">
        <f>ROUND(SUMIF(AA453:AA480,"=45037306",GM453:GM480),2)</f>
        <v>7849.91</v>
      </c>
      <c r="CB482" s="3">
        <f>ROUND(SUMIF(AA453:AA480,"=45037306",GN453:GN480),2)</f>
        <v>0</v>
      </c>
      <c r="CC482" s="3">
        <f>ROUND(SUMIF(AA453:AA480,"=45037306",GO453:GO480),2)</f>
        <v>7849.91</v>
      </c>
      <c r="CD482" s="3">
        <f>ROUND(SUMIF(AA453:AA480,"=45037306",GP453:GP480),2)</f>
        <v>0</v>
      </c>
      <c r="CE482" s="3">
        <f>AC482-BX482</f>
        <v>7570.51</v>
      </c>
      <c r="CF482" s="3">
        <f>AC482-BY482</f>
        <v>7570.51</v>
      </c>
      <c r="CG482" s="3">
        <f>BX482-BZ482</f>
        <v>0</v>
      </c>
      <c r="CH482" s="3">
        <f>AC482-BX482-BY482+BZ482</f>
        <v>7570.51</v>
      </c>
      <c r="CI482" s="3">
        <f>BY482-BZ482</f>
        <v>0</v>
      </c>
      <c r="CJ482" s="3">
        <f>ROUND(SUMIF(AA453:AA480,"=45037306",GX453:GX480),2)</f>
        <v>0</v>
      </c>
      <c r="CK482" s="3">
        <f>ROUND(SUMIF(AA453:AA480,"=45037306",GY453:GY480),2)</f>
        <v>0</v>
      </c>
      <c r="CL482" s="3">
        <f>ROUND(SUMIF(AA453:AA480,"=45037306",GZ453:GZ480),2)</f>
        <v>0</v>
      </c>
      <c r="CM482" s="3"/>
      <c r="CN482" s="3"/>
      <c r="CO482" s="3"/>
      <c r="CP482" s="3"/>
      <c r="CQ482" s="3"/>
      <c r="CR482" s="3"/>
      <c r="CS482" s="3"/>
      <c r="CT482" s="3"/>
      <c r="CU482" s="3"/>
      <c r="CV482" s="3"/>
      <c r="CW482" s="3"/>
      <c r="CX482" s="3"/>
      <c r="CY482" s="3"/>
      <c r="CZ482" s="3"/>
      <c r="DA482" s="3"/>
      <c r="DB482" s="3"/>
      <c r="DC482" s="3"/>
      <c r="DD482" s="3"/>
      <c r="DE482" s="3"/>
      <c r="DF482" s="3"/>
      <c r="DG482" s="4">
        <f t="shared" ref="DG482:DL482" si="451">ROUND(DT482,2)</f>
        <v>27310.06</v>
      </c>
      <c r="DH482" s="4">
        <f t="shared" si="451"/>
        <v>21982.02</v>
      </c>
      <c r="DI482" s="4">
        <f t="shared" si="451"/>
        <v>160.63999999999999</v>
      </c>
      <c r="DJ482" s="4">
        <f t="shared" si="451"/>
        <v>76.17</v>
      </c>
      <c r="DK482" s="4">
        <f t="shared" si="451"/>
        <v>5167.3999999999996</v>
      </c>
      <c r="DL482" s="4">
        <f t="shared" si="451"/>
        <v>0</v>
      </c>
      <c r="DM482" s="4">
        <f>DZ482</f>
        <v>20.545899999999996</v>
      </c>
      <c r="DN482" s="4">
        <f>EA482</f>
        <v>0</v>
      </c>
      <c r="DO482" s="4">
        <f>ROUND(EB482,2)</f>
        <v>0</v>
      </c>
      <c r="DP482" s="4">
        <f>ROUND(EC482,2)</f>
        <v>3978.9</v>
      </c>
      <c r="DQ482" s="4">
        <f>ROUND(ED482,2)</f>
        <v>2118.63</v>
      </c>
      <c r="DR482" s="4"/>
      <c r="DS482" s="4"/>
      <c r="DT482" s="4">
        <f>ROUND(SUMIF(AA453:AA480,"=45037307",O453:O480),2)</f>
        <v>27310.06</v>
      </c>
      <c r="DU482" s="4">
        <f>ROUND(SUMIF(AA453:AA480,"=45037307",P453:P480),2)</f>
        <v>21982.02</v>
      </c>
      <c r="DV482" s="4">
        <f>ROUND(SUMIF(AA453:AA480,"=45037307",Q453:Q480),2)</f>
        <v>160.63999999999999</v>
      </c>
      <c r="DW482" s="4">
        <f>ROUND(SUMIF(AA453:AA480,"=45037307",R453:R480),2)</f>
        <v>76.17</v>
      </c>
      <c r="DX482" s="4">
        <f>ROUND(SUMIF(AA453:AA480,"=45037307",S453:S480),2)</f>
        <v>5167.3999999999996</v>
      </c>
      <c r="DY482" s="4">
        <f>ROUND(SUMIF(AA453:AA480,"=45037307",T453:T480),2)</f>
        <v>0</v>
      </c>
      <c r="DZ482" s="4">
        <f>SUMIF(AA453:AA480,"=45037307",U453:U480)</f>
        <v>20.545899999999996</v>
      </c>
      <c r="EA482" s="4">
        <f>SUMIF(AA453:AA480,"=45037307",V453:V480)</f>
        <v>0</v>
      </c>
      <c r="EB482" s="4">
        <f>ROUND(SUMIF(AA453:AA480,"=45037307",W453:W480),2)</f>
        <v>0</v>
      </c>
      <c r="EC482" s="4">
        <f>ROUND(SUMIF(AA453:AA480,"=45037307",X453:X480),2)</f>
        <v>3978.9</v>
      </c>
      <c r="ED482" s="4">
        <f>ROUND(SUMIF(AA453:AA480,"=45037307",Y453:Y480),2)</f>
        <v>2118.63</v>
      </c>
      <c r="EE482" s="4"/>
      <c r="EF482" s="4"/>
      <c r="EG482" s="4">
        <f t="shared" ref="EG482:EU482" si="452">ROUND(FP482,2)</f>
        <v>0</v>
      </c>
      <c r="EH482" s="4">
        <f t="shared" si="452"/>
        <v>0</v>
      </c>
      <c r="EI482" s="4">
        <f t="shared" si="452"/>
        <v>0</v>
      </c>
      <c r="EJ482" s="4">
        <f t="shared" si="452"/>
        <v>33535.56</v>
      </c>
      <c r="EK482" s="4">
        <f t="shared" si="452"/>
        <v>0</v>
      </c>
      <c r="EL482" s="4">
        <f t="shared" si="452"/>
        <v>33535.56</v>
      </c>
      <c r="EM482" s="4">
        <f t="shared" si="452"/>
        <v>0</v>
      </c>
      <c r="EN482" s="4">
        <f t="shared" si="452"/>
        <v>21982.02</v>
      </c>
      <c r="EO482" s="4">
        <f t="shared" si="452"/>
        <v>21982.02</v>
      </c>
      <c r="EP482" s="4">
        <f t="shared" si="452"/>
        <v>0</v>
      </c>
      <c r="EQ482" s="4">
        <f t="shared" si="452"/>
        <v>21982.02</v>
      </c>
      <c r="ER482" s="4">
        <f t="shared" si="452"/>
        <v>0</v>
      </c>
      <c r="ES482" s="4">
        <f t="shared" si="452"/>
        <v>0</v>
      </c>
      <c r="ET482" s="4">
        <f t="shared" si="452"/>
        <v>0</v>
      </c>
      <c r="EU482" s="4">
        <f t="shared" si="452"/>
        <v>0</v>
      </c>
      <c r="EV482" s="4"/>
      <c r="EW482" s="4"/>
      <c r="EX482" s="4"/>
      <c r="EY482" s="4"/>
      <c r="EZ482" s="4"/>
      <c r="FA482" s="4"/>
      <c r="FB482" s="4"/>
      <c r="FC482" s="4"/>
      <c r="FD482" s="4"/>
      <c r="FE482" s="4"/>
      <c r="FF482" s="4"/>
      <c r="FG482" s="4"/>
      <c r="FH482" s="4"/>
      <c r="FI482" s="4"/>
      <c r="FJ482" s="4"/>
      <c r="FK482" s="4"/>
      <c r="FL482" s="4"/>
      <c r="FM482" s="4"/>
      <c r="FN482" s="4"/>
      <c r="FO482" s="4"/>
      <c r="FP482" s="4">
        <f>ROUND(SUMIF(AA453:AA480,"=45037307",FQ453:FQ480),2)</f>
        <v>0</v>
      </c>
      <c r="FQ482" s="4">
        <f>ROUND(SUMIF(AA453:AA480,"=45037307",FR453:FR480),2)</f>
        <v>0</v>
      </c>
      <c r="FR482" s="4">
        <f>ROUND(SUMIF(AA453:AA480,"=45037307",GL453:GL480),2)</f>
        <v>0</v>
      </c>
      <c r="FS482" s="4">
        <f>ROUND(SUMIF(AA453:AA480,"=45037307",GM453:GM480),2)</f>
        <v>33535.56</v>
      </c>
      <c r="FT482" s="4">
        <f>ROUND(SUMIF(AA453:AA480,"=45037307",GN453:GN480),2)</f>
        <v>0</v>
      </c>
      <c r="FU482" s="4">
        <f>ROUND(SUMIF(AA453:AA480,"=45037307",GO453:GO480),2)</f>
        <v>33535.56</v>
      </c>
      <c r="FV482" s="4">
        <f>ROUND(SUMIF(AA453:AA480,"=45037307",GP453:GP480),2)</f>
        <v>0</v>
      </c>
      <c r="FW482" s="4">
        <f>DU482-FP482</f>
        <v>21982.02</v>
      </c>
      <c r="FX482" s="4">
        <f>DU482-FQ482</f>
        <v>21982.02</v>
      </c>
      <c r="FY482" s="4">
        <f>FP482-FR482</f>
        <v>0</v>
      </c>
      <c r="FZ482" s="4">
        <f>DU482-FP482-FQ482+FR482</f>
        <v>21982.02</v>
      </c>
      <c r="GA482" s="4">
        <f>FQ482-FR482</f>
        <v>0</v>
      </c>
      <c r="GB482" s="4">
        <f>ROUND(SUMIF(AA453:AA480,"=45037307",GX453:GX480),2)</f>
        <v>0</v>
      </c>
      <c r="GC482" s="4">
        <f>ROUND(SUMIF(AA453:AA480,"=45037307",GY453:GY480),2)</f>
        <v>0</v>
      </c>
      <c r="GD482" s="4">
        <f>ROUND(SUMIF(AA453:AA480,"=45037307",GZ453:GZ480),2)</f>
        <v>0</v>
      </c>
      <c r="GE482" s="4"/>
      <c r="GF482" s="4"/>
      <c r="GG482" s="4"/>
      <c r="GH482" s="4"/>
      <c r="GI482" s="4"/>
      <c r="GJ482" s="4"/>
      <c r="GK482" s="4"/>
      <c r="GL482" s="4"/>
      <c r="GM482" s="4"/>
      <c r="GN482" s="4"/>
      <c r="GO482" s="4"/>
      <c r="GP482" s="4"/>
      <c r="GQ482" s="4"/>
      <c r="GR482" s="4"/>
      <c r="GS482" s="4"/>
      <c r="GT482" s="4"/>
      <c r="GU482" s="4"/>
      <c r="GV482" s="4"/>
      <c r="GW482" s="4"/>
      <c r="GX482" s="4">
        <v>0</v>
      </c>
    </row>
    <row r="484" spans="1:206" x14ac:dyDescent="0.2">
      <c r="A484" s="5">
        <v>50</v>
      </c>
      <c r="B484" s="5">
        <v>0</v>
      </c>
      <c r="C484" s="5">
        <v>0</v>
      </c>
      <c r="D484" s="5">
        <v>1</v>
      </c>
      <c r="E484" s="5">
        <v>201</v>
      </c>
      <c r="F484" s="5">
        <f>ROUND(Source!O482,O484)</f>
        <v>7843.17</v>
      </c>
      <c r="G484" s="5" t="s">
        <v>117</v>
      </c>
      <c r="H484" s="5" t="s">
        <v>118</v>
      </c>
      <c r="I484" s="5"/>
      <c r="J484" s="5"/>
      <c r="K484" s="5">
        <v>201</v>
      </c>
      <c r="L484" s="5">
        <v>1</v>
      </c>
      <c r="M484" s="5">
        <v>3</v>
      </c>
      <c r="N484" s="5" t="s">
        <v>3</v>
      </c>
      <c r="O484" s="5">
        <v>2</v>
      </c>
      <c r="P484" s="5">
        <f>ROUND(Source!DG482,O484)</f>
        <v>27310.06</v>
      </c>
      <c r="Q484" s="5"/>
      <c r="R484" s="5"/>
      <c r="S484" s="5"/>
      <c r="T484" s="5"/>
      <c r="U484" s="5"/>
      <c r="V484" s="5"/>
      <c r="W484" s="5"/>
    </row>
    <row r="485" spans="1:206" x14ac:dyDescent="0.2">
      <c r="A485" s="5">
        <v>50</v>
      </c>
      <c r="B485" s="5">
        <v>0</v>
      </c>
      <c r="C485" s="5">
        <v>0</v>
      </c>
      <c r="D485" s="5">
        <v>1</v>
      </c>
      <c r="E485" s="5">
        <v>202</v>
      </c>
      <c r="F485" s="5">
        <f>ROUND(Source!P482,O485)</f>
        <v>7570.51</v>
      </c>
      <c r="G485" s="5" t="s">
        <v>119</v>
      </c>
      <c r="H485" s="5" t="s">
        <v>120</v>
      </c>
      <c r="I485" s="5"/>
      <c r="J485" s="5"/>
      <c r="K485" s="5">
        <v>202</v>
      </c>
      <c r="L485" s="5">
        <v>2</v>
      </c>
      <c r="M485" s="5">
        <v>3</v>
      </c>
      <c r="N485" s="5" t="s">
        <v>3</v>
      </c>
      <c r="O485" s="5">
        <v>2</v>
      </c>
      <c r="P485" s="5">
        <f>ROUND(Source!DH482,O485)</f>
        <v>21982.02</v>
      </c>
      <c r="Q485" s="5"/>
      <c r="R485" s="5"/>
      <c r="S485" s="5"/>
      <c r="T485" s="5"/>
      <c r="U485" s="5"/>
      <c r="V485" s="5"/>
      <c r="W485" s="5"/>
    </row>
    <row r="486" spans="1:206" x14ac:dyDescent="0.2">
      <c r="A486" s="5">
        <v>50</v>
      </c>
      <c r="B486" s="5">
        <v>0</v>
      </c>
      <c r="C486" s="5">
        <v>0</v>
      </c>
      <c r="D486" s="5">
        <v>1</v>
      </c>
      <c r="E486" s="5">
        <v>227</v>
      </c>
      <c r="F486" s="5">
        <f>ROUND(Source!AO482,O486)</f>
        <v>0</v>
      </c>
      <c r="G486" s="5" t="s">
        <v>121</v>
      </c>
      <c r="H486" s="5" t="s">
        <v>122</v>
      </c>
      <c r="I486" s="5"/>
      <c r="J486" s="5"/>
      <c r="K486" s="5">
        <v>222</v>
      </c>
      <c r="L486" s="5">
        <v>3</v>
      </c>
      <c r="M486" s="5">
        <v>3</v>
      </c>
      <c r="N486" s="5" t="s">
        <v>3</v>
      </c>
      <c r="O486" s="5">
        <v>2</v>
      </c>
      <c r="P486" s="5">
        <f>ROUND(Source!EG482,O486)</f>
        <v>0</v>
      </c>
      <c r="Q486" s="5"/>
      <c r="R486" s="5"/>
      <c r="S486" s="5"/>
      <c r="T486" s="5"/>
      <c r="U486" s="5"/>
      <c r="V486" s="5"/>
      <c r="W486" s="5"/>
    </row>
    <row r="487" spans="1:206" x14ac:dyDescent="0.2">
      <c r="A487" s="5">
        <v>50</v>
      </c>
      <c r="B487" s="5">
        <v>0</v>
      </c>
      <c r="C487" s="5">
        <v>0</v>
      </c>
      <c r="D487" s="5">
        <v>1</v>
      </c>
      <c r="E487" s="5">
        <v>225</v>
      </c>
      <c r="F487" s="5">
        <f>ROUND(Source!AV482,O487)</f>
        <v>7570.51</v>
      </c>
      <c r="G487" s="5" t="s">
        <v>123</v>
      </c>
      <c r="H487" s="5" t="s">
        <v>124</v>
      </c>
      <c r="I487" s="5"/>
      <c r="J487" s="5"/>
      <c r="K487" s="5">
        <v>225</v>
      </c>
      <c r="L487" s="5">
        <v>4</v>
      </c>
      <c r="M487" s="5">
        <v>3</v>
      </c>
      <c r="N487" s="5" t="s">
        <v>3</v>
      </c>
      <c r="O487" s="5">
        <v>2</v>
      </c>
      <c r="P487" s="5">
        <f>ROUND(Source!EN482,O487)</f>
        <v>21982.02</v>
      </c>
      <c r="Q487" s="5"/>
      <c r="R487" s="5"/>
      <c r="S487" s="5"/>
      <c r="T487" s="5"/>
      <c r="U487" s="5"/>
      <c r="V487" s="5"/>
      <c r="W487" s="5"/>
    </row>
    <row r="488" spans="1:206" x14ac:dyDescent="0.2">
      <c r="A488" s="5">
        <v>50</v>
      </c>
      <c r="B488" s="5">
        <v>0</v>
      </c>
      <c r="C488" s="5">
        <v>0</v>
      </c>
      <c r="D488" s="5">
        <v>1</v>
      </c>
      <c r="E488" s="5">
        <v>226</v>
      </c>
      <c r="F488" s="5">
        <f>ROUND(Source!AW482,O488)</f>
        <v>7570.51</v>
      </c>
      <c r="G488" s="5" t="s">
        <v>125</v>
      </c>
      <c r="H488" s="5" t="s">
        <v>126</v>
      </c>
      <c r="I488" s="5"/>
      <c r="J488" s="5"/>
      <c r="K488" s="5">
        <v>226</v>
      </c>
      <c r="L488" s="5">
        <v>5</v>
      </c>
      <c r="M488" s="5">
        <v>3</v>
      </c>
      <c r="N488" s="5" t="s">
        <v>3</v>
      </c>
      <c r="O488" s="5">
        <v>2</v>
      </c>
      <c r="P488" s="5">
        <f>ROUND(Source!EO482,O488)</f>
        <v>21982.02</v>
      </c>
      <c r="Q488" s="5"/>
      <c r="R488" s="5"/>
      <c r="S488" s="5"/>
      <c r="T488" s="5"/>
      <c r="U488" s="5"/>
      <c r="V488" s="5"/>
      <c r="W488" s="5"/>
    </row>
    <row r="489" spans="1:206" x14ac:dyDescent="0.2">
      <c r="A489" s="5">
        <v>50</v>
      </c>
      <c r="B489" s="5">
        <v>0</v>
      </c>
      <c r="C489" s="5">
        <v>0</v>
      </c>
      <c r="D489" s="5">
        <v>1</v>
      </c>
      <c r="E489" s="5">
        <v>0</v>
      </c>
      <c r="F489" s="5">
        <f>ROUND(Source!AX482,O489)</f>
        <v>0</v>
      </c>
      <c r="G489" s="5" t="s">
        <v>127</v>
      </c>
      <c r="H489" s="5" t="s">
        <v>128</v>
      </c>
      <c r="I489" s="5"/>
      <c r="J489" s="5"/>
      <c r="K489" s="5">
        <v>227</v>
      </c>
      <c r="L489" s="5">
        <v>6</v>
      </c>
      <c r="M489" s="5">
        <v>3</v>
      </c>
      <c r="N489" s="5" t="s">
        <v>3</v>
      </c>
      <c r="O489" s="5">
        <v>2</v>
      </c>
      <c r="P489" s="5">
        <f>ROUND(Source!EP482,O489)</f>
        <v>0</v>
      </c>
      <c r="Q489" s="5"/>
      <c r="R489" s="5"/>
      <c r="S489" s="5"/>
      <c r="T489" s="5"/>
      <c r="U489" s="5"/>
      <c r="V489" s="5"/>
      <c r="W489" s="5"/>
    </row>
    <row r="490" spans="1:206" x14ac:dyDescent="0.2">
      <c r="A490" s="5">
        <v>50</v>
      </c>
      <c r="B490" s="5">
        <v>0</v>
      </c>
      <c r="C490" s="5">
        <v>0</v>
      </c>
      <c r="D490" s="5">
        <v>1</v>
      </c>
      <c r="E490" s="5">
        <v>228</v>
      </c>
      <c r="F490" s="5">
        <f>ROUND(Source!AY482,O490)</f>
        <v>7570.51</v>
      </c>
      <c r="G490" s="5" t="s">
        <v>129</v>
      </c>
      <c r="H490" s="5" t="s">
        <v>130</v>
      </c>
      <c r="I490" s="5"/>
      <c r="J490" s="5"/>
      <c r="K490" s="5">
        <v>228</v>
      </c>
      <c r="L490" s="5">
        <v>7</v>
      </c>
      <c r="M490" s="5">
        <v>3</v>
      </c>
      <c r="N490" s="5" t="s">
        <v>3</v>
      </c>
      <c r="O490" s="5">
        <v>2</v>
      </c>
      <c r="P490" s="5">
        <f>ROUND(Source!EQ482,O490)</f>
        <v>21982.02</v>
      </c>
      <c r="Q490" s="5"/>
      <c r="R490" s="5"/>
      <c r="S490" s="5"/>
      <c r="T490" s="5"/>
      <c r="U490" s="5"/>
      <c r="V490" s="5"/>
      <c r="W490" s="5"/>
    </row>
    <row r="491" spans="1:206" x14ac:dyDescent="0.2">
      <c r="A491" s="5">
        <v>50</v>
      </c>
      <c r="B491" s="5">
        <v>0</v>
      </c>
      <c r="C491" s="5">
        <v>0</v>
      </c>
      <c r="D491" s="5">
        <v>1</v>
      </c>
      <c r="E491" s="5">
        <v>216</v>
      </c>
      <c r="F491" s="5">
        <f>ROUND(Source!AP482,O491)</f>
        <v>0</v>
      </c>
      <c r="G491" s="5" t="s">
        <v>131</v>
      </c>
      <c r="H491" s="5" t="s">
        <v>132</v>
      </c>
      <c r="I491" s="5"/>
      <c r="J491" s="5"/>
      <c r="K491" s="5">
        <v>216</v>
      </c>
      <c r="L491" s="5">
        <v>8</v>
      </c>
      <c r="M491" s="5">
        <v>3</v>
      </c>
      <c r="N491" s="5" t="s">
        <v>3</v>
      </c>
      <c r="O491" s="5">
        <v>2</v>
      </c>
      <c r="P491" s="5">
        <f>ROUND(Source!EH482,O491)</f>
        <v>0</v>
      </c>
      <c r="Q491" s="5"/>
      <c r="R491" s="5"/>
      <c r="S491" s="5"/>
      <c r="T491" s="5"/>
      <c r="U491" s="5"/>
      <c r="V491" s="5"/>
      <c r="W491" s="5"/>
    </row>
    <row r="492" spans="1:206" x14ac:dyDescent="0.2">
      <c r="A492" s="5">
        <v>50</v>
      </c>
      <c r="B492" s="5">
        <v>0</v>
      </c>
      <c r="C492" s="5">
        <v>0</v>
      </c>
      <c r="D492" s="5">
        <v>1</v>
      </c>
      <c r="E492" s="5">
        <v>223</v>
      </c>
      <c r="F492" s="5">
        <f>ROUND(Source!AQ482,O492)</f>
        <v>0</v>
      </c>
      <c r="G492" s="5" t="s">
        <v>133</v>
      </c>
      <c r="H492" s="5" t="s">
        <v>134</v>
      </c>
      <c r="I492" s="5"/>
      <c r="J492" s="5"/>
      <c r="K492" s="5">
        <v>223</v>
      </c>
      <c r="L492" s="5">
        <v>9</v>
      </c>
      <c r="M492" s="5">
        <v>3</v>
      </c>
      <c r="N492" s="5" t="s">
        <v>3</v>
      </c>
      <c r="O492" s="5">
        <v>2</v>
      </c>
      <c r="P492" s="5">
        <f>ROUND(Source!EI482,O492)</f>
        <v>0</v>
      </c>
      <c r="Q492" s="5"/>
      <c r="R492" s="5"/>
      <c r="S492" s="5"/>
      <c r="T492" s="5"/>
      <c r="U492" s="5"/>
      <c r="V492" s="5"/>
      <c r="W492" s="5"/>
    </row>
    <row r="493" spans="1:206" x14ac:dyDescent="0.2">
      <c r="A493" s="5">
        <v>50</v>
      </c>
      <c r="B493" s="5">
        <v>0</v>
      </c>
      <c r="C493" s="5">
        <v>0</v>
      </c>
      <c r="D493" s="5">
        <v>1</v>
      </c>
      <c r="E493" s="5">
        <v>229</v>
      </c>
      <c r="F493" s="5">
        <f>ROUND(Source!AZ482,O493)</f>
        <v>0</v>
      </c>
      <c r="G493" s="5" t="s">
        <v>135</v>
      </c>
      <c r="H493" s="5" t="s">
        <v>136</v>
      </c>
      <c r="I493" s="5"/>
      <c r="J493" s="5"/>
      <c r="K493" s="5">
        <v>229</v>
      </c>
      <c r="L493" s="5">
        <v>10</v>
      </c>
      <c r="M493" s="5">
        <v>3</v>
      </c>
      <c r="N493" s="5" t="s">
        <v>3</v>
      </c>
      <c r="O493" s="5">
        <v>2</v>
      </c>
      <c r="P493" s="5">
        <f>ROUND(Source!ER482,O493)</f>
        <v>0</v>
      </c>
      <c r="Q493" s="5"/>
      <c r="R493" s="5"/>
      <c r="S493" s="5"/>
      <c r="T493" s="5"/>
      <c r="U493" s="5"/>
      <c r="V493" s="5"/>
      <c r="W493" s="5"/>
    </row>
    <row r="494" spans="1:206" x14ac:dyDescent="0.2">
      <c r="A494" s="5">
        <v>50</v>
      </c>
      <c r="B494" s="5">
        <v>0</v>
      </c>
      <c r="C494" s="5">
        <v>0</v>
      </c>
      <c r="D494" s="5">
        <v>1</v>
      </c>
      <c r="E494" s="5">
        <v>203</v>
      </c>
      <c r="F494" s="5">
        <f>ROUND(Source!Q482,O494)</f>
        <v>19.36</v>
      </c>
      <c r="G494" s="5" t="s">
        <v>137</v>
      </c>
      <c r="H494" s="5" t="s">
        <v>138</v>
      </c>
      <c r="I494" s="5"/>
      <c r="J494" s="5"/>
      <c r="K494" s="5">
        <v>203</v>
      </c>
      <c r="L494" s="5">
        <v>11</v>
      </c>
      <c r="M494" s="5">
        <v>3</v>
      </c>
      <c r="N494" s="5" t="s">
        <v>3</v>
      </c>
      <c r="O494" s="5">
        <v>2</v>
      </c>
      <c r="P494" s="5">
        <f>ROUND(Source!DI482,O494)</f>
        <v>160.63999999999999</v>
      </c>
      <c r="Q494" s="5"/>
      <c r="R494" s="5"/>
      <c r="S494" s="5"/>
      <c r="T494" s="5"/>
      <c r="U494" s="5"/>
      <c r="V494" s="5"/>
      <c r="W494" s="5"/>
    </row>
    <row r="495" spans="1:206" x14ac:dyDescent="0.2">
      <c r="A495" s="5">
        <v>50</v>
      </c>
      <c r="B495" s="5">
        <v>0</v>
      </c>
      <c r="C495" s="5">
        <v>0</v>
      </c>
      <c r="D495" s="5">
        <v>1</v>
      </c>
      <c r="E495" s="5">
        <v>231</v>
      </c>
      <c r="F495" s="5">
        <f>ROUND(Source!BB482,O495)</f>
        <v>0</v>
      </c>
      <c r="G495" s="5" t="s">
        <v>139</v>
      </c>
      <c r="H495" s="5" t="s">
        <v>140</v>
      </c>
      <c r="I495" s="5"/>
      <c r="J495" s="5"/>
      <c r="K495" s="5">
        <v>231</v>
      </c>
      <c r="L495" s="5">
        <v>12</v>
      </c>
      <c r="M495" s="5">
        <v>3</v>
      </c>
      <c r="N495" s="5" t="s">
        <v>3</v>
      </c>
      <c r="O495" s="5">
        <v>2</v>
      </c>
      <c r="P495" s="5">
        <f>ROUND(Source!ET482,O495)</f>
        <v>0</v>
      </c>
      <c r="Q495" s="5"/>
      <c r="R495" s="5"/>
      <c r="S495" s="5"/>
      <c r="T495" s="5"/>
      <c r="U495" s="5"/>
      <c r="V495" s="5"/>
      <c r="W495" s="5"/>
    </row>
    <row r="496" spans="1:206" x14ac:dyDescent="0.2">
      <c r="A496" s="5">
        <v>50</v>
      </c>
      <c r="B496" s="5">
        <v>0</v>
      </c>
      <c r="C496" s="5">
        <v>0</v>
      </c>
      <c r="D496" s="5">
        <v>1</v>
      </c>
      <c r="E496" s="5">
        <v>204</v>
      </c>
      <c r="F496" s="5">
        <f>ROUND(Source!R482,O496)</f>
        <v>3.74</v>
      </c>
      <c r="G496" s="5" t="s">
        <v>141</v>
      </c>
      <c r="H496" s="5" t="s">
        <v>142</v>
      </c>
      <c r="I496" s="5"/>
      <c r="J496" s="5"/>
      <c r="K496" s="5">
        <v>204</v>
      </c>
      <c r="L496" s="5">
        <v>13</v>
      </c>
      <c r="M496" s="5">
        <v>3</v>
      </c>
      <c r="N496" s="5" t="s">
        <v>3</v>
      </c>
      <c r="O496" s="5">
        <v>2</v>
      </c>
      <c r="P496" s="5">
        <f>ROUND(Source!DJ482,O496)</f>
        <v>76.17</v>
      </c>
      <c r="Q496" s="5"/>
      <c r="R496" s="5"/>
      <c r="S496" s="5"/>
      <c r="T496" s="5"/>
      <c r="U496" s="5"/>
      <c r="V496" s="5"/>
      <c r="W496" s="5"/>
    </row>
    <row r="497" spans="1:206" x14ac:dyDescent="0.2">
      <c r="A497" s="5">
        <v>50</v>
      </c>
      <c r="B497" s="5">
        <v>0</v>
      </c>
      <c r="C497" s="5">
        <v>0</v>
      </c>
      <c r="D497" s="5">
        <v>1</v>
      </c>
      <c r="E497" s="5">
        <v>205</v>
      </c>
      <c r="F497" s="5">
        <f>ROUND(Source!S482,O497)</f>
        <v>253.3</v>
      </c>
      <c r="G497" s="5" t="s">
        <v>143</v>
      </c>
      <c r="H497" s="5" t="s">
        <v>144</v>
      </c>
      <c r="I497" s="5"/>
      <c r="J497" s="5"/>
      <c r="K497" s="5">
        <v>205</v>
      </c>
      <c r="L497" s="5">
        <v>14</v>
      </c>
      <c r="M497" s="5">
        <v>3</v>
      </c>
      <c r="N497" s="5" t="s">
        <v>3</v>
      </c>
      <c r="O497" s="5">
        <v>2</v>
      </c>
      <c r="P497" s="5">
        <f>ROUND(Source!DK482,O497)</f>
        <v>5167.3999999999996</v>
      </c>
      <c r="Q497" s="5"/>
      <c r="R497" s="5"/>
      <c r="S497" s="5"/>
      <c r="T497" s="5"/>
      <c r="U497" s="5"/>
      <c r="V497" s="5"/>
      <c r="W497" s="5"/>
    </row>
    <row r="498" spans="1:206" x14ac:dyDescent="0.2">
      <c r="A498" s="5">
        <v>50</v>
      </c>
      <c r="B498" s="5">
        <v>0</v>
      </c>
      <c r="C498" s="5">
        <v>0</v>
      </c>
      <c r="D498" s="5">
        <v>1</v>
      </c>
      <c r="E498" s="5">
        <v>232</v>
      </c>
      <c r="F498" s="5">
        <f>ROUND(Source!BC482,O498)</f>
        <v>0</v>
      </c>
      <c r="G498" s="5" t="s">
        <v>145</v>
      </c>
      <c r="H498" s="5" t="s">
        <v>146</v>
      </c>
      <c r="I498" s="5"/>
      <c r="J498" s="5"/>
      <c r="K498" s="5">
        <v>232</v>
      </c>
      <c r="L498" s="5">
        <v>15</v>
      </c>
      <c r="M498" s="5">
        <v>3</v>
      </c>
      <c r="N498" s="5" t="s">
        <v>3</v>
      </c>
      <c r="O498" s="5">
        <v>2</v>
      </c>
      <c r="P498" s="5">
        <f>ROUND(Source!EU482,O498)</f>
        <v>0</v>
      </c>
      <c r="Q498" s="5"/>
      <c r="R498" s="5"/>
      <c r="S498" s="5"/>
      <c r="T498" s="5"/>
      <c r="U498" s="5"/>
      <c r="V498" s="5"/>
      <c r="W498" s="5"/>
    </row>
    <row r="499" spans="1:206" x14ac:dyDescent="0.2">
      <c r="A499" s="5">
        <v>50</v>
      </c>
      <c r="B499" s="5">
        <v>0</v>
      </c>
      <c r="C499" s="5">
        <v>0</v>
      </c>
      <c r="D499" s="5">
        <v>1</v>
      </c>
      <c r="E499" s="5">
        <v>214</v>
      </c>
      <c r="F499" s="5">
        <f>ROUND(Source!AS482,O499)</f>
        <v>0</v>
      </c>
      <c r="G499" s="5" t="s">
        <v>147</v>
      </c>
      <c r="H499" s="5" t="s">
        <v>148</v>
      </c>
      <c r="I499" s="5"/>
      <c r="J499" s="5"/>
      <c r="K499" s="5">
        <v>214</v>
      </c>
      <c r="L499" s="5">
        <v>16</v>
      </c>
      <c r="M499" s="5">
        <v>3</v>
      </c>
      <c r="N499" s="5" t="s">
        <v>3</v>
      </c>
      <c r="O499" s="5">
        <v>2</v>
      </c>
      <c r="P499" s="5">
        <f>ROUND(Source!EK482,O499)</f>
        <v>0</v>
      </c>
      <c r="Q499" s="5"/>
      <c r="R499" s="5"/>
      <c r="S499" s="5"/>
      <c r="T499" s="5"/>
      <c r="U499" s="5"/>
      <c r="V499" s="5"/>
      <c r="W499" s="5"/>
    </row>
    <row r="500" spans="1:206" x14ac:dyDescent="0.2">
      <c r="A500" s="5">
        <v>50</v>
      </c>
      <c r="B500" s="5">
        <v>0</v>
      </c>
      <c r="C500" s="5">
        <v>0</v>
      </c>
      <c r="D500" s="5">
        <v>1</v>
      </c>
      <c r="E500" s="5">
        <v>215</v>
      </c>
      <c r="F500" s="5">
        <f>ROUND(Source!AT482,O500)</f>
        <v>7849.91</v>
      </c>
      <c r="G500" s="5" t="s">
        <v>149</v>
      </c>
      <c r="H500" s="5" t="s">
        <v>150</v>
      </c>
      <c r="I500" s="5"/>
      <c r="J500" s="5"/>
      <c r="K500" s="5">
        <v>215</v>
      </c>
      <c r="L500" s="5">
        <v>17</v>
      </c>
      <c r="M500" s="5">
        <v>3</v>
      </c>
      <c r="N500" s="5" t="s">
        <v>3</v>
      </c>
      <c r="O500" s="5">
        <v>2</v>
      </c>
      <c r="P500" s="5">
        <f>ROUND(Source!EL482,O500)</f>
        <v>33535.56</v>
      </c>
      <c r="Q500" s="5"/>
      <c r="R500" s="5"/>
      <c r="S500" s="5"/>
      <c r="T500" s="5"/>
      <c r="U500" s="5"/>
      <c r="V500" s="5"/>
      <c r="W500" s="5"/>
    </row>
    <row r="501" spans="1:206" x14ac:dyDescent="0.2">
      <c r="A501" s="5">
        <v>50</v>
      </c>
      <c r="B501" s="5">
        <v>0</v>
      </c>
      <c r="C501" s="5">
        <v>0</v>
      </c>
      <c r="D501" s="5">
        <v>1</v>
      </c>
      <c r="E501" s="5">
        <v>217</v>
      </c>
      <c r="F501" s="5">
        <f>ROUND(Source!AU482,O501)</f>
        <v>0</v>
      </c>
      <c r="G501" s="5" t="s">
        <v>151</v>
      </c>
      <c r="H501" s="5" t="s">
        <v>152</v>
      </c>
      <c r="I501" s="5"/>
      <c r="J501" s="5"/>
      <c r="K501" s="5">
        <v>217</v>
      </c>
      <c r="L501" s="5">
        <v>18</v>
      </c>
      <c r="M501" s="5">
        <v>3</v>
      </c>
      <c r="N501" s="5" t="s">
        <v>3</v>
      </c>
      <c r="O501" s="5">
        <v>2</v>
      </c>
      <c r="P501" s="5">
        <f>ROUND(Source!EM482,O501)</f>
        <v>0</v>
      </c>
      <c r="Q501" s="5"/>
      <c r="R501" s="5"/>
      <c r="S501" s="5"/>
      <c r="T501" s="5"/>
      <c r="U501" s="5"/>
      <c r="V501" s="5"/>
      <c r="W501" s="5"/>
    </row>
    <row r="502" spans="1:206" x14ac:dyDescent="0.2">
      <c r="A502" s="5">
        <v>50</v>
      </c>
      <c r="B502" s="5">
        <v>0</v>
      </c>
      <c r="C502" s="5">
        <v>0</v>
      </c>
      <c r="D502" s="5">
        <v>1</v>
      </c>
      <c r="E502" s="5">
        <v>230</v>
      </c>
      <c r="F502" s="5">
        <f>ROUND(Source!BA482,O502)</f>
        <v>0</v>
      </c>
      <c r="G502" s="5" t="s">
        <v>153</v>
      </c>
      <c r="H502" s="5" t="s">
        <v>154</v>
      </c>
      <c r="I502" s="5"/>
      <c r="J502" s="5"/>
      <c r="K502" s="5">
        <v>230</v>
      </c>
      <c r="L502" s="5">
        <v>19</v>
      </c>
      <c r="M502" s="5">
        <v>3</v>
      </c>
      <c r="N502" s="5" t="s">
        <v>3</v>
      </c>
      <c r="O502" s="5">
        <v>2</v>
      </c>
      <c r="P502" s="5">
        <f>ROUND(Source!ES482,O502)</f>
        <v>0</v>
      </c>
      <c r="Q502" s="5"/>
      <c r="R502" s="5"/>
      <c r="S502" s="5"/>
      <c r="T502" s="5"/>
      <c r="U502" s="5"/>
      <c r="V502" s="5"/>
      <c r="W502" s="5"/>
    </row>
    <row r="503" spans="1:206" x14ac:dyDescent="0.2">
      <c r="A503" s="5">
        <v>50</v>
      </c>
      <c r="B503" s="5">
        <v>0</v>
      </c>
      <c r="C503" s="5">
        <v>0</v>
      </c>
      <c r="D503" s="5">
        <v>1</v>
      </c>
      <c r="E503" s="5">
        <v>206</v>
      </c>
      <c r="F503" s="5">
        <f>ROUND(Source!T482,O503)</f>
        <v>0</v>
      </c>
      <c r="G503" s="5" t="s">
        <v>155</v>
      </c>
      <c r="H503" s="5" t="s">
        <v>156</v>
      </c>
      <c r="I503" s="5"/>
      <c r="J503" s="5"/>
      <c r="K503" s="5">
        <v>206</v>
      </c>
      <c r="L503" s="5">
        <v>20</v>
      </c>
      <c r="M503" s="5">
        <v>3</v>
      </c>
      <c r="N503" s="5" t="s">
        <v>3</v>
      </c>
      <c r="O503" s="5">
        <v>2</v>
      </c>
      <c r="P503" s="5">
        <f>ROUND(Source!DL482,O503)</f>
        <v>0</v>
      </c>
      <c r="Q503" s="5"/>
      <c r="R503" s="5"/>
      <c r="S503" s="5"/>
      <c r="T503" s="5"/>
      <c r="U503" s="5"/>
      <c r="V503" s="5"/>
      <c r="W503" s="5"/>
    </row>
    <row r="504" spans="1:206" x14ac:dyDescent="0.2">
      <c r="A504" s="5">
        <v>50</v>
      </c>
      <c r="B504" s="5">
        <v>0</v>
      </c>
      <c r="C504" s="5">
        <v>0</v>
      </c>
      <c r="D504" s="5">
        <v>1</v>
      </c>
      <c r="E504" s="5">
        <v>207</v>
      </c>
      <c r="F504" s="5">
        <f>Source!U482</f>
        <v>20.545899999999996</v>
      </c>
      <c r="G504" s="5" t="s">
        <v>157</v>
      </c>
      <c r="H504" s="5" t="s">
        <v>158</v>
      </c>
      <c r="I504" s="5"/>
      <c r="J504" s="5"/>
      <c r="K504" s="5">
        <v>207</v>
      </c>
      <c r="L504" s="5">
        <v>21</v>
      </c>
      <c r="M504" s="5">
        <v>3</v>
      </c>
      <c r="N504" s="5" t="s">
        <v>3</v>
      </c>
      <c r="O504" s="5">
        <v>-1</v>
      </c>
      <c r="P504" s="5">
        <f>Source!DM482</f>
        <v>20.545899999999996</v>
      </c>
      <c r="Q504" s="5"/>
      <c r="R504" s="5"/>
      <c r="S504" s="5"/>
      <c r="T504" s="5"/>
      <c r="U504" s="5"/>
      <c r="V504" s="5"/>
      <c r="W504" s="5"/>
    </row>
    <row r="505" spans="1:206" x14ac:dyDescent="0.2">
      <c r="A505" s="5">
        <v>50</v>
      </c>
      <c r="B505" s="5">
        <v>0</v>
      </c>
      <c r="C505" s="5">
        <v>0</v>
      </c>
      <c r="D505" s="5">
        <v>1</v>
      </c>
      <c r="E505" s="5">
        <v>208</v>
      </c>
      <c r="F505" s="5">
        <f>Source!V482</f>
        <v>0</v>
      </c>
      <c r="G505" s="5" t="s">
        <v>159</v>
      </c>
      <c r="H505" s="5" t="s">
        <v>160</v>
      </c>
      <c r="I505" s="5"/>
      <c r="J505" s="5"/>
      <c r="K505" s="5">
        <v>208</v>
      </c>
      <c r="L505" s="5">
        <v>22</v>
      </c>
      <c r="M505" s="5">
        <v>3</v>
      </c>
      <c r="N505" s="5" t="s">
        <v>3</v>
      </c>
      <c r="O505" s="5">
        <v>-1</v>
      </c>
      <c r="P505" s="5">
        <f>Source!DN482</f>
        <v>0</v>
      </c>
      <c r="Q505" s="5"/>
      <c r="R505" s="5"/>
      <c r="S505" s="5"/>
      <c r="T505" s="5"/>
      <c r="U505" s="5"/>
      <c r="V505" s="5"/>
      <c r="W505" s="5"/>
    </row>
    <row r="506" spans="1:206" x14ac:dyDescent="0.2">
      <c r="A506" s="5">
        <v>50</v>
      </c>
      <c r="B506" s="5">
        <v>0</v>
      </c>
      <c r="C506" s="5">
        <v>0</v>
      </c>
      <c r="D506" s="5">
        <v>1</v>
      </c>
      <c r="E506" s="5">
        <v>209</v>
      </c>
      <c r="F506" s="5">
        <f>ROUND(Source!W482,O506)</f>
        <v>0</v>
      </c>
      <c r="G506" s="5" t="s">
        <v>161</v>
      </c>
      <c r="H506" s="5" t="s">
        <v>162</v>
      </c>
      <c r="I506" s="5"/>
      <c r="J506" s="5"/>
      <c r="K506" s="5">
        <v>209</v>
      </c>
      <c r="L506" s="5">
        <v>23</v>
      </c>
      <c r="M506" s="5">
        <v>3</v>
      </c>
      <c r="N506" s="5" t="s">
        <v>3</v>
      </c>
      <c r="O506" s="5">
        <v>2</v>
      </c>
      <c r="P506" s="5">
        <f>ROUND(Source!DO482,O506)</f>
        <v>0</v>
      </c>
      <c r="Q506" s="5"/>
      <c r="R506" s="5"/>
      <c r="S506" s="5"/>
      <c r="T506" s="5"/>
      <c r="U506" s="5"/>
      <c r="V506" s="5"/>
      <c r="W506" s="5"/>
    </row>
    <row r="507" spans="1:206" x14ac:dyDescent="0.2">
      <c r="A507" s="5">
        <v>50</v>
      </c>
      <c r="B507" s="5">
        <v>0</v>
      </c>
      <c r="C507" s="5">
        <v>0</v>
      </c>
      <c r="D507" s="5">
        <v>1</v>
      </c>
      <c r="E507" s="5">
        <v>210</v>
      </c>
      <c r="F507" s="5">
        <f>ROUND(Source!X482,O507)</f>
        <v>0</v>
      </c>
      <c r="G507" s="5" t="s">
        <v>163</v>
      </c>
      <c r="H507" s="5" t="s">
        <v>164</v>
      </c>
      <c r="I507" s="5"/>
      <c r="J507" s="5"/>
      <c r="K507" s="5">
        <v>210</v>
      </c>
      <c r="L507" s="5">
        <v>24</v>
      </c>
      <c r="M507" s="5">
        <v>3</v>
      </c>
      <c r="N507" s="5" t="s">
        <v>3</v>
      </c>
      <c r="O507" s="5">
        <v>2</v>
      </c>
      <c r="P507" s="5">
        <f>ROUND(Source!DP482,O507)</f>
        <v>3978.9</v>
      </c>
      <c r="Q507" s="5"/>
      <c r="R507" s="5"/>
      <c r="S507" s="5"/>
      <c r="T507" s="5"/>
      <c r="U507" s="5"/>
      <c r="V507" s="5"/>
      <c r="W507" s="5"/>
    </row>
    <row r="508" spans="1:206" x14ac:dyDescent="0.2">
      <c r="A508" s="5">
        <v>50</v>
      </c>
      <c r="B508" s="5">
        <v>0</v>
      </c>
      <c r="C508" s="5">
        <v>0</v>
      </c>
      <c r="D508" s="5">
        <v>1</v>
      </c>
      <c r="E508" s="5">
        <v>211</v>
      </c>
      <c r="F508" s="5">
        <f>ROUND(Source!Y482,O508)</f>
        <v>0</v>
      </c>
      <c r="G508" s="5" t="s">
        <v>165</v>
      </c>
      <c r="H508" s="5" t="s">
        <v>166</v>
      </c>
      <c r="I508" s="5"/>
      <c r="J508" s="5"/>
      <c r="K508" s="5">
        <v>211</v>
      </c>
      <c r="L508" s="5">
        <v>25</v>
      </c>
      <c r="M508" s="5">
        <v>3</v>
      </c>
      <c r="N508" s="5" t="s">
        <v>3</v>
      </c>
      <c r="O508" s="5">
        <v>2</v>
      </c>
      <c r="P508" s="5">
        <f>ROUND(Source!DQ482,O508)</f>
        <v>2118.63</v>
      </c>
      <c r="Q508" s="5"/>
      <c r="R508" s="5"/>
      <c r="S508" s="5"/>
      <c r="T508" s="5"/>
      <c r="U508" s="5"/>
      <c r="V508" s="5"/>
      <c r="W508" s="5"/>
    </row>
    <row r="509" spans="1:206" x14ac:dyDescent="0.2">
      <c r="A509" s="5">
        <v>50</v>
      </c>
      <c r="B509" s="5">
        <v>0</v>
      </c>
      <c r="C509" s="5">
        <v>0</v>
      </c>
      <c r="D509" s="5">
        <v>1</v>
      </c>
      <c r="E509" s="5">
        <v>224</v>
      </c>
      <c r="F509" s="5">
        <f>ROUND(Source!AR482,O509)</f>
        <v>7849.91</v>
      </c>
      <c r="G509" s="5" t="s">
        <v>167</v>
      </c>
      <c r="H509" s="5" t="s">
        <v>168</v>
      </c>
      <c r="I509" s="5"/>
      <c r="J509" s="5"/>
      <c r="K509" s="5">
        <v>224</v>
      </c>
      <c r="L509" s="5">
        <v>26</v>
      </c>
      <c r="M509" s="5">
        <v>3</v>
      </c>
      <c r="N509" s="5" t="s">
        <v>3</v>
      </c>
      <c r="O509" s="5">
        <v>2</v>
      </c>
      <c r="P509" s="5">
        <f>ROUND(Source!EJ482,O509)</f>
        <v>33535.56</v>
      </c>
      <c r="Q509" s="5"/>
      <c r="R509" s="5"/>
      <c r="S509" s="5"/>
      <c r="T509" s="5"/>
      <c r="U509" s="5"/>
      <c r="V509" s="5"/>
      <c r="W509" s="5"/>
    </row>
    <row r="511" spans="1:206" x14ac:dyDescent="0.2">
      <c r="A511" s="3">
        <v>51</v>
      </c>
      <c r="B511" s="3">
        <f>B175</f>
        <v>1</v>
      </c>
      <c r="C511" s="3">
        <f>A175</f>
        <v>4</v>
      </c>
      <c r="D511" s="3">
        <f>ROW(A175)</f>
        <v>175</v>
      </c>
      <c r="E511" s="3"/>
      <c r="F511" s="3" t="str">
        <f>IF(F175&lt;&gt;"",F175,"")</f>
        <v>Новый раздел</v>
      </c>
      <c r="G511" s="3" t="str">
        <f>IF(G175&lt;&gt;"",G175,"")</f>
        <v>Монтажные работы</v>
      </c>
      <c r="H511" s="3">
        <v>0</v>
      </c>
      <c r="I511" s="3"/>
      <c r="J511" s="3"/>
      <c r="K511" s="3"/>
      <c r="L511" s="3"/>
      <c r="M511" s="3"/>
      <c r="N511" s="3"/>
      <c r="O511" s="3">
        <f t="shared" ref="O511:T511" si="453">ROUND(O238+O296+O358+O420+O482+AB511,2)</f>
        <v>87675.94</v>
      </c>
      <c r="P511" s="3">
        <f t="shared" si="453"/>
        <v>85908.15</v>
      </c>
      <c r="Q511" s="3">
        <f t="shared" si="453"/>
        <v>319.25</v>
      </c>
      <c r="R511" s="3">
        <f t="shared" si="453"/>
        <v>78.45</v>
      </c>
      <c r="S511" s="3">
        <f t="shared" si="453"/>
        <v>1448.54</v>
      </c>
      <c r="T511" s="3">
        <f t="shared" si="453"/>
        <v>0</v>
      </c>
      <c r="U511" s="3">
        <f>U238+U296+U358+U420+U482+AH511</f>
        <v>118.83653799999999</v>
      </c>
      <c r="V511" s="3">
        <f>V238+V296+V358+V420+V482+AI511</f>
        <v>0</v>
      </c>
      <c r="W511" s="3">
        <f>ROUND(W238+W296+W358+W420+W482+AJ511,2)</f>
        <v>0</v>
      </c>
      <c r="X511" s="3">
        <f>ROUND(X238+X296+X358+X420+X482+AK511,2)</f>
        <v>0</v>
      </c>
      <c r="Y511" s="3">
        <f>ROUND(Y238+Y296+Y358+Y420+Y482+AL511,2)</f>
        <v>0</v>
      </c>
      <c r="Z511" s="3"/>
      <c r="AA511" s="3"/>
      <c r="AB511" s="3"/>
      <c r="AC511" s="3"/>
      <c r="AD511" s="3"/>
      <c r="AE511" s="3"/>
      <c r="AF511" s="3"/>
      <c r="AG511" s="3"/>
      <c r="AH511" s="3"/>
      <c r="AI511" s="3"/>
      <c r="AJ511" s="3"/>
      <c r="AK511" s="3"/>
      <c r="AL511" s="3"/>
      <c r="AM511" s="3"/>
      <c r="AN511" s="3"/>
      <c r="AO511" s="3">
        <f t="shared" ref="AO511:BC511" si="454">ROUND(AO238+AO296+AO358+AO420+AO482+BX511,2)</f>
        <v>0</v>
      </c>
      <c r="AP511" s="3">
        <f t="shared" si="454"/>
        <v>0</v>
      </c>
      <c r="AQ511" s="3">
        <f t="shared" si="454"/>
        <v>0</v>
      </c>
      <c r="AR511" s="3">
        <f t="shared" si="454"/>
        <v>87817.14</v>
      </c>
      <c r="AS511" s="3">
        <f t="shared" si="454"/>
        <v>77533.94</v>
      </c>
      <c r="AT511" s="3">
        <f t="shared" si="454"/>
        <v>10283.200000000001</v>
      </c>
      <c r="AU511" s="3">
        <f t="shared" si="454"/>
        <v>0</v>
      </c>
      <c r="AV511" s="3">
        <f t="shared" si="454"/>
        <v>85908.15</v>
      </c>
      <c r="AW511" s="3">
        <f t="shared" si="454"/>
        <v>85908.15</v>
      </c>
      <c r="AX511" s="3">
        <f t="shared" si="454"/>
        <v>0</v>
      </c>
      <c r="AY511" s="3">
        <f t="shared" si="454"/>
        <v>85908.15</v>
      </c>
      <c r="AZ511" s="3">
        <f t="shared" si="454"/>
        <v>0</v>
      </c>
      <c r="BA511" s="3">
        <f t="shared" si="454"/>
        <v>0</v>
      </c>
      <c r="BB511" s="3">
        <f t="shared" si="454"/>
        <v>0</v>
      </c>
      <c r="BC511" s="3">
        <f t="shared" si="454"/>
        <v>0</v>
      </c>
      <c r="BD511" s="3"/>
      <c r="BE511" s="3"/>
      <c r="BF511" s="3"/>
      <c r="BG511" s="3"/>
      <c r="BH511" s="3"/>
      <c r="BI511" s="3"/>
      <c r="BJ511" s="3"/>
      <c r="BK511" s="3"/>
      <c r="BL511" s="3"/>
      <c r="BM511" s="3"/>
      <c r="BN511" s="3"/>
      <c r="BO511" s="3"/>
      <c r="BP511" s="3"/>
      <c r="BQ511" s="3"/>
      <c r="BR511" s="3"/>
      <c r="BS511" s="3"/>
      <c r="BT511" s="3"/>
      <c r="BU511" s="3"/>
      <c r="BV511" s="3"/>
      <c r="BW511" s="3"/>
      <c r="BX511" s="3"/>
      <c r="BY511" s="3"/>
      <c r="BZ511" s="3"/>
      <c r="CA511" s="3"/>
      <c r="CB511" s="3"/>
      <c r="CC511" s="3"/>
      <c r="CD511" s="3"/>
      <c r="CE511" s="3"/>
      <c r="CF511" s="3"/>
      <c r="CG511" s="3"/>
      <c r="CH511" s="3"/>
      <c r="CI511" s="3"/>
      <c r="CJ511" s="3"/>
      <c r="CK511" s="3"/>
      <c r="CL511" s="3"/>
      <c r="CM511" s="3"/>
      <c r="CN511" s="3"/>
      <c r="CO511" s="3"/>
      <c r="CP511" s="3"/>
      <c r="CQ511" s="3"/>
      <c r="CR511" s="3"/>
      <c r="CS511" s="3"/>
      <c r="CT511" s="3"/>
      <c r="CU511" s="3"/>
      <c r="CV511" s="3"/>
      <c r="CW511" s="3"/>
      <c r="CX511" s="3"/>
      <c r="CY511" s="3"/>
      <c r="CZ511" s="3"/>
      <c r="DA511" s="3"/>
      <c r="DB511" s="3"/>
      <c r="DC511" s="3"/>
      <c r="DD511" s="3"/>
      <c r="DE511" s="3"/>
      <c r="DF511" s="3"/>
      <c r="DG511" s="4">
        <f t="shared" ref="DG511:DL511" si="455">ROUND(DG238+DG296+DG358+DG420+DG482+DT511,2)</f>
        <v>284192.28000000003</v>
      </c>
      <c r="DH511" s="4">
        <f t="shared" si="455"/>
        <v>251846.05</v>
      </c>
      <c r="DI511" s="4">
        <f t="shared" si="455"/>
        <v>2795.98</v>
      </c>
      <c r="DJ511" s="4">
        <f t="shared" si="455"/>
        <v>1600.2</v>
      </c>
      <c r="DK511" s="4">
        <f t="shared" si="455"/>
        <v>29550.25</v>
      </c>
      <c r="DL511" s="4">
        <f t="shared" si="455"/>
        <v>0</v>
      </c>
      <c r="DM511" s="4">
        <f>DM238+DM296+DM358+DM420+DM482+DZ511</f>
        <v>118.83653799999999</v>
      </c>
      <c r="DN511" s="4">
        <f>DN238+DN296+DN358+DN420+DN482+EA511</f>
        <v>0</v>
      </c>
      <c r="DO511" s="4">
        <f>ROUND(DO238+DO296+DO358+DO420+DO482+EB511,2)</f>
        <v>0</v>
      </c>
      <c r="DP511" s="4">
        <f>ROUND(DP238+DP296+DP358+DP420+DP482+EC511,2)</f>
        <v>22122.04</v>
      </c>
      <c r="DQ511" s="4">
        <f>ROUND(DQ238+DQ296+DQ358+DQ420+DQ482+ED511,2)</f>
        <v>12115.57</v>
      </c>
      <c r="DR511" s="4"/>
      <c r="DS511" s="4"/>
      <c r="DT511" s="4"/>
      <c r="DU511" s="4"/>
      <c r="DV511" s="4"/>
      <c r="DW511" s="4"/>
      <c r="DX511" s="4"/>
      <c r="DY511" s="4"/>
      <c r="DZ511" s="4"/>
      <c r="EA511" s="4"/>
      <c r="EB511" s="4"/>
      <c r="EC511" s="4"/>
      <c r="ED511" s="4"/>
      <c r="EE511" s="4"/>
      <c r="EF511" s="4"/>
      <c r="EG511" s="4">
        <f t="shared" ref="EG511:EU511" si="456">ROUND(EG238+EG296+EG358+EG420+EG482+FP511,2)</f>
        <v>0</v>
      </c>
      <c r="EH511" s="4">
        <f t="shared" si="456"/>
        <v>0</v>
      </c>
      <c r="EI511" s="4">
        <f t="shared" si="456"/>
        <v>0</v>
      </c>
      <c r="EJ511" s="4">
        <f t="shared" si="456"/>
        <v>321118.24</v>
      </c>
      <c r="EK511" s="4">
        <f t="shared" si="456"/>
        <v>266359.03999999998</v>
      </c>
      <c r="EL511" s="4">
        <f t="shared" si="456"/>
        <v>54759.199999999997</v>
      </c>
      <c r="EM511" s="4">
        <f t="shared" si="456"/>
        <v>0</v>
      </c>
      <c r="EN511" s="4">
        <f t="shared" si="456"/>
        <v>251846.05</v>
      </c>
      <c r="EO511" s="4">
        <f t="shared" si="456"/>
        <v>251846.05</v>
      </c>
      <c r="EP511" s="4">
        <f t="shared" si="456"/>
        <v>0</v>
      </c>
      <c r="EQ511" s="4">
        <f t="shared" si="456"/>
        <v>251846.05</v>
      </c>
      <c r="ER511" s="4">
        <f t="shared" si="456"/>
        <v>0</v>
      </c>
      <c r="ES511" s="4">
        <f t="shared" si="456"/>
        <v>0</v>
      </c>
      <c r="ET511" s="4">
        <f t="shared" si="456"/>
        <v>0</v>
      </c>
      <c r="EU511" s="4">
        <f t="shared" si="456"/>
        <v>0</v>
      </c>
      <c r="EV511" s="4"/>
      <c r="EW511" s="4"/>
      <c r="EX511" s="4"/>
      <c r="EY511" s="4"/>
      <c r="EZ511" s="4"/>
      <c r="FA511" s="4"/>
      <c r="FB511" s="4"/>
      <c r="FC511" s="4"/>
      <c r="FD511" s="4"/>
      <c r="FE511" s="4"/>
      <c r="FF511" s="4"/>
      <c r="FG511" s="4"/>
      <c r="FH511" s="4"/>
      <c r="FI511" s="4"/>
      <c r="FJ511" s="4"/>
      <c r="FK511" s="4"/>
      <c r="FL511" s="4"/>
      <c r="FM511" s="4"/>
      <c r="FN511" s="4"/>
      <c r="FO511" s="4"/>
      <c r="FP511" s="4"/>
      <c r="FQ511" s="4"/>
      <c r="FR511" s="4"/>
      <c r="FS511" s="4"/>
      <c r="FT511" s="4"/>
      <c r="FU511" s="4"/>
      <c r="FV511" s="4"/>
      <c r="FW511" s="4"/>
      <c r="FX511" s="4"/>
      <c r="FY511" s="4"/>
      <c r="FZ511" s="4"/>
      <c r="GA511" s="4"/>
      <c r="GB511" s="4"/>
      <c r="GC511" s="4"/>
      <c r="GD511" s="4"/>
      <c r="GE511" s="4"/>
      <c r="GF511" s="4"/>
      <c r="GG511" s="4"/>
      <c r="GH511" s="4"/>
      <c r="GI511" s="4"/>
      <c r="GJ511" s="4"/>
      <c r="GK511" s="4"/>
      <c r="GL511" s="4"/>
      <c r="GM511" s="4"/>
      <c r="GN511" s="4"/>
      <c r="GO511" s="4"/>
      <c r="GP511" s="4"/>
      <c r="GQ511" s="4"/>
      <c r="GR511" s="4"/>
      <c r="GS511" s="4"/>
      <c r="GT511" s="4"/>
      <c r="GU511" s="4"/>
      <c r="GV511" s="4"/>
      <c r="GW511" s="4"/>
      <c r="GX511" s="4">
        <v>0</v>
      </c>
    </row>
    <row r="513" spans="1:23" x14ac:dyDescent="0.2">
      <c r="A513" s="5">
        <v>50</v>
      </c>
      <c r="B513" s="5">
        <v>0</v>
      </c>
      <c r="C513" s="5">
        <v>0</v>
      </c>
      <c r="D513" s="5">
        <v>1</v>
      </c>
      <c r="E513" s="5">
        <v>201</v>
      </c>
      <c r="F513" s="5">
        <f>ROUND(Source!O511,O513)</f>
        <v>87675.94</v>
      </c>
      <c r="G513" s="5" t="s">
        <v>117</v>
      </c>
      <c r="H513" s="5" t="s">
        <v>118</v>
      </c>
      <c r="I513" s="5"/>
      <c r="J513" s="5"/>
      <c r="K513" s="5">
        <v>201</v>
      </c>
      <c r="L513" s="5">
        <v>1</v>
      </c>
      <c r="M513" s="5">
        <v>3</v>
      </c>
      <c r="N513" s="5" t="s">
        <v>3</v>
      </c>
      <c r="O513" s="5">
        <v>2</v>
      </c>
      <c r="P513" s="5">
        <f>ROUND(Source!DG511,O513)</f>
        <v>284192.28000000003</v>
      </c>
      <c r="Q513" s="5"/>
      <c r="R513" s="5"/>
      <c r="S513" s="5"/>
      <c r="T513" s="5"/>
      <c r="U513" s="5"/>
      <c r="V513" s="5"/>
      <c r="W513" s="5"/>
    </row>
    <row r="514" spans="1:23" x14ac:dyDescent="0.2">
      <c r="A514" s="5">
        <v>50</v>
      </c>
      <c r="B514" s="5">
        <v>0</v>
      </c>
      <c r="C514" s="5">
        <v>0</v>
      </c>
      <c r="D514" s="5">
        <v>1</v>
      </c>
      <c r="E514" s="5">
        <v>202</v>
      </c>
      <c r="F514" s="5">
        <f>ROUND(Source!P511,O514)</f>
        <v>85908.15</v>
      </c>
      <c r="G514" s="5" t="s">
        <v>119</v>
      </c>
      <c r="H514" s="5" t="s">
        <v>120</v>
      </c>
      <c r="I514" s="5"/>
      <c r="J514" s="5"/>
      <c r="K514" s="5">
        <v>202</v>
      </c>
      <c r="L514" s="5">
        <v>2</v>
      </c>
      <c r="M514" s="5">
        <v>3</v>
      </c>
      <c r="N514" s="5" t="s">
        <v>3</v>
      </c>
      <c r="O514" s="5">
        <v>2</v>
      </c>
      <c r="P514" s="5">
        <f>ROUND(Source!DH511,O514)</f>
        <v>251846.05</v>
      </c>
      <c r="Q514" s="5"/>
      <c r="R514" s="5"/>
      <c r="S514" s="5"/>
      <c r="T514" s="5"/>
      <c r="U514" s="5"/>
      <c r="V514" s="5"/>
      <c r="W514" s="5"/>
    </row>
    <row r="515" spans="1:23" x14ac:dyDescent="0.2">
      <c r="A515" s="5">
        <v>50</v>
      </c>
      <c r="B515" s="5">
        <v>0</v>
      </c>
      <c r="C515" s="5">
        <v>0</v>
      </c>
      <c r="D515" s="5">
        <v>1</v>
      </c>
      <c r="E515" s="5">
        <v>227</v>
      </c>
      <c r="F515" s="5">
        <f>ROUND(Source!AO511,O515)</f>
        <v>0</v>
      </c>
      <c r="G515" s="5" t="s">
        <v>121</v>
      </c>
      <c r="H515" s="5" t="s">
        <v>122</v>
      </c>
      <c r="I515" s="5"/>
      <c r="J515" s="5"/>
      <c r="K515" s="5">
        <v>222</v>
      </c>
      <c r="L515" s="5">
        <v>3</v>
      </c>
      <c r="M515" s="5">
        <v>3</v>
      </c>
      <c r="N515" s="5" t="s">
        <v>3</v>
      </c>
      <c r="O515" s="5">
        <v>2</v>
      </c>
      <c r="P515" s="5">
        <f>ROUND(Source!EG511,O515)</f>
        <v>0</v>
      </c>
      <c r="Q515" s="5"/>
      <c r="R515" s="5"/>
      <c r="S515" s="5"/>
      <c r="T515" s="5"/>
      <c r="U515" s="5"/>
      <c r="V515" s="5"/>
      <c r="W515" s="5"/>
    </row>
    <row r="516" spans="1:23" x14ac:dyDescent="0.2">
      <c r="A516" s="5">
        <v>50</v>
      </c>
      <c r="B516" s="5">
        <v>0</v>
      </c>
      <c r="C516" s="5">
        <v>0</v>
      </c>
      <c r="D516" s="5">
        <v>1</v>
      </c>
      <c r="E516" s="5">
        <v>225</v>
      </c>
      <c r="F516" s="5">
        <f>ROUND(Source!AV511,O516)</f>
        <v>85908.15</v>
      </c>
      <c r="G516" s="5" t="s">
        <v>123</v>
      </c>
      <c r="H516" s="5" t="s">
        <v>124</v>
      </c>
      <c r="I516" s="5"/>
      <c r="J516" s="5"/>
      <c r="K516" s="5">
        <v>225</v>
      </c>
      <c r="L516" s="5">
        <v>4</v>
      </c>
      <c r="M516" s="5">
        <v>3</v>
      </c>
      <c r="N516" s="5" t="s">
        <v>3</v>
      </c>
      <c r="O516" s="5">
        <v>2</v>
      </c>
      <c r="P516" s="5">
        <f>ROUND(Source!EN511,O516)</f>
        <v>251846.05</v>
      </c>
      <c r="Q516" s="5"/>
      <c r="R516" s="5"/>
      <c r="S516" s="5"/>
      <c r="T516" s="5"/>
      <c r="U516" s="5"/>
      <c r="V516" s="5"/>
      <c r="W516" s="5"/>
    </row>
    <row r="517" spans="1:23" x14ac:dyDescent="0.2">
      <c r="A517" s="5">
        <v>50</v>
      </c>
      <c r="B517" s="5">
        <v>0</v>
      </c>
      <c r="C517" s="5">
        <v>0</v>
      </c>
      <c r="D517" s="5">
        <v>1</v>
      </c>
      <c r="E517" s="5">
        <v>226</v>
      </c>
      <c r="F517" s="5">
        <f>ROUND(Source!AW511,O517)</f>
        <v>85908.15</v>
      </c>
      <c r="G517" s="5" t="s">
        <v>125</v>
      </c>
      <c r="H517" s="5" t="s">
        <v>126</v>
      </c>
      <c r="I517" s="5"/>
      <c r="J517" s="5"/>
      <c r="K517" s="5">
        <v>226</v>
      </c>
      <c r="L517" s="5">
        <v>5</v>
      </c>
      <c r="M517" s="5">
        <v>3</v>
      </c>
      <c r="N517" s="5" t="s">
        <v>3</v>
      </c>
      <c r="O517" s="5">
        <v>2</v>
      </c>
      <c r="P517" s="5">
        <f>ROUND(Source!EO511,O517)</f>
        <v>251846.05</v>
      </c>
      <c r="Q517" s="5"/>
      <c r="R517" s="5"/>
      <c r="S517" s="5"/>
      <c r="T517" s="5"/>
      <c r="U517" s="5"/>
      <c r="V517" s="5"/>
      <c r="W517" s="5"/>
    </row>
    <row r="518" spans="1:23" x14ac:dyDescent="0.2">
      <c r="A518" s="5">
        <v>50</v>
      </c>
      <c r="B518" s="5">
        <v>0</v>
      </c>
      <c r="C518" s="5">
        <v>0</v>
      </c>
      <c r="D518" s="5">
        <v>1</v>
      </c>
      <c r="E518" s="5">
        <v>0</v>
      </c>
      <c r="F518" s="5">
        <f>ROUND(Source!AX511,O518)</f>
        <v>0</v>
      </c>
      <c r="G518" s="5" t="s">
        <v>127</v>
      </c>
      <c r="H518" s="5" t="s">
        <v>128</v>
      </c>
      <c r="I518" s="5"/>
      <c r="J518" s="5"/>
      <c r="K518" s="5">
        <v>227</v>
      </c>
      <c r="L518" s="5">
        <v>6</v>
      </c>
      <c r="M518" s="5">
        <v>3</v>
      </c>
      <c r="N518" s="5" t="s">
        <v>3</v>
      </c>
      <c r="O518" s="5">
        <v>2</v>
      </c>
      <c r="P518" s="5">
        <f>ROUND(Source!EP511,O518)</f>
        <v>0</v>
      </c>
      <c r="Q518" s="5"/>
      <c r="R518" s="5"/>
      <c r="S518" s="5"/>
      <c r="T518" s="5"/>
      <c r="U518" s="5"/>
      <c r="V518" s="5"/>
      <c r="W518" s="5"/>
    </row>
    <row r="519" spans="1:23" x14ac:dyDescent="0.2">
      <c r="A519" s="5">
        <v>50</v>
      </c>
      <c r="B519" s="5">
        <v>0</v>
      </c>
      <c r="C519" s="5">
        <v>0</v>
      </c>
      <c r="D519" s="5">
        <v>1</v>
      </c>
      <c r="E519" s="5">
        <v>228</v>
      </c>
      <c r="F519" s="5">
        <f>ROUND(Source!AY511,O519)</f>
        <v>85908.15</v>
      </c>
      <c r="G519" s="5" t="s">
        <v>129</v>
      </c>
      <c r="H519" s="5" t="s">
        <v>130</v>
      </c>
      <c r="I519" s="5"/>
      <c r="J519" s="5"/>
      <c r="K519" s="5">
        <v>228</v>
      </c>
      <c r="L519" s="5">
        <v>7</v>
      </c>
      <c r="M519" s="5">
        <v>3</v>
      </c>
      <c r="N519" s="5" t="s">
        <v>3</v>
      </c>
      <c r="O519" s="5">
        <v>2</v>
      </c>
      <c r="P519" s="5">
        <f>ROUND(Source!EQ511,O519)</f>
        <v>251846.05</v>
      </c>
      <c r="Q519" s="5"/>
      <c r="R519" s="5"/>
      <c r="S519" s="5"/>
      <c r="T519" s="5"/>
      <c r="U519" s="5"/>
      <c r="V519" s="5"/>
      <c r="W519" s="5"/>
    </row>
    <row r="520" spans="1:23" x14ac:dyDescent="0.2">
      <c r="A520" s="5">
        <v>50</v>
      </c>
      <c r="B520" s="5">
        <v>0</v>
      </c>
      <c r="C520" s="5">
        <v>0</v>
      </c>
      <c r="D520" s="5">
        <v>1</v>
      </c>
      <c r="E520" s="5">
        <v>216</v>
      </c>
      <c r="F520" s="5">
        <f>ROUND(Source!AP511,O520)</f>
        <v>0</v>
      </c>
      <c r="G520" s="5" t="s">
        <v>131</v>
      </c>
      <c r="H520" s="5" t="s">
        <v>132</v>
      </c>
      <c r="I520" s="5"/>
      <c r="J520" s="5"/>
      <c r="K520" s="5">
        <v>216</v>
      </c>
      <c r="L520" s="5">
        <v>8</v>
      </c>
      <c r="M520" s="5">
        <v>3</v>
      </c>
      <c r="N520" s="5" t="s">
        <v>3</v>
      </c>
      <c r="O520" s="5">
        <v>2</v>
      </c>
      <c r="P520" s="5">
        <f>ROUND(Source!EH511,O520)</f>
        <v>0</v>
      </c>
      <c r="Q520" s="5"/>
      <c r="R520" s="5"/>
      <c r="S520" s="5"/>
      <c r="T520" s="5"/>
      <c r="U520" s="5"/>
      <c r="V520" s="5"/>
      <c r="W520" s="5"/>
    </row>
    <row r="521" spans="1:23" x14ac:dyDescent="0.2">
      <c r="A521" s="5">
        <v>50</v>
      </c>
      <c r="B521" s="5">
        <v>0</v>
      </c>
      <c r="C521" s="5">
        <v>0</v>
      </c>
      <c r="D521" s="5">
        <v>1</v>
      </c>
      <c r="E521" s="5">
        <v>223</v>
      </c>
      <c r="F521" s="5">
        <f>ROUND(Source!AQ511,O521)</f>
        <v>0</v>
      </c>
      <c r="G521" s="5" t="s">
        <v>133</v>
      </c>
      <c r="H521" s="5" t="s">
        <v>134</v>
      </c>
      <c r="I521" s="5"/>
      <c r="J521" s="5"/>
      <c r="K521" s="5">
        <v>223</v>
      </c>
      <c r="L521" s="5">
        <v>9</v>
      </c>
      <c r="M521" s="5">
        <v>3</v>
      </c>
      <c r="N521" s="5" t="s">
        <v>3</v>
      </c>
      <c r="O521" s="5">
        <v>2</v>
      </c>
      <c r="P521" s="5">
        <f>ROUND(Source!EI511,O521)</f>
        <v>0</v>
      </c>
      <c r="Q521" s="5"/>
      <c r="R521" s="5"/>
      <c r="S521" s="5"/>
      <c r="T521" s="5"/>
      <c r="U521" s="5"/>
      <c r="V521" s="5"/>
      <c r="W521" s="5"/>
    </row>
    <row r="522" spans="1:23" x14ac:dyDescent="0.2">
      <c r="A522" s="5">
        <v>50</v>
      </c>
      <c r="B522" s="5">
        <v>0</v>
      </c>
      <c r="C522" s="5">
        <v>0</v>
      </c>
      <c r="D522" s="5">
        <v>1</v>
      </c>
      <c r="E522" s="5">
        <v>229</v>
      </c>
      <c r="F522" s="5">
        <f>ROUND(Source!AZ511,O522)</f>
        <v>0</v>
      </c>
      <c r="G522" s="5" t="s">
        <v>135</v>
      </c>
      <c r="H522" s="5" t="s">
        <v>136</v>
      </c>
      <c r="I522" s="5"/>
      <c r="J522" s="5"/>
      <c r="K522" s="5">
        <v>229</v>
      </c>
      <c r="L522" s="5">
        <v>10</v>
      </c>
      <c r="M522" s="5">
        <v>3</v>
      </c>
      <c r="N522" s="5" t="s">
        <v>3</v>
      </c>
      <c r="O522" s="5">
        <v>2</v>
      </c>
      <c r="P522" s="5">
        <f>ROUND(Source!ER511,O522)</f>
        <v>0</v>
      </c>
      <c r="Q522" s="5"/>
      <c r="R522" s="5"/>
      <c r="S522" s="5"/>
      <c r="T522" s="5"/>
      <c r="U522" s="5"/>
      <c r="V522" s="5"/>
      <c r="W522" s="5"/>
    </row>
    <row r="523" spans="1:23" x14ac:dyDescent="0.2">
      <c r="A523" s="5">
        <v>50</v>
      </c>
      <c r="B523" s="5">
        <v>0</v>
      </c>
      <c r="C523" s="5">
        <v>0</v>
      </c>
      <c r="D523" s="5">
        <v>1</v>
      </c>
      <c r="E523" s="5">
        <v>203</v>
      </c>
      <c r="F523" s="5">
        <f>ROUND(Source!Q511,O523)</f>
        <v>319.25</v>
      </c>
      <c r="G523" s="5" t="s">
        <v>137</v>
      </c>
      <c r="H523" s="5" t="s">
        <v>138</v>
      </c>
      <c r="I523" s="5"/>
      <c r="J523" s="5"/>
      <c r="K523" s="5">
        <v>203</v>
      </c>
      <c r="L523" s="5">
        <v>11</v>
      </c>
      <c r="M523" s="5">
        <v>3</v>
      </c>
      <c r="N523" s="5" t="s">
        <v>3</v>
      </c>
      <c r="O523" s="5">
        <v>2</v>
      </c>
      <c r="P523" s="5">
        <f>ROUND(Source!DI511,O523)</f>
        <v>2795.98</v>
      </c>
      <c r="Q523" s="5"/>
      <c r="R523" s="5"/>
      <c r="S523" s="5"/>
      <c r="T523" s="5"/>
      <c r="U523" s="5"/>
      <c r="V523" s="5"/>
      <c r="W523" s="5"/>
    </row>
    <row r="524" spans="1:23" x14ac:dyDescent="0.2">
      <c r="A524" s="5">
        <v>50</v>
      </c>
      <c r="B524" s="5">
        <v>0</v>
      </c>
      <c r="C524" s="5">
        <v>0</v>
      </c>
      <c r="D524" s="5">
        <v>1</v>
      </c>
      <c r="E524" s="5">
        <v>231</v>
      </c>
      <c r="F524" s="5">
        <f>ROUND(Source!BB511,O524)</f>
        <v>0</v>
      </c>
      <c r="G524" s="5" t="s">
        <v>139</v>
      </c>
      <c r="H524" s="5" t="s">
        <v>140</v>
      </c>
      <c r="I524" s="5"/>
      <c r="J524" s="5"/>
      <c r="K524" s="5">
        <v>231</v>
      </c>
      <c r="L524" s="5">
        <v>12</v>
      </c>
      <c r="M524" s="5">
        <v>3</v>
      </c>
      <c r="N524" s="5" t="s">
        <v>3</v>
      </c>
      <c r="O524" s="5">
        <v>2</v>
      </c>
      <c r="P524" s="5">
        <f>ROUND(Source!ET511,O524)</f>
        <v>0</v>
      </c>
      <c r="Q524" s="5"/>
      <c r="R524" s="5"/>
      <c r="S524" s="5"/>
      <c r="T524" s="5"/>
      <c r="U524" s="5"/>
      <c r="V524" s="5"/>
      <c r="W524" s="5"/>
    </row>
    <row r="525" spans="1:23" x14ac:dyDescent="0.2">
      <c r="A525" s="5">
        <v>50</v>
      </c>
      <c r="B525" s="5">
        <v>0</v>
      </c>
      <c r="C525" s="5">
        <v>0</v>
      </c>
      <c r="D525" s="5">
        <v>1</v>
      </c>
      <c r="E525" s="5">
        <v>204</v>
      </c>
      <c r="F525" s="5">
        <f>ROUND(Source!R511,O525)</f>
        <v>78.45</v>
      </c>
      <c r="G525" s="5" t="s">
        <v>141</v>
      </c>
      <c r="H525" s="5" t="s">
        <v>142</v>
      </c>
      <c r="I525" s="5"/>
      <c r="J525" s="5"/>
      <c r="K525" s="5">
        <v>204</v>
      </c>
      <c r="L525" s="5">
        <v>13</v>
      </c>
      <c r="M525" s="5">
        <v>3</v>
      </c>
      <c r="N525" s="5" t="s">
        <v>3</v>
      </c>
      <c r="O525" s="5">
        <v>2</v>
      </c>
      <c r="P525" s="5">
        <f>ROUND(Source!DJ511,O525)</f>
        <v>1600.2</v>
      </c>
      <c r="Q525" s="5"/>
      <c r="R525" s="5"/>
      <c r="S525" s="5"/>
      <c r="T525" s="5"/>
      <c r="U525" s="5"/>
      <c r="V525" s="5"/>
      <c r="W525" s="5"/>
    </row>
    <row r="526" spans="1:23" x14ac:dyDescent="0.2">
      <c r="A526" s="5">
        <v>50</v>
      </c>
      <c r="B526" s="5">
        <v>0</v>
      </c>
      <c r="C526" s="5">
        <v>0</v>
      </c>
      <c r="D526" s="5">
        <v>1</v>
      </c>
      <c r="E526" s="5">
        <v>205</v>
      </c>
      <c r="F526" s="5">
        <f>ROUND(Source!S511,O526)</f>
        <v>1448.54</v>
      </c>
      <c r="G526" s="5" t="s">
        <v>143</v>
      </c>
      <c r="H526" s="5" t="s">
        <v>144</v>
      </c>
      <c r="I526" s="5"/>
      <c r="J526" s="5"/>
      <c r="K526" s="5">
        <v>205</v>
      </c>
      <c r="L526" s="5">
        <v>14</v>
      </c>
      <c r="M526" s="5">
        <v>3</v>
      </c>
      <c r="N526" s="5" t="s">
        <v>3</v>
      </c>
      <c r="O526" s="5">
        <v>2</v>
      </c>
      <c r="P526" s="5">
        <f>ROUND(Source!DK511,O526)</f>
        <v>29550.25</v>
      </c>
      <c r="Q526" s="5"/>
      <c r="R526" s="5"/>
      <c r="S526" s="5"/>
      <c r="T526" s="5"/>
      <c r="U526" s="5"/>
      <c r="V526" s="5"/>
      <c r="W526" s="5"/>
    </row>
    <row r="527" spans="1:23" x14ac:dyDescent="0.2">
      <c r="A527" s="5">
        <v>50</v>
      </c>
      <c r="B527" s="5">
        <v>0</v>
      </c>
      <c r="C527" s="5">
        <v>0</v>
      </c>
      <c r="D527" s="5">
        <v>1</v>
      </c>
      <c r="E527" s="5">
        <v>232</v>
      </c>
      <c r="F527" s="5">
        <f>ROUND(Source!BC511,O527)</f>
        <v>0</v>
      </c>
      <c r="G527" s="5" t="s">
        <v>145</v>
      </c>
      <c r="H527" s="5" t="s">
        <v>146</v>
      </c>
      <c r="I527" s="5"/>
      <c r="J527" s="5"/>
      <c r="K527" s="5">
        <v>232</v>
      </c>
      <c r="L527" s="5">
        <v>15</v>
      </c>
      <c r="M527" s="5">
        <v>3</v>
      </c>
      <c r="N527" s="5" t="s">
        <v>3</v>
      </c>
      <c r="O527" s="5">
        <v>2</v>
      </c>
      <c r="P527" s="5">
        <f>ROUND(Source!EU511,O527)</f>
        <v>0</v>
      </c>
      <c r="Q527" s="5"/>
      <c r="R527" s="5"/>
      <c r="S527" s="5"/>
      <c r="T527" s="5"/>
      <c r="U527" s="5"/>
      <c r="V527" s="5"/>
      <c r="W527" s="5"/>
    </row>
    <row r="528" spans="1:23" x14ac:dyDescent="0.2">
      <c r="A528" s="5">
        <v>50</v>
      </c>
      <c r="B528" s="5">
        <v>0</v>
      </c>
      <c r="C528" s="5">
        <v>0</v>
      </c>
      <c r="D528" s="5">
        <v>1</v>
      </c>
      <c r="E528" s="5">
        <v>214</v>
      </c>
      <c r="F528" s="5">
        <f>ROUND(Source!AS511,O528)</f>
        <v>77533.94</v>
      </c>
      <c r="G528" s="5" t="s">
        <v>147</v>
      </c>
      <c r="H528" s="5" t="s">
        <v>148</v>
      </c>
      <c r="I528" s="5"/>
      <c r="J528" s="5"/>
      <c r="K528" s="5">
        <v>214</v>
      </c>
      <c r="L528" s="5">
        <v>16</v>
      </c>
      <c r="M528" s="5">
        <v>3</v>
      </c>
      <c r="N528" s="5" t="s">
        <v>3</v>
      </c>
      <c r="O528" s="5">
        <v>2</v>
      </c>
      <c r="P528" s="5">
        <f>ROUND(Source!EK511,O528)</f>
        <v>266359.03999999998</v>
      </c>
      <c r="Q528" s="5"/>
      <c r="R528" s="5"/>
      <c r="S528" s="5"/>
      <c r="T528" s="5"/>
      <c r="U528" s="5"/>
      <c r="V528" s="5"/>
      <c r="W528" s="5"/>
    </row>
    <row r="529" spans="1:255" x14ac:dyDescent="0.2">
      <c r="A529" s="5">
        <v>50</v>
      </c>
      <c r="B529" s="5">
        <v>0</v>
      </c>
      <c r="C529" s="5">
        <v>0</v>
      </c>
      <c r="D529" s="5">
        <v>1</v>
      </c>
      <c r="E529" s="5">
        <v>215</v>
      </c>
      <c r="F529" s="5">
        <f>ROUND(Source!AT511,O529)</f>
        <v>10283.200000000001</v>
      </c>
      <c r="G529" s="5" t="s">
        <v>149</v>
      </c>
      <c r="H529" s="5" t="s">
        <v>150</v>
      </c>
      <c r="I529" s="5"/>
      <c r="J529" s="5"/>
      <c r="K529" s="5">
        <v>215</v>
      </c>
      <c r="L529" s="5">
        <v>17</v>
      </c>
      <c r="M529" s="5">
        <v>3</v>
      </c>
      <c r="N529" s="5" t="s">
        <v>3</v>
      </c>
      <c r="O529" s="5">
        <v>2</v>
      </c>
      <c r="P529" s="5">
        <f>ROUND(Source!EL511,O529)</f>
        <v>54759.199999999997</v>
      </c>
      <c r="Q529" s="5"/>
      <c r="R529" s="5"/>
      <c r="S529" s="5"/>
      <c r="T529" s="5"/>
      <c r="U529" s="5"/>
      <c r="V529" s="5"/>
      <c r="W529" s="5"/>
    </row>
    <row r="530" spans="1:255" x14ac:dyDescent="0.2">
      <c r="A530" s="5">
        <v>50</v>
      </c>
      <c r="B530" s="5">
        <v>0</v>
      </c>
      <c r="C530" s="5">
        <v>0</v>
      </c>
      <c r="D530" s="5">
        <v>1</v>
      </c>
      <c r="E530" s="5">
        <v>217</v>
      </c>
      <c r="F530" s="5">
        <f>ROUND(Source!AU511,O530)</f>
        <v>0</v>
      </c>
      <c r="G530" s="5" t="s">
        <v>151</v>
      </c>
      <c r="H530" s="5" t="s">
        <v>152</v>
      </c>
      <c r="I530" s="5"/>
      <c r="J530" s="5"/>
      <c r="K530" s="5">
        <v>217</v>
      </c>
      <c r="L530" s="5">
        <v>18</v>
      </c>
      <c r="M530" s="5">
        <v>3</v>
      </c>
      <c r="N530" s="5" t="s">
        <v>3</v>
      </c>
      <c r="O530" s="5">
        <v>2</v>
      </c>
      <c r="P530" s="5">
        <f>ROUND(Source!EM511,O530)</f>
        <v>0</v>
      </c>
      <c r="Q530" s="5"/>
      <c r="R530" s="5"/>
      <c r="S530" s="5"/>
      <c r="T530" s="5"/>
      <c r="U530" s="5"/>
      <c r="V530" s="5"/>
      <c r="W530" s="5"/>
    </row>
    <row r="531" spans="1:255" x14ac:dyDescent="0.2">
      <c r="A531" s="5">
        <v>50</v>
      </c>
      <c r="B531" s="5">
        <v>0</v>
      </c>
      <c r="C531" s="5">
        <v>0</v>
      </c>
      <c r="D531" s="5">
        <v>1</v>
      </c>
      <c r="E531" s="5">
        <v>230</v>
      </c>
      <c r="F531" s="5">
        <f>ROUND(Source!BA511,O531)</f>
        <v>0</v>
      </c>
      <c r="G531" s="5" t="s">
        <v>153</v>
      </c>
      <c r="H531" s="5" t="s">
        <v>154</v>
      </c>
      <c r="I531" s="5"/>
      <c r="J531" s="5"/>
      <c r="K531" s="5">
        <v>230</v>
      </c>
      <c r="L531" s="5">
        <v>19</v>
      </c>
      <c r="M531" s="5">
        <v>3</v>
      </c>
      <c r="N531" s="5" t="s">
        <v>3</v>
      </c>
      <c r="O531" s="5">
        <v>2</v>
      </c>
      <c r="P531" s="5">
        <f>ROUND(Source!ES511,O531)</f>
        <v>0</v>
      </c>
      <c r="Q531" s="5"/>
      <c r="R531" s="5"/>
      <c r="S531" s="5"/>
      <c r="T531" s="5"/>
      <c r="U531" s="5"/>
      <c r="V531" s="5"/>
      <c r="W531" s="5"/>
    </row>
    <row r="532" spans="1:255" x14ac:dyDescent="0.2">
      <c r="A532" s="5">
        <v>50</v>
      </c>
      <c r="B532" s="5">
        <v>0</v>
      </c>
      <c r="C532" s="5">
        <v>0</v>
      </c>
      <c r="D532" s="5">
        <v>1</v>
      </c>
      <c r="E532" s="5">
        <v>206</v>
      </c>
      <c r="F532" s="5">
        <f>ROUND(Source!T511,O532)</f>
        <v>0</v>
      </c>
      <c r="G532" s="5" t="s">
        <v>155</v>
      </c>
      <c r="H532" s="5" t="s">
        <v>156</v>
      </c>
      <c r="I532" s="5"/>
      <c r="J532" s="5"/>
      <c r="K532" s="5">
        <v>206</v>
      </c>
      <c r="L532" s="5">
        <v>20</v>
      </c>
      <c r="M532" s="5">
        <v>3</v>
      </c>
      <c r="N532" s="5" t="s">
        <v>3</v>
      </c>
      <c r="O532" s="5">
        <v>2</v>
      </c>
      <c r="P532" s="5">
        <f>ROUND(Source!DL511,O532)</f>
        <v>0</v>
      </c>
      <c r="Q532" s="5"/>
      <c r="R532" s="5"/>
      <c r="S532" s="5"/>
      <c r="T532" s="5"/>
      <c r="U532" s="5"/>
      <c r="V532" s="5"/>
      <c r="W532" s="5"/>
    </row>
    <row r="533" spans="1:255" x14ac:dyDescent="0.2">
      <c r="A533" s="5">
        <v>50</v>
      </c>
      <c r="B533" s="5">
        <v>0</v>
      </c>
      <c r="C533" s="5">
        <v>0</v>
      </c>
      <c r="D533" s="5">
        <v>1</v>
      </c>
      <c r="E533" s="5">
        <v>207</v>
      </c>
      <c r="F533" s="5">
        <f>Source!U511</f>
        <v>118.83653799999999</v>
      </c>
      <c r="G533" s="5" t="s">
        <v>157</v>
      </c>
      <c r="H533" s="5" t="s">
        <v>158</v>
      </c>
      <c r="I533" s="5"/>
      <c r="J533" s="5"/>
      <c r="K533" s="5">
        <v>207</v>
      </c>
      <c r="L533" s="5">
        <v>21</v>
      </c>
      <c r="M533" s="5">
        <v>3</v>
      </c>
      <c r="N533" s="5" t="s">
        <v>3</v>
      </c>
      <c r="O533" s="5">
        <v>-1</v>
      </c>
      <c r="P533" s="5">
        <f>Source!DM511</f>
        <v>118.83653799999999</v>
      </c>
      <c r="Q533" s="5"/>
      <c r="R533" s="5"/>
      <c r="S533" s="5"/>
      <c r="T533" s="5"/>
      <c r="U533" s="5"/>
      <c r="V533" s="5"/>
      <c r="W533" s="5"/>
    </row>
    <row r="534" spans="1:255" x14ac:dyDescent="0.2">
      <c r="A534" s="5">
        <v>50</v>
      </c>
      <c r="B534" s="5">
        <v>0</v>
      </c>
      <c r="C534" s="5">
        <v>0</v>
      </c>
      <c r="D534" s="5">
        <v>1</v>
      </c>
      <c r="E534" s="5">
        <v>208</v>
      </c>
      <c r="F534" s="5">
        <f>Source!V511</f>
        <v>0</v>
      </c>
      <c r="G534" s="5" t="s">
        <v>159</v>
      </c>
      <c r="H534" s="5" t="s">
        <v>160</v>
      </c>
      <c r="I534" s="5"/>
      <c r="J534" s="5"/>
      <c r="K534" s="5">
        <v>208</v>
      </c>
      <c r="L534" s="5">
        <v>22</v>
      </c>
      <c r="M534" s="5">
        <v>3</v>
      </c>
      <c r="N534" s="5" t="s">
        <v>3</v>
      </c>
      <c r="O534" s="5">
        <v>-1</v>
      </c>
      <c r="P534" s="5">
        <f>Source!DN511</f>
        <v>0</v>
      </c>
      <c r="Q534" s="5"/>
      <c r="R534" s="5"/>
      <c r="S534" s="5"/>
      <c r="T534" s="5"/>
      <c r="U534" s="5"/>
      <c r="V534" s="5"/>
      <c r="W534" s="5"/>
    </row>
    <row r="535" spans="1:255" x14ac:dyDescent="0.2">
      <c r="A535" s="5">
        <v>50</v>
      </c>
      <c r="B535" s="5">
        <v>0</v>
      </c>
      <c r="C535" s="5">
        <v>0</v>
      </c>
      <c r="D535" s="5">
        <v>1</v>
      </c>
      <c r="E535" s="5">
        <v>209</v>
      </c>
      <c r="F535" s="5">
        <f>ROUND(Source!W511,O535)</f>
        <v>0</v>
      </c>
      <c r="G535" s="5" t="s">
        <v>161</v>
      </c>
      <c r="H535" s="5" t="s">
        <v>162</v>
      </c>
      <c r="I535" s="5"/>
      <c r="J535" s="5"/>
      <c r="K535" s="5">
        <v>209</v>
      </c>
      <c r="L535" s="5">
        <v>23</v>
      </c>
      <c r="M535" s="5">
        <v>3</v>
      </c>
      <c r="N535" s="5" t="s">
        <v>3</v>
      </c>
      <c r="O535" s="5">
        <v>2</v>
      </c>
      <c r="P535" s="5">
        <f>ROUND(Source!DO511,O535)</f>
        <v>0</v>
      </c>
      <c r="Q535" s="5"/>
      <c r="R535" s="5"/>
      <c r="S535" s="5"/>
      <c r="T535" s="5"/>
      <c r="U535" s="5"/>
      <c r="V535" s="5"/>
      <c r="W535" s="5"/>
    </row>
    <row r="536" spans="1:255" x14ac:dyDescent="0.2">
      <c r="A536" s="5">
        <v>50</v>
      </c>
      <c r="B536" s="5">
        <v>0</v>
      </c>
      <c r="C536" s="5">
        <v>0</v>
      </c>
      <c r="D536" s="5">
        <v>1</v>
      </c>
      <c r="E536" s="5">
        <v>210</v>
      </c>
      <c r="F536" s="5">
        <f>ROUND(Source!X511,O536)</f>
        <v>0</v>
      </c>
      <c r="G536" s="5" t="s">
        <v>163</v>
      </c>
      <c r="H536" s="5" t="s">
        <v>164</v>
      </c>
      <c r="I536" s="5"/>
      <c r="J536" s="5"/>
      <c r="K536" s="5">
        <v>210</v>
      </c>
      <c r="L536" s="5">
        <v>24</v>
      </c>
      <c r="M536" s="5">
        <v>3</v>
      </c>
      <c r="N536" s="5" t="s">
        <v>3</v>
      </c>
      <c r="O536" s="5">
        <v>2</v>
      </c>
      <c r="P536" s="5">
        <f>ROUND(Source!DP511,O536)</f>
        <v>22122.04</v>
      </c>
      <c r="Q536" s="5"/>
      <c r="R536" s="5"/>
      <c r="S536" s="5"/>
      <c r="T536" s="5"/>
      <c r="U536" s="5"/>
      <c r="V536" s="5"/>
      <c r="W536" s="5"/>
    </row>
    <row r="537" spans="1:255" x14ac:dyDescent="0.2">
      <c r="A537" s="5">
        <v>50</v>
      </c>
      <c r="B537" s="5">
        <v>0</v>
      </c>
      <c r="C537" s="5">
        <v>0</v>
      </c>
      <c r="D537" s="5">
        <v>1</v>
      </c>
      <c r="E537" s="5">
        <v>211</v>
      </c>
      <c r="F537" s="5">
        <f>ROUND(Source!Y511,O537)</f>
        <v>0</v>
      </c>
      <c r="G537" s="5" t="s">
        <v>165</v>
      </c>
      <c r="H537" s="5" t="s">
        <v>166</v>
      </c>
      <c r="I537" s="5"/>
      <c r="J537" s="5"/>
      <c r="K537" s="5">
        <v>211</v>
      </c>
      <c r="L537" s="5">
        <v>25</v>
      </c>
      <c r="M537" s="5">
        <v>3</v>
      </c>
      <c r="N537" s="5" t="s">
        <v>3</v>
      </c>
      <c r="O537" s="5">
        <v>2</v>
      </c>
      <c r="P537" s="5">
        <f>ROUND(Source!DQ511,O537)</f>
        <v>12115.57</v>
      </c>
      <c r="Q537" s="5"/>
      <c r="R537" s="5"/>
      <c r="S537" s="5"/>
      <c r="T537" s="5"/>
      <c r="U537" s="5"/>
      <c r="V537" s="5"/>
      <c r="W537" s="5"/>
    </row>
    <row r="538" spans="1:255" x14ac:dyDescent="0.2">
      <c r="A538" s="5">
        <v>50</v>
      </c>
      <c r="B538" s="5">
        <v>0</v>
      </c>
      <c r="C538" s="5">
        <v>0</v>
      </c>
      <c r="D538" s="5">
        <v>1</v>
      </c>
      <c r="E538" s="5">
        <v>224</v>
      </c>
      <c r="F538" s="5">
        <f>ROUND(Source!AR511,O538)</f>
        <v>87817.14</v>
      </c>
      <c r="G538" s="5" t="s">
        <v>167</v>
      </c>
      <c r="H538" s="5" t="s">
        <v>168</v>
      </c>
      <c r="I538" s="5"/>
      <c r="J538" s="5"/>
      <c r="K538" s="5">
        <v>224</v>
      </c>
      <c r="L538" s="5">
        <v>26</v>
      </c>
      <c r="M538" s="5">
        <v>3</v>
      </c>
      <c r="N538" s="5" t="s">
        <v>3</v>
      </c>
      <c r="O538" s="5">
        <v>2</v>
      </c>
      <c r="P538" s="5">
        <f>ROUND(Source!EJ511,O538)</f>
        <v>321118.24</v>
      </c>
      <c r="Q538" s="5"/>
      <c r="R538" s="5"/>
      <c r="S538" s="5"/>
      <c r="T538" s="5"/>
      <c r="U538" s="5"/>
      <c r="V538" s="5"/>
      <c r="W538" s="5"/>
    </row>
    <row r="540" spans="1:255" x14ac:dyDescent="0.2">
      <c r="A540" s="1">
        <v>4</v>
      </c>
      <c r="B540" s="1">
        <v>1</v>
      </c>
      <c r="C540" s="1"/>
      <c r="D540" s="1">
        <f>ROW(A555)</f>
        <v>555</v>
      </c>
      <c r="E540" s="1"/>
      <c r="F540" s="1" t="s">
        <v>16</v>
      </c>
      <c r="G540" s="1" t="s">
        <v>574</v>
      </c>
      <c r="H540" s="1" t="s">
        <v>3</v>
      </c>
      <c r="I540" s="1">
        <v>0</v>
      </c>
      <c r="J540" s="1"/>
      <c r="K540" s="1">
        <v>0</v>
      </c>
      <c r="L540" s="1"/>
      <c r="M540" s="1"/>
      <c r="N540" s="1"/>
      <c r="O540" s="1"/>
      <c r="P540" s="1"/>
      <c r="Q540" s="1"/>
      <c r="R540" s="1"/>
      <c r="S540" s="1"/>
      <c r="T540" s="1"/>
      <c r="U540" s="1" t="s">
        <v>3</v>
      </c>
      <c r="V540" s="1">
        <v>0</v>
      </c>
      <c r="W540" s="1"/>
      <c r="X540" s="1"/>
      <c r="Y540" s="1"/>
      <c r="Z540" s="1"/>
      <c r="AA540" s="1"/>
      <c r="AB540" s="1" t="s">
        <v>3</v>
      </c>
      <c r="AC540" s="1" t="s">
        <v>3</v>
      </c>
      <c r="AD540" s="1" t="s">
        <v>3</v>
      </c>
      <c r="AE540" s="1" t="s">
        <v>3</v>
      </c>
      <c r="AF540" s="1" t="s">
        <v>3</v>
      </c>
      <c r="AG540" s="1" t="s">
        <v>3</v>
      </c>
      <c r="AH540" s="1"/>
      <c r="AI540" s="1"/>
      <c r="AJ540" s="1"/>
      <c r="AK540" s="1"/>
      <c r="AL540" s="1"/>
      <c r="AM540" s="1"/>
      <c r="AN540" s="1"/>
      <c r="AO540" s="1"/>
      <c r="AP540" s="1" t="s">
        <v>3</v>
      </c>
      <c r="AQ540" s="1" t="s">
        <v>3</v>
      </c>
      <c r="AR540" s="1" t="s">
        <v>3</v>
      </c>
      <c r="AS540" s="1"/>
      <c r="AT540" s="1"/>
      <c r="AU540" s="1"/>
      <c r="AV540" s="1"/>
      <c r="AW540" s="1"/>
      <c r="AX540" s="1"/>
      <c r="AY540" s="1"/>
      <c r="AZ540" s="1" t="s">
        <v>3</v>
      </c>
      <c r="BA540" s="1"/>
      <c r="BB540" s="1" t="s">
        <v>3</v>
      </c>
      <c r="BC540" s="1" t="s">
        <v>3</v>
      </c>
      <c r="BD540" s="1" t="s">
        <v>3</v>
      </c>
      <c r="BE540" s="1" t="s">
        <v>3</v>
      </c>
      <c r="BF540" s="1" t="s">
        <v>3</v>
      </c>
      <c r="BG540" s="1" t="s">
        <v>3</v>
      </c>
      <c r="BH540" s="1" t="s">
        <v>3</v>
      </c>
      <c r="BI540" s="1" t="s">
        <v>3</v>
      </c>
      <c r="BJ540" s="1" t="s">
        <v>3</v>
      </c>
      <c r="BK540" s="1" t="s">
        <v>3</v>
      </c>
      <c r="BL540" s="1" t="s">
        <v>3</v>
      </c>
      <c r="BM540" s="1" t="s">
        <v>3</v>
      </c>
      <c r="BN540" s="1" t="s">
        <v>3</v>
      </c>
      <c r="BO540" s="1" t="s">
        <v>3</v>
      </c>
      <c r="BP540" s="1" t="s">
        <v>3</v>
      </c>
      <c r="BQ540" s="1"/>
      <c r="BR540" s="1"/>
      <c r="BS540" s="1"/>
      <c r="BT540" s="1"/>
      <c r="BU540" s="1"/>
      <c r="BV540" s="1"/>
      <c r="BW540" s="1"/>
      <c r="BX540" s="1">
        <v>0</v>
      </c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>
        <v>0</v>
      </c>
    </row>
    <row r="542" spans="1:255" x14ac:dyDescent="0.2">
      <c r="A542" s="3">
        <v>52</v>
      </c>
      <c r="B542" s="3">
        <f t="shared" ref="B542:G542" si="457">B555</f>
        <v>1</v>
      </c>
      <c r="C542" s="3">
        <f t="shared" si="457"/>
        <v>4</v>
      </c>
      <c r="D542" s="3">
        <f t="shared" si="457"/>
        <v>540</v>
      </c>
      <c r="E542" s="3">
        <f t="shared" si="457"/>
        <v>0</v>
      </c>
      <c r="F542" s="3" t="str">
        <f t="shared" si="457"/>
        <v>Новый раздел</v>
      </c>
      <c r="G542" s="3" t="str">
        <f t="shared" si="457"/>
        <v>Оборудование</v>
      </c>
      <c r="H542" s="3"/>
      <c r="I542" s="3"/>
      <c r="J542" s="3"/>
      <c r="K542" s="3"/>
      <c r="L542" s="3"/>
      <c r="M542" s="3"/>
      <c r="N542" s="3"/>
      <c r="O542" s="3">
        <f t="shared" ref="O542:AT542" si="458">O555</f>
        <v>59400.61</v>
      </c>
      <c r="P542" s="3">
        <f t="shared" si="458"/>
        <v>59400.61</v>
      </c>
      <c r="Q542" s="3">
        <f t="shared" si="458"/>
        <v>0</v>
      </c>
      <c r="R542" s="3">
        <f t="shared" si="458"/>
        <v>0</v>
      </c>
      <c r="S542" s="3">
        <f t="shared" si="458"/>
        <v>0</v>
      </c>
      <c r="T542" s="3">
        <f t="shared" si="458"/>
        <v>0</v>
      </c>
      <c r="U542" s="3">
        <f t="shared" si="458"/>
        <v>0</v>
      </c>
      <c r="V542" s="3">
        <f t="shared" si="458"/>
        <v>0</v>
      </c>
      <c r="W542" s="3">
        <f t="shared" si="458"/>
        <v>0</v>
      </c>
      <c r="X542" s="3">
        <f t="shared" si="458"/>
        <v>0</v>
      </c>
      <c r="Y542" s="3">
        <f t="shared" si="458"/>
        <v>0</v>
      </c>
      <c r="Z542" s="3">
        <f t="shared" si="458"/>
        <v>0</v>
      </c>
      <c r="AA542" s="3">
        <f t="shared" si="458"/>
        <v>0</v>
      </c>
      <c r="AB542" s="3">
        <f t="shared" si="458"/>
        <v>59400.61</v>
      </c>
      <c r="AC542" s="3">
        <f t="shared" si="458"/>
        <v>59400.61</v>
      </c>
      <c r="AD542" s="3">
        <f t="shared" si="458"/>
        <v>0</v>
      </c>
      <c r="AE542" s="3">
        <f t="shared" si="458"/>
        <v>0</v>
      </c>
      <c r="AF542" s="3">
        <f t="shared" si="458"/>
        <v>0</v>
      </c>
      <c r="AG542" s="3">
        <f t="shared" si="458"/>
        <v>0</v>
      </c>
      <c r="AH542" s="3">
        <f t="shared" si="458"/>
        <v>0</v>
      </c>
      <c r="AI542" s="3">
        <f t="shared" si="458"/>
        <v>0</v>
      </c>
      <c r="AJ542" s="3">
        <f t="shared" si="458"/>
        <v>0</v>
      </c>
      <c r="AK542" s="3">
        <f t="shared" si="458"/>
        <v>0</v>
      </c>
      <c r="AL542" s="3">
        <f t="shared" si="458"/>
        <v>0</v>
      </c>
      <c r="AM542" s="3">
        <f t="shared" si="458"/>
        <v>0</v>
      </c>
      <c r="AN542" s="3">
        <f t="shared" si="458"/>
        <v>0</v>
      </c>
      <c r="AO542" s="3">
        <f t="shared" si="458"/>
        <v>0</v>
      </c>
      <c r="AP542" s="3">
        <f t="shared" si="458"/>
        <v>59400.61</v>
      </c>
      <c r="AQ542" s="3">
        <f t="shared" si="458"/>
        <v>0</v>
      </c>
      <c r="AR542" s="3">
        <f t="shared" si="458"/>
        <v>59400.61</v>
      </c>
      <c r="AS542" s="3">
        <f t="shared" si="458"/>
        <v>0</v>
      </c>
      <c r="AT542" s="3">
        <f t="shared" si="458"/>
        <v>0</v>
      </c>
      <c r="AU542" s="3">
        <f t="shared" ref="AU542:BZ542" si="459">AU555</f>
        <v>0</v>
      </c>
      <c r="AV542" s="3">
        <f t="shared" si="459"/>
        <v>59400.61</v>
      </c>
      <c r="AW542" s="3">
        <f t="shared" si="459"/>
        <v>0</v>
      </c>
      <c r="AX542" s="3">
        <f t="shared" si="459"/>
        <v>0</v>
      </c>
      <c r="AY542" s="3">
        <f t="shared" si="459"/>
        <v>0</v>
      </c>
      <c r="AZ542" s="3">
        <f t="shared" si="459"/>
        <v>59400.61</v>
      </c>
      <c r="BA542" s="3">
        <f t="shared" si="459"/>
        <v>0</v>
      </c>
      <c r="BB542" s="3">
        <f t="shared" si="459"/>
        <v>0</v>
      </c>
      <c r="BC542" s="3">
        <f t="shared" si="459"/>
        <v>0</v>
      </c>
      <c r="BD542" s="3">
        <f t="shared" si="459"/>
        <v>0</v>
      </c>
      <c r="BE542" s="3">
        <f t="shared" si="459"/>
        <v>0</v>
      </c>
      <c r="BF542" s="3">
        <f t="shared" si="459"/>
        <v>0</v>
      </c>
      <c r="BG542" s="3">
        <f t="shared" si="459"/>
        <v>0</v>
      </c>
      <c r="BH542" s="3">
        <f t="shared" si="459"/>
        <v>0</v>
      </c>
      <c r="BI542" s="3">
        <f t="shared" si="459"/>
        <v>0</v>
      </c>
      <c r="BJ542" s="3">
        <f t="shared" si="459"/>
        <v>0</v>
      </c>
      <c r="BK542" s="3">
        <f t="shared" si="459"/>
        <v>0</v>
      </c>
      <c r="BL542" s="3">
        <f t="shared" si="459"/>
        <v>0</v>
      </c>
      <c r="BM542" s="3">
        <f t="shared" si="459"/>
        <v>0</v>
      </c>
      <c r="BN542" s="3">
        <f t="shared" si="459"/>
        <v>0</v>
      </c>
      <c r="BO542" s="3">
        <f t="shared" si="459"/>
        <v>0</v>
      </c>
      <c r="BP542" s="3">
        <f t="shared" si="459"/>
        <v>0</v>
      </c>
      <c r="BQ542" s="3">
        <f t="shared" si="459"/>
        <v>0</v>
      </c>
      <c r="BR542" s="3">
        <f t="shared" si="459"/>
        <v>0</v>
      </c>
      <c r="BS542" s="3">
        <f t="shared" si="459"/>
        <v>0</v>
      </c>
      <c r="BT542" s="3">
        <f t="shared" si="459"/>
        <v>0</v>
      </c>
      <c r="BU542" s="3">
        <f t="shared" si="459"/>
        <v>0</v>
      </c>
      <c r="BV542" s="3">
        <f t="shared" si="459"/>
        <v>0</v>
      </c>
      <c r="BW542" s="3">
        <f t="shared" si="459"/>
        <v>0</v>
      </c>
      <c r="BX542" s="3">
        <f t="shared" si="459"/>
        <v>0</v>
      </c>
      <c r="BY542" s="3">
        <f t="shared" si="459"/>
        <v>59400.61</v>
      </c>
      <c r="BZ542" s="3">
        <f t="shared" si="459"/>
        <v>0</v>
      </c>
      <c r="CA542" s="3">
        <f t="shared" ref="CA542:DF542" si="460">CA555</f>
        <v>59400.61</v>
      </c>
      <c r="CB542" s="3">
        <f t="shared" si="460"/>
        <v>0</v>
      </c>
      <c r="CC542" s="3">
        <f t="shared" si="460"/>
        <v>0</v>
      </c>
      <c r="CD542" s="3">
        <f t="shared" si="460"/>
        <v>0</v>
      </c>
      <c r="CE542" s="3">
        <f t="shared" si="460"/>
        <v>59400.61</v>
      </c>
      <c r="CF542" s="3">
        <f t="shared" si="460"/>
        <v>0</v>
      </c>
      <c r="CG542" s="3">
        <f t="shared" si="460"/>
        <v>0</v>
      </c>
      <c r="CH542" s="3">
        <f t="shared" si="460"/>
        <v>0</v>
      </c>
      <c r="CI542" s="3">
        <f t="shared" si="460"/>
        <v>59400.61</v>
      </c>
      <c r="CJ542" s="3">
        <f t="shared" si="460"/>
        <v>0</v>
      </c>
      <c r="CK542" s="3">
        <f t="shared" si="460"/>
        <v>0</v>
      </c>
      <c r="CL542" s="3">
        <f t="shared" si="460"/>
        <v>0</v>
      </c>
      <c r="CM542" s="3">
        <f t="shared" si="460"/>
        <v>0</v>
      </c>
      <c r="CN542" s="3">
        <f t="shared" si="460"/>
        <v>0</v>
      </c>
      <c r="CO542" s="3">
        <f t="shared" si="460"/>
        <v>0</v>
      </c>
      <c r="CP542" s="3">
        <f t="shared" si="460"/>
        <v>0</v>
      </c>
      <c r="CQ542" s="3">
        <f t="shared" si="460"/>
        <v>0</v>
      </c>
      <c r="CR542" s="3">
        <f t="shared" si="460"/>
        <v>0</v>
      </c>
      <c r="CS542" s="3">
        <f t="shared" si="460"/>
        <v>0</v>
      </c>
      <c r="CT542" s="3">
        <f t="shared" si="460"/>
        <v>0</v>
      </c>
      <c r="CU542" s="3">
        <f t="shared" si="460"/>
        <v>0</v>
      </c>
      <c r="CV542" s="3">
        <f t="shared" si="460"/>
        <v>0</v>
      </c>
      <c r="CW542" s="3">
        <f t="shared" si="460"/>
        <v>0</v>
      </c>
      <c r="CX542" s="3">
        <f t="shared" si="460"/>
        <v>0</v>
      </c>
      <c r="CY542" s="3">
        <f t="shared" si="460"/>
        <v>0</v>
      </c>
      <c r="CZ542" s="3">
        <f t="shared" si="460"/>
        <v>0</v>
      </c>
      <c r="DA542" s="3">
        <f t="shared" si="460"/>
        <v>0</v>
      </c>
      <c r="DB542" s="3">
        <f t="shared" si="460"/>
        <v>0</v>
      </c>
      <c r="DC542" s="3">
        <f t="shared" si="460"/>
        <v>0</v>
      </c>
      <c r="DD542" s="3">
        <f t="shared" si="460"/>
        <v>0</v>
      </c>
      <c r="DE542" s="3">
        <f t="shared" si="460"/>
        <v>0</v>
      </c>
      <c r="DF542" s="3">
        <f t="shared" si="460"/>
        <v>0</v>
      </c>
      <c r="DG542" s="4">
        <f t="shared" ref="DG542:EL542" si="461">DG555</f>
        <v>247700.55</v>
      </c>
      <c r="DH542" s="4">
        <f t="shared" si="461"/>
        <v>247700.55</v>
      </c>
      <c r="DI542" s="4">
        <f t="shared" si="461"/>
        <v>0</v>
      </c>
      <c r="DJ542" s="4">
        <f t="shared" si="461"/>
        <v>0</v>
      </c>
      <c r="DK542" s="4">
        <f t="shared" si="461"/>
        <v>0</v>
      </c>
      <c r="DL542" s="4">
        <f t="shared" si="461"/>
        <v>0</v>
      </c>
      <c r="DM542" s="4">
        <f t="shared" si="461"/>
        <v>0</v>
      </c>
      <c r="DN542" s="4">
        <f t="shared" si="461"/>
        <v>0</v>
      </c>
      <c r="DO542" s="4">
        <f t="shared" si="461"/>
        <v>0</v>
      </c>
      <c r="DP542" s="4">
        <f t="shared" si="461"/>
        <v>0</v>
      </c>
      <c r="DQ542" s="4">
        <f t="shared" si="461"/>
        <v>0</v>
      </c>
      <c r="DR542" s="4">
        <f t="shared" si="461"/>
        <v>0</v>
      </c>
      <c r="DS542" s="4">
        <f t="shared" si="461"/>
        <v>0</v>
      </c>
      <c r="DT542" s="4">
        <f t="shared" si="461"/>
        <v>247700.55</v>
      </c>
      <c r="DU542" s="4">
        <f t="shared" si="461"/>
        <v>247700.55</v>
      </c>
      <c r="DV542" s="4">
        <f t="shared" si="461"/>
        <v>0</v>
      </c>
      <c r="DW542" s="4">
        <f t="shared" si="461"/>
        <v>0</v>
      </c>
      <c r="DX542" s="4">
        <f t="shared" si="461"/>
        <v>0</v>
      </c>
      <c r="DY542" s="4">
        <f t="shared" si="461"/>
        <v>0</v>
      </c>
      <c r="DZ542" s="4">
        <f t="shared" si="461"/>
        <v>0</v>
      </c>
      <c r="EA542" s="4">
        <f t="shared" si="461"/>
        <v>0</v>
      </c>
      <c r="EB542" s="4">
        <f t="shared" si="461"/>
        <v>0</v>
      </c>
      <c r="EC542" s="4">
        <f t="shared" si="461"/>
        <v>0</v>
      </c>
      <c r="ED542" s="4">
        <f t="shared" si="461"/>
        <v>0</v>
      </c>
      <c r="EE542" s="4">
        <f t="shared" si="461"/>
        <v>0</v>
      </c>
      <c r="EF542" s="4">
        <f t="shared" si="461"/>
        <v>0</v>
      </c>
      <c r="EG542" s="4">
        <f t="shared" si="461"/>
        <v>0</v>
      </c>
      <c r="EH542" s="4">
        <f t="shared" si="461"/>
        <v>247700.55</v>
      </c>
      <c r="EI542" s="4">
        <f t="shared" si="461"/>
        <v>0</v>
      </c>
      <c r="EJ542" s="4">
        <f t="shared" si="461"/>
        <v>247700.55</v>
      </c>
      <c r="EK542" s="4">
        <f t="shared" si="461"/>
        <v>0</v>
      </c>
      <c r="EL542" s="4">
        <f t="shared" si="461"/>
        <v>0</v>
      </c>
      <c r="EM542" s="4">
        <f t="shared" ref="EM542:FR542" si="462">EM555</f>
        <v>0</v>
      </c>
      <c r="EN542" s="4">
        <f t="shared" si="462"/>
        <v>247700.55</v>
      </c>
      <c r="EO542" s="4">
        <f t="shared" si="462"/>
        <v>0</v>
      </c>
      <c r="EP542" s="4">
        <f t="shared" si="462"/>
        <v>0</v>
      </c>
      <c r="EQ542" s="4">
        <f t="shared" si="462"/>
        <v>0</v>
      </c>
      <c r="ER542" s="4">
        <f t="shared" si="462"/>
        <v>247700.55</v>
      </c>
      <c r="ES542" s="4">
        <f t="shared" si="462"/>
        <v>0</v>
      </c>
      <c r="ET542" s="4">
        <f t="shared" si="462"/>
        <v>0</v>
      </c>
      <c r="EU542" s="4">
        <f t="shared" si="462"/>
        <v>0</v>
      </c>
      <c r="EV542" s="4">
        <f t="shared" si="462"/>
        <v>0</v>
      </c>
      <c r="EW542" s="4">
        <f t="shared" si="462"/>
        <v>0</v>
      </c>
      <c r="EX542" s="4">
        <f t="shared" si="462"/>
        <v>0</v>
      </c>
      <c r="EY542" s="4">
        <f t="shared" si="462"/>
        <v>0</v>
      </c>
      <c r="EZ542" s="4">
        <f t="shared" si="462"/>
        <v>0</v>
      </c>
      <c r="FA542" s="4">
        <f t="shared" si="462"/>
        <v>0</v>
      </c>
      <c r="FB542" s="4">
        <f t="shared" si="462"/>
        <v>0</v>
      </c>
      <c r="FC542" s="4">
        <f t="shared" si="462"/>
        <v>0</v>
      </c>
      <c r="FD542" s="4">
        <f t="shared" si="462"/>
        <v>0</v>
      </c>
      <c r="FE542" s="4">
        <f t="shared" si="462"/>
        <v>0</v>
      </c>
      <c r="FF542" s="4">
        <f t="shared" si="462"/>
        <v>0</v>
      </c>
      <c r="FG542" s="4">
        <f t="shared" si="462"/>
        <v>0</v>
      </c>
      <c r="FH542" s="4">
        <f t="shared" si="462"/>
        <v>0</v>
      </c>
      <c r="FI542" s="4">
        <f t="shared" si="462"/>
        <v>0</v>
      </c>
      <c r="FJ542" s="4">
        <f t="shared" si="462"/>
        <v>0</v>
      </c>
      <c r="FK542" s="4">
        <f t="shared" si="462"/>
        <v>0</v>
      </c>
      <c r="FL542" s="4">
        <f t="shared" si="462"/>
        <v>0</v>
      </c>
      <c r="FM542" s="4">
        <f t="shared" si="462"/>
        <v>0</v>
      </c>
      <c r="FN542" s="4">
        <f t="shared" si="462"/>
        <v>0</v>
      </c>
      <c r="FO542" s="4">
        <f t="shared" si="462"/>
        <v>0</v>
      </c>
      <c r="FP542" s="4">
        <f t="shared" si="462"/>
        <v>0</v>
      </c>
      <c r="FQ542" s="4">
        <f t="shared" si="462"/>
        <v>247700.55</v>
      </c>
      <c r="FR542" s="4">
        <f t="shared" si="462"/>
        <v>0</v>
      </c>
      <c r="FS542" s="4">
        <f t="shared" ref="FS542:GX542" si="463">FS555</f>
        <v>247700.55</v>
      </c>
      <c r="FT542" s="4">
        <f t="shared" si="463"/>
        <v>0</v>
      </c>
      <c r="FU542" s="4">
        <f t="shared" si="463"/>
        <v>0</v>
      </c>
      <c r="FV542" s="4">
        <f t="shared" si="463"/>
        <v>0</v>
      </c>
      <c r="FW542" s="4">
        <f t="shared" si="463"/>
        <v>247700.55</v>
      </c>
      <c r="FX542" s="4">
        <f t="shared" si="463"/>
        <v>0</v>
      </c>
      <c r="FY542" s="4">
        <f t="shared" si="463"/>
        <v>0</v>
      </c>
      <c r="FZ542" s="4">
        <f t="shared" si="463"/>
        <v>0</v>
      </c>
      <c r="GA542" s="4">
        <f t="shared" si="463"/>
        <v>247700.55</v>
      </c>
      <c r="GB542" s="4">
        <f t="shared" si="463"/>
        <v>0</v>
      </c>
      <c r="GC542" s="4">
        <f t="shared" si="463"/>
        <v>0</v>
      </c>
      <c r="GD542" s="4">
        <f t="shared" si="463"/>
        <v>0</v>
      </c>
      <c r="GE542" s="4">
        <f t="shared" si="463"/>
        <v>0</v>
      </c>
      <c r="GF542" s="4">
        <f t="shared" si="463"/>
        <v>0</v>
      </c>
      <c r="GG542" s="4">
        <f t="shared" si="463"/>
        <v>0</v>
      </c>
      <c r="GH542" s="4">
        <f t="shared" si="463"/>
        <v>0</v>
      </c>
      <c r="GI542" s="4">
        <f t="shared" si="463"/>
        <v>0</v>
      </c>
      <c r="GJ542" s="4">
        <f t="shared" si="463"/>
        <v>0</v>
      </c>
      <c r="GK542" s="4">
        <f t="shared" si="463"/>
        <v>0</v>
      </c>
      <c r="GL542" s="4">
        <f t="shared" si="463"/>
        <v>0</v>
      </c>
      <c r="GM542" s="4">
        <f t="shared" si="463"/>
        <v>0</v>
      </c>
      <c r="GN542" s="4">
        <f t="shared" si="463"/>
        <v>0</v>
      </c>
      <c r="GO542" s="4">
        <f t="shared" si="463"/>
        <v>0</v>
      </c>
      <c r="GP542" s="4">
        <f t="shared" si="463"/>
        <v>0</v>
      </c>
      <c r="GQ542" s="4">
        <f t="shared" si="463"/>
        <v>0</v>
      </c>
      <c r="GR542" s="4">
        <f t="shared" si="463"/>
        <v>0</v>
      </c>
      <c r="GS542" s="4">
        <f t="shared" si="463"/>
        <v>0</v>
      </c>
      <c r="GT542" s="4">
        <f t="shared" si="463"/>
        <v>0</v>
      </c>
      <c r="GU542" s="4">
        <f t="shared" si="463"/>
        <v>0</v>
      </c>
      <c r="GV542" s="4">
        <f t="shared" si="463"/>
        <v>0</v>
      </c>
      <c r="GW542" s="4">
        <f t="shared" si="463"/>
        <v>0</v>
      </c>
      <c r="GX542" s="4">
        <f t="shared" si="463"/>
        <v>0</v>
      </c>
    </row>
    <row r="544" spans="1:255" x14ac:dyDescent="0.2">
      <c r="A544" s="2">
        <v>17</v>
      </c>
      <c r="B544" s="2">
        <v>1</v>
      </c>
      <c r="C544" s="2"/>
      <c r="D544" s="2"/>
      <c r="E544" s="2" t="s">
        <v>575</v>
      </c>
      <c r="F544" s="2" t="s">
        <v>576</v>
      </c>
      <c r="G544" s="2" t="s">
        <v>577</v>
      </c>
      <c r="H544" s="2" t="s">
        <v>304</v>
      </c>
      <c r="I544" s="2">
        <v>1</v>
      </c>
      <c r="J544" s="2">
        <v>0</v>
      </c>
      <c r="K544" s="2"/>
      <c r="L544" s="2"/>
      <c r="M544" s="2"/>
      <c r="N544" s="2"/>
      <c r="O544" s="2">
        <f t="shared" ref="O544:O553" si="464">ROUND(CP544,2)</f>
        <v>46264.97</v>
      </c>
      <c r="P544" s="2">
        <f t="shared" ref="P544:P553" si="465">ROUND(CQ544*I544,2)</f>
        <v>46264.97</v>
      </c>
      <c r="Q544" s="2">
        <f t="shared" ref="Q544:Q553" si="466">ROUND(CR544*I544,2)</f>
        <v>0</v>
      </c>
      <c r="R544" s="2">
        <f t="shared" ref="R544:R553" si="467">ROUND(CS544*I544,2)</f>
        <v>0</v>
      </c>
      <c r="S544" s="2">
        <f t="shared" ref="S544:S553" si="468">ROUND(CT544*I544,2)</f>
        <v>0</v>
      </c>
      <c r="T544" s="2">
        <f t="shared" ref="T544:T553" si="469">ROUND(CU544*I544,2)</f>
        <v>0</v>
      </c>
      <c r="U544" s="2">
        <f t="shared" ref="U544:U553" si="470">CV544*I544</f>
        <v>0</v>
      </c>
      <c r="V544" s="2">
        <f t="shared" ref="V544:V553" si="471">CW544*I544</f>
        <v>0</v>
      </c>
      <c r="W544" s="2">
        <f t="shared" ref="W544:W553" si="472">ROUND(CX544*I544,2)</f>
        <v>0</v>
      </c>
      <c r="X544" s="2">
        <f t="shared" ref="X544:X553" si="473">ROUND(CY544,2)</f>
        <v>0</v>
      </c>
      <c r="Y544" s="2">
        <f t="shared" ref="Y544:Y553" si="474">ROUND(CZ544,2)</f>
        <v>0</v>
      </c>
      <c r="Z544" s="2"/>
      <c r="AA544" s="2">
        <v>45037306</v>
      </c>
      <c r="AB544" s="2">
        <f t="shared" ref="AB544:AB553" si="475">ROUND((AC544+AD544+AF544),6)</f>
        <v>46264.97</v>
      </c>
      <c r="AC544" s="2">
        <f t="shared" ref="AC544:AC553" si="476">ROUND((ES544),6)</f>
        <v>46264.97</v>
      </c>
      <c r="AD544" s="2">
        <f t="shared" ref="AD544:AD553" si="477">ROUND((ET544),6)</f>
        <v>0</v>
      </c>
      <c r="AE544" s="2">
        <f t="shared" ref="AE544:AE553" si="478">ROUND((EU544),6)</f>
        <v>0</v>
      </c>
      <c r="AF544" s="2">
        <f t="shared" ref="AF544:AF553" si="479">ROUND((EV544),6)</f>
        <v>0</v>
      </c>
      <c r="AG544" s="2">
        <f t="shared" ref="AG544:AG553" si="480">ROUND((AP544),6)</f>
        <v>0</v>
      </c>
      <c r="AH544" s="2">
        <f t="shared" ref="AH544:AH553" si="481">(EW544)</f>
        <v>0</v>
      </c>
      <c r="AI544" s="2">
        <f t="shared" ref="AI544:AI553" si="482">(EX544)</f>
        <v>0</v>
      </c>
      <c r="AJ544" s="2">
        <f t="shared" ref="AJ544:AJ553" si="483">ROUND((AS544),6)</f>
        <v>0</v>
      </c>
      <c r="AK544" s="2">
        <v>46264.97</v>
      </c>
      <c r="AL544" s="2">
        <v>46264.97</v>
      </c>
      <c r="AM544" s="2">
        <v>0</v>
      </c>
      <c r="AN544" s="2">
        <v>0</v>
      </c>
      <c r="AO544" s="2">
        <v>0</v>
      </c>
      <c r="AP544" s="2">
        <v>0</v>
      </c>
      <c r="AQ544" s="2">
        <v>0</v>
      </c>
      <c r="AR544" s="2">
        <v>0</v>
      </c>
      <c r="AS544" s="2">
        <v>0</v>
      </c>
      <c r="AT544" s="2">
        <v>0</v>
      </c>
      <c r="AU544" s="2">
        <v>0</v>
      </c>
      <c r="AV544" s="2">
        <v>1</v>
      </c>
      <c r="AW544" s="2">
        <v>1</v>
      </c>
      <c r="AX544" s="2"/>
      <c r="AY544" s="2"/>
      <c r="AZ544" s="2">
        <v>1</v>
      </c>
      <c r="BA544" s="2">
        <v>1</v>
      </c>
      <c r="BB544" s="2">
        <v>1</v>
      </c>
      <c r="BC544" s="2">
        <v>1</v>
      </c>
      <c r="BD544" s="2" t="s">
        <v>3</v>
      </c>
      <c r="BE544" s="2" t="s">
        <v>3</v>
      </c>
      <c r="BF544" s="2" t="s">
        <v>3</v>
      </c>
      <c r="BG544" s="2" t="s">
        <v>3</v>
      </c>
      <c r="BH544" s="2">
        <v>3</v>
      </c>
      <c r="BI544" s="2">
        <v>3</v>
      </c>
      <c r="BJ544" s="2" t="s">
        <v>3</v>
      </c>
      <c r="BK544" s="2"/>
      <c r="BL544" s="2"/>
      <c r="BM544" s="2">
        <v>746</v>
      </c>
      <c r="BN544" s="2">
        <v>0</v>
      </c>
      <c r="BO544" s="2" t="s">
        <v>3</v>
      </c>
      <c r="BP544" s="2">
        <v>0</v>
      </c>
      <c r="BQ544" s="2">
        <v>130</v>
      </c>
      <c r="BR544" s="2">
        <v>0</v>
      </c>
      <c r="BS544" s="2">
        <v>1</v>
      </c>
      <c r="BT544" s="2">
        <v>1</v>
      </c>
      <c r="BU544" s="2">
        <v>1</v>
      </c>
      <c r="BV544" s="2">
        <v>1</v>
      </c>
      <c r="BW544" s="2">
        <v>1</v>
      </c>
      <c r="BX544" s="2">
        <v>1</v>
      </c>
      <c r="BY544" s="2" t="s">
        <v>3</v>
      </c>
      <c r="BZ544" s="2">
        <v>0</v>
      </c>
      <c r="CA544" s="2">
        <v>0</v>
      </c>
      <c r="CB544" s="2"/>
      <c r="CC544" s="2"/>
      <c r="CD544" s="2"/>
      <c r="CE544" s="2"/>
      <c r="CF544" s="2">
        <v>0</v>
      </c>
      <c r="CG544" s="2">
        <v>0</v>
      </c>
      <c r="CH544" s="2"/>
      <c r="CI544" s="2"/>
      <c r="CJ544" s="2"/>
      <c r="CK544" s="2"/>
      <c r="CL544" s="2"/>
      <c r="CM544" s="2">
        <v>0</v>
      </c>
      <c r="CN544" s="2" t="s">
        <v>3</v>
      </c>
      <c r="CO544" s="2">
        <v>0</v>
      </c>
      <c r="CP544" s="2">
        <f t="shared" ref="CP544:CP553" si="484">(P544+Q544+S544)</f>
        <v>46264.97</v>
      </c>
      <c r="CQ544" s="2">
        <f t="shared" ref="CQ544:CQ553" si="485">(AC544*BC544*AW544)</f>
        <v>46264.97</v>
      </c>
      <c r="CR544" s="2">
        <f t="shared" ref="CR544:CR553" si="486">(AD544*BB544*AV544)</f>
        <v>0</v>
      </c>
      <c r="CS544" s="2">
        <f t="shared" ref="CS544:CS553" si="487">(AE544*BS544*AV544)</f>
        <v>0</v>
      </c>
      <c r="CT544" s="2">
        <f t="shared" ref="CT544:CT553" si="488">(AF544*BA544*AV544)</f>
        <v>0</v>
      </c>
      <c r="CU544" s="2">
        <f t="shared" ref="CU544:CU553" si="489">AG544</f>
        <v>0</v>
      </c>
      <c r="CV544" s="2">
        <f t="shared" ref="CV544:CV553" si="490">(AH544*AV544)</f>
        <v>0</v>
      </c>
      <c r="CW544" s="2">
        <f t="shared" ref="CW544:CW553" si="491">AI544</f>
        <v>0</v>
      </c>
      <c r="CX544" s="2">
        <f t="shared" ref="CX544:CX553" si="492">AJ544</f>
        <v>0</v>
      </c>
      <c r="CY544" s="2">
        <f t="shared" ref="CY544:CY553" si="493">S544*(BZ544/100)</f>
        <v>0</v>
      </c>
      <c r="CZ544" s="2">
        <f t="shared" ref="CZ544:CZ553" si="494">S544*(CA544/100)</f>
        <v>0</v>
      </c>
      <c r="DA544" s="2"/>
      <c r="DB544" s="2"/>
      <c r="DC544" s="2" t="s">
        <v>3</v>
      </c>
      <c r="DD544" s="2" t="s">
        <v>3</v>
      </c>
      <c r="DE544" s="2" t="s">
        <v>3</v>
      </c>
      <c r="DF544" s="2" t="s">
        <v>3</v>
      </c>
      <c r="DG544" s="2" t="s">
        <v>3</v>
      </c>
      <c r="DH544" s="2" t="s">
        <v>3</v>
      </c>
      <c r="DI544" s="2" t="s">
        <v>3</v>
      </c>
      <c r="DJ544" s="2" t="s">
        <v>3</v>
      </c>
      <c r="DK544" s="2" t="s">
        <v>3</v>
      </c>
      <c r="DL544" s="2" t="s">
        <v>3</v>
      </c>
      <c r="DM544" s="2" t="s">
        <v>3</v>
      </c>
      <c r="DN544" s="2">
        <v>0</v>
      </c>
      <c r="DO544" s="2">
        <v>0</v>
      </c>
      <c r="DP544" s="2">
        <v>1</v>
      </c>
      <c r="DQ544" s="2">
        <v>1</v>
      </c>
      <c r="DR544" s="2"/>
      <c r="DS544" s="2"/>
      <c r="DT544" s="2"/>
      <c r="DU544" s="2">
        <v>1010</v>
      </c>
      <c r="DV544" s="2" t="s">
        <v>304</v>
      </c>
      <c r="DW544" s="2" t="s">
        <v>304</v>
      </c>
      <c r="DX544" s="2">
        <v>1</v>
      </c>
      <c r="DY544" s="2"/>
      <c r="DZ544" s="2"/>
      <c r="EA544" s="2"/>
      <c r="EB544" s="2"/>
      <c r="EC544" s="2"/>
      <c r="ED544" s="2"/>
      <c r="EE544" s="2">
        <v>44847253</v>
      </c>
      <c r="EF544" s="2">
        <v>130</v>
      </c>
      <c r="EG544" s="2" t="s">
        <v>578</v>
      </c>
      <c r="EH544" s="2">
        <v>0</v>
      </c>
      <c r="EI544" s="2" t="s">
        <v>3</v>
      </c>
      <c r="EJ544" s="2">
        <v>3</v>
      </c>
      <c r="EK544" s="2">
        <v>746</v>
      </c>
      <c r="EL544" s="2" t="s">
        <v>579</v>
      </c>
      <c r="EM544" s="2" t="s">
        <v>580</v>
      </c>
      <c r="EN544" s="2"/>
      <c r="EO544" s="2" t="s">
        <v>3</v>
      </c>
      <c r="EP544" s="2"/>
      <c r="EQ544" s="2">
        <v>131072</v>
      </c>
      <c r="ER544" s="2">
        <v>0</v>
      </c>
      <c r="ES544" s="2">
        <v>46264.97</v>
      </c>
      <c r="ET544" s="2">
        <v>0</v>
      </c>
      <c r="EU544" s="2">
        <v>0</v>
      </c>
      <c r="EV544" s="2">
        <v>0</v>
      </c>
      <c r="EW544" s="2">
        <v>0</v>
      </c>
      <c r="EX544" s="2">
        <v>0</v>
      </c>
      <c r="EY544" s="2">
        <v>0</v>
      </c>
      <c r="EZ544" s="2"/>
      <c r="FA544" s="2"/>
      <c r="FB544" s="2"/>
      <c r="FC544" s="2"/>
      <c r="FD544" s="2"/>
      <c r="FE544" s="2"/>
      <c r="FF544" s="2"/>
      <c r="FG544" s="2"/>
      <c r="FH544" s="2"/>
      <c r="FI544" s="2"/>
      <c r="FJ544" s="2"/>
      <c r="FK544" s="2"/>
      <c r="FL544" s="2"/>
      <c r="FM544" s="2"/>
      <c r="FN544" s="2"/>
      <c r="FO544" s="2"/>
      <c r="FP544" s="2"/>
      <c r="FQ544" s="2">
        <v>0</v>
      </c>
      <c r="FR544" s="2">
        <f t="shared" ref="FR544:FR553" si="495">ROUND(IF(AND(BH544=3,BI544=3),P544,0),2)</f>
        <v>46264.97</v>
      </c>
      <c r="FS544" s="2">
        <v>0</v>
      </c>
      <c r="FT544" s="2"/>
      <c r="FU544" s="2"/>
      <c r="FV544" s="2"/>
      <c r="FW544" s="2"/>
      <c r="FX544" s="2">
        <v>0</v>
      </c>
      <c r="FY544" s="2">
        <v>0</v>
      </c>
      <c r="FZ544" s="2"/>
      <c r="GA544" s="2" t="s">
        <v>581</v>
      </c>
      <c r="GB544" s="2"/>
      <c r="GC544" s="2"/>
      <c r="GD544" s="2">
        <v>0</v>
      </c>
      <c r="GE544" s="2"/>
      <c r="GF544" s="2">
        <v>-646818213</v>
      </c>
      <c r="GG544" s="2">
        <v>2</v>
      </c>
      <c r="GH544" s="2">
        <v>4</v>
      </c>
      <c r="GI544" s="2">
        <v>3</v>
      </c>
      <c r="GJ544" s="2">
        <v>0</v>
      </c>
      <c r="GK544" s="2">
        <f>ROUND(R544*(R12)/100,2)</f>
        <v>0</v>
      </c>
      <c r="GL544" s="2">
        <f t="shared" ref="GL544:GL553" si="496">ROUND(IF(AND(BH544=3,BI544=3,FS544&lt;&gt;0),P544,0),2)</f>
        <v>0</v>
      </c>
      <c r="GM544" s="2">
        <f t="shared" ref="GM544:GM553" si="497">ROUND(O544+X544+Y544+GK544,2)+GX544</f>
        <v>46264.97</v>
      </c>
      <c r="GN544" s="2">
        <f t="shared" ref="GN544:GN553" si="498">IF(OR(BI544=0,BI544=1),ROUND(O544+X544+Y544+GK544,2),0)</f>
        <v>0</v>
      </c>
      <c r="GO544" s="2">
        <f t="shared" ref="GO544:GO553" si="499">IF(BI544=2,ROUND(O544+X544+Y544+GK544,2),0)</f>
        <v>0</v>
      </c>
      <c r="GP544" s="2">
        <f t="shared" ref="GP544:GP553" si="500">IF(BI544=4,ROUND(O544+X544+Y544+GK544,2)+GX544,0)</f>
        <v>0</v>
      </c>
      <c r="GQ544" s="2"/>
      <c r="GR544" s="2">
        <v>0</v>
      </c>
      <c r="GS544" s="2">
        <v>2</v>
      </c>
      <c r="GT544" s="2">
        <v>0</v>
      </c>
      <c r="GU544" s="2" t="s">
        <v>3</v>
      </c>
      <c r="GV544" s="2">
        <f t="shared" ref="GV544:GV553" si="501">ROUND(GT544,6)</f>
        <v>0</v>
      </c>
      <c r="GW544" s="2">
        <v>1</v>
      </c>
      <c r="GX544" s="2">
        <f t="shared" ref="GX544:GX553" si="502">ROUND(GV544*GW544*I544,2)</f>
        <v>0</v>
      </c>
      <c r="GY544" s="2"/>
      <c r="GZ544" s="2"/>
      <c r="HA544" s="2">
        <v>0</v>
      </c>
      <c r="HB544" s="2">
        <v>0</v>
      </c>
      <c r="HC544" s="2"/>
      <c r="HD544" s="2"/>
      <c r="HE544" s="2"/>
      <c r="HF544" s="2"/>
      <c r="HG544" s="2"/>
      <c r="HH544" s="2"/>
      <c r="HI544" s="2"/>
      <c r="HJ544" s="2"/>
      <c r="HK544" s="2"/>
      <c r="HL544" s="2"/>
      <c r="HM544" s="2"/>
      <c r="HN544" s="2"/>
      <c r="HO544" s="2"/>
      <c r="HP544" s="2"/>
      <c r="HQ544" s="2"/>
      <c r="HR544" s="2"/>
      <c r="HS544" s="2"/>
      <c r="HT544" s="2"/>
      <c r="HU544" s="2"/>
      <c r="HV544" s="2"/>
      <c r="HW544" s="2"/>
      <c r="HX544" s="2"/>
      <c r="HY544" s="2"/>
      <c r="HZ544" s="2"/>
      <c r="IA544" s="2"/>
      <c r="IB544" s="2"/>
      <c r="IC544" s="2"/>
      <c r="ID544" s="2"/>
      <c r="IE544" s="2"/>
      <c r="IF544" s="2"/>
      <c r="IG544" s="2"/>
      <c r="IH544" s="2"/>
      <c r="II544" s="2"/>
      <c r="IJ544" s="2"/>
      <c r="IK544" s="2">
        <v>0</v>
      </c>
      <c r="IL544" s="2"/>
      <c r="IM544" s="2"/>
      <c r="IN544" s="2"/>
      <c r="IO544" s="2"/>
      <c r="IP544" s="2"/>
      <c r="IQ544" s="2"/>
      <c r="IR544" s="2"/>
      <c r="IS544" s="2"/>
      <c r="IT544" s="2"/>
      <c r="IU544" s="2"/>
    </row>
    <row r="545" spans="1:255" x14ac:dyDescent="0.2">
      <c r="A545">
        <v>17</v>
      </c>
      <c r="B545">
        <v>1</v>
      </c>
      <c r="E545" t="s">
        <v>575</v>
      </c>
      <c r="F545" t="s">
        <v>576</v>
      </c>
      <c r="G545" t="s">
        <v>577</v>
      </c>
      <c r="H545" t="s">
        <v>304</v>
      </c>
      <c r="I545">
        <v>1</v>
      </c>
      <c r="J545">
        <v>0</v>
      </c>
      <c r="O545">
        <f t="shared" si="464"/>
        <v>192924.92</v>
      </c>
      <c r="P545">
        <f t="shared" si="465"/>
        <v>192924.92</v>
      </c>
      <c r="Q545">
        <f t="shared" si="466"/>
        <v>0</v>
      </c>
      <c r="R545">
        <f t="shared" si="467"/>
        <v>0</v>
      </c>
      <c r="S545">
        <f t="shared" si="468"/>
        <v>0</v>
      </c>
      <c r="T545">
        <f t="shared" si="469"/>
        <v>0</v>
      </c>
      <c r="U545">
        <f t="shared" si="470"/>
        <v>0</v>
      </c>
      <c r="V545">
        <f t="shared" si="471"/>
        <v>0</v>
      </c>
      <c r="W545">
        <f t="shared" si="472"/>
        <v>0</v>
      </c>
      <c r="X545">
        <f t="shared" si="473"/>
        <v>0</v>
      </c>
      <c r="Y545">
        <f t="shared" si="474"/>
        <v>0</v>
      </c>
      <c r="AA545">
        <v>45037307</v>
      </c>
      <c r="AB545">
        <f t="shared" si="475"/>
        <v>46264.97</v>
      </c>
      <c r="AC545">
        <f t="shared" si="476"/>
        <v>46264.97</v>
      </c>
      <c r="AD545">
        <f t="shared" si="477"/>
        <v>0</v>
      </c>
      <c r="AE545">
        <f t="shared" si="478"/>
        <v>0</v>
      </c>
      <c r="AF545">
        <f t="shared" si="479"/>
        <v>0</v>
      </c>
      <c r="AG545">
        <f t="shared" si="480"/>
        <v>0</v>
      </c>
      <c r="AH545">
        <f t="shared" si="481"/>
        <v>0</v>
      </c>
      <c r="AI545">
        <f t="shared" si="482"/>
        <v>0</v>
      </c>
      <c r="AJ545">
        <f t="shared" si="483"/>
        <v>0</v>
      </c>
      <c r="AK545">
        <v>46264.97</v>
      </c>
      <c r="AL545">
        <v>46264.97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0</v>
      </c>
      <c r="AS545">
        <v>0</v>
      </c>
      <c r="AT545">
        <v>0</v>
      </c>
      <c r="AU545">
        <v>0</v>
      </c>
      <c r="AV545">
        <v>1</v>
      </c>
      <c r="AW545">
        <v>1</v>
      </c>
      <c r="AZ545">
        <v>1</v>
      </c>
      <c r="BA545">
        <v>1</v>
      </c>
      <c r="BB545">
        <v>1</v>
      </c>
      <c r="BC545">
        <v>4.17</v>
      </c>
      <c r="BD545" t="s">
        <v>3</v>
      </c>
      <c r="BE545" t="s">
        <v>3</v>
      </c>
      <c r="BF545" t="s">
        <v>3</v>
      </c>
      <c r="BG545" t="s">
        <v>3</v>
      </c>
      <c r="BH545">
        <v>3</v>
      </c>
      <c r="BI545">
        <v>3</v>
      </c>
      <c r="BJ545" t="s">
        <v>3</v>
      </c>
      <c r="BM545">
        <v>746</v>
      </c>
      <c r="BN545">
        <v>0</v>
      </c>
      <c r="BO545" t="s">
        <v>3</v>
      </c>
      <c r="BP545">
        <v>0</v>
      </c>
      <c r="BQ545">
        <v>130</v>
      </c>
      <c r="BR545">
        <v>0</v>
      </c>
      <c r="BS545">
        <v>1</v>
      </c>
      <c r="BT545">
        <v>1</v>
      </c>
      <c r="BU545">
        <v>1</v>
      </c>
      <c r="BV545">
        <v>1</v>
      </c>
      <c r="BW545">
        <v>1</v>
      </c>
      <c r="BX545">
        <v>1</v>
      </c>
      <c r="BY545" t="s">
        <v>3</v>
      </c>
      <c r="BZ545">
        <v>0</v>
      </c>
      <c r="CA545">
        <v>0</v>
      </c>
      <c r="CF545">
        <v>0</v>
      </c>
      <c r="CG545">
        <v>0</v>
      </c>
      <c r="CM545">
        <v>0</v>
      </c>
      <c r="CN545" t="s">
        <v>3</v>
      </c>
      <c r="CO545">
        <v>0</v>
      </c>
      <c r="CP545">
        <f t="shared" si="484"/>
        <v>192924.92</v>
      </c>
      <c r="CQ545">
        <f t="shared" si="485"/>
        <v>192924.92490000001</v>
      </c>
      <c r="CR545">
        <f t="shared" si="486"/>
        <v>0</v>
      </c>
      <c r="CS545">
        <f t="shared" si="487"/>
        <v>0</v>
      </c>
      <c r="CT545">
        <f t="shared" si="488"/>
        <v>0</v>
      </c>
      <c r="CU545">
        <f t="shared" si="489"/>
        <v>0</v>
      </c>
      <c r="CV545">
        <f t="shared" si="490"/>
        <v>0</v>
      </c>
      <c r="CW545">
        <f t="shared" si="491"/>
        <v>0</v>
      </c>
      <c r="CX545">
        <f t="shared" si="492"/>
        <v>0</v>
      </c>
      <c r="CY545">
        <f t="shared" si="493"/>
        <v>0</v>
      </c>
      <c r="CZ545">
        <f t="shared" si="494"/>
        <v>0</v>
      </c>
      <c r="DC545" t="s">
        <v>3</v>
      </c>
      <c r="DD545" t="s">
        <v>3</v>
      </c>
      <c r="DE545" t="s">
        <v>3</v>
      </c>
      <c r="DF545" t="s">
        <v>3</v>
      </c>
      <c r="DG545" t="s">
        <v>3</v>
      </c>
      <c r="DH545" t="s">
        <v>3</v>
      </c>
      <c r="DI545" t="s">
        <v>3</v>
      </c>
      <c r="DJ545" t="s">
        <v>3</v>
      </c>
      <c r="DK545" t="s">
        <v>3</v>
      </c>
      <c r="DL545" t="s">
        <v>3</v>
      </c>
      <c r="DM545" t="s">
        <v>3</v>
      </c>
      <c r="DN545">
        <v>0</v>
      </c>
      <c r="DO545">
        <v>0</v>
      </c>
      <c r="DP545">
        <v>1</v>
      </c>
      <c r="DQ545">
        <v>1</v>
      </c>
      <c r="DU545">
        <v>1010</v>
      </c>
      <c r="DV545" t="s">
        <v>304</v>
      </c>
      <c r="DW545" t="s">
        <v>304</v>
      </c>
      <c r="DX545">
        <v>1</v>
      </c>
      <c r="EE545">
        <v>44847253</v>
      </c>
      <c r="EF545">
        <v>130</v>
      </c>
      <c r="EG545" t="s">
        <v>578</v>
      </c>
      <c r="EH545">
        <v>0</v>
      </c>
      <c r="EI545" t="s">
        <v>3</v>
      </c>
      <c r="EJ545">
        <v>3</v>
      </c>
      <c r="EK545">
        <v>746</v>
      </c>
      <c r="EL545" t="s">
        <v>579</v>
      </c>
      <c r="EM545" t="s">
        <v>580</v>
      </c>
      <c r="EO545" t="s">
        <v>3</v>
      </c>
      <c r="EQ545">
        <v>131072</v>
      </c>
      <c r="ER545">
        <v>47285.53</v>
      </c>
      <c r="ES545">
        <v>46264.97</v>
      </c>
      <c r="ET545">
        <v>0</v>
      </c>
      <c r="EU545">
        <v>0</v>
      </c>
      <c r="EV545">
        <v>0</v>
      </c>
      <c r="EW545">
        <v>0</v>
      </c>
      <c r="EX545">
        <v>0</v>
      </c>
      <c r="EY545">
        <v>0</v>
      </c>
      <c r="EZ545">
        <v>5</v>
      </c>
      <c r="FC545">
        <v>1</v>
      </c>
      <c r="FD545">
        <v>18</v>
      </c>
      <c r="FF545">
        <v>218400</v>
      </c>
      <c r="FQ545">
        <v>0</v>
      </c>
      <c r="FR545">
        <f t="shared" si="495"/>
        <v>192924.92</v>
      </c>
      <c r="FS545">
        <v>0</v>
      </c>
      <c r="FX545">
        <v>0</v>
      </c>
      <c r="FY545">
        <v>0</v>
      </c>
      <c r="GA545" t="s">
        <v>581</v>
      </c>
      <c r="GD545">
        <v>0</v>
      </c>
      <c r="GF545">
        <v>-646818213</v>
      </c>
      <c r="GG545">
        <v>2</v>
      </c>
      <c r="GH545">
        <v>3</v>
      </c>
      <c r="GI545">
        <v>3</v>
      </c>
      <c r="GJ545">
        <v>0</v>
      </c>
      <c r="GK545">
        <f>ROUND(R545*(S12)/100,2)</f>
        <v>0</v>
      </c>
      <c r="GL545">
        <f t="shared" si="496"/>
        <v>0</v>
      </c>
      <c r="GM545">
        <f t="shared" si="497"/>
        <v>192924.92</v>
      </c>
      <c r="GN545">
        <f t="shared" si="498"/>
        <v>0</v>
      </c>
      <c r="GO545">
        <f t="shared" si="499"/>
        <v>0</v>
      </c>
      <c r="GP545">
        <f t="shared" si="500"/>
        <v>0</v>
      </c>
      <c r="GR545">
        <v>1</v>
      </c>
      <c r="GS545">
        <v>1</v>
      </c>
      <c r="GT545">
        <v>0</v>
      </c>
      <c r="GU545" t="s">
        <v>3</v>
      </c>
      <c r="GV545">
        <f t="shared" si="501"/>
        <v>0</v>
      </c>
      <c r="GW545">
        <v>1</v>
      </c>
      <c r="GX545">
        <f t="shared" si="502"/>
        <v>0</v>
      </c>
      <c r="HA545">
        <v>0</v>
      </c>
      <c r="HB545">
        <v>0</v>
      </c>
      <c r="IK545">
        <v>0</v>
      </c>
    </row>
    <row r="546" spans="1:255" x14ac:dyDescent="0.2">
      <c r="A546" s="2">
        <v>17</v>
      </c>
      <c r="B546" s="2">
        <v>1</v>
      </c>
      <c r="C546" s="2"/>
      <c r="D546" s="2"/>
      <c r="E546" s="2" t="s">
        <v>582</v>
      </c>
      <c r="F546" s="2" t="s">
        <v>258</v>
      </c>
      <c r="G546" s="2" t="s">
        <v>583</v>
      </c>
      <c r="H546" s="2" t="s">
        <v>304</v>
      </c>
      <c r="I546" s="2">
        <v>1</v>
      </c>
      <c r="J546" s="2">
        <v>0</v>
      </c>
      <c r="K546" s="2"/>
      <c r="L546" s="2"/>
      <c r="M546" s="2"/>
      <c r="N546" s="2"/>
      <c r="O546" s="2">
        <f t="shared" si="464"/>
        <v>463.71</v>
      </c>
      <c r="P546" s="2">
        <f t="shared" si="465"/>
        <v>463.71</v>
      </c>
      <c r="Q546" s="2">
        <f t="shared" si="466"/>
        <v>0</v>
      </c>
      <c r="R546" s="2">
        <f t="shared" si="467"/>
        <v>0</v>
      </c>
      <c r="S546" s="2">
        <f t="shared" si="468"/>
        <v>0</v>
      </c>
      <c r="T546" s="2">
        <f t="shared" si="469"/>
        <v>0</v>
      </c>
      <c r="U546" s="2">
        <f t="shared" si="470"/>
        <v>0</v>
      </c>
      <c r="V546" s="2">
        <f t="shared" si="471"/>
        <v>0</v>
      </c>
      <c r="W546" s="2">
        <f t="shared" si="472"/>
        <v>0</v>
      </c>
      <c r="X546" s="2">
        <f t="shared" si="473"/>
        <v>0</v>
      </c>
      <c r="Y546" s="2">
        <f t="shared" si="474"/>
        <v>0</v>
      </c>
      <c r="Z546" s="2"/>
      <c r="AA546" s="2">
        <v>45037306</v>
      </c>
      <c r="AB546" s="2">
        <f t="shared" si="475"/>
        <v>463.71</v>
      </c>
      <c r="AC546" s="2">
        <f t="shared" si="476"/>
        <v>463.71</v>
      </c>
      <c r="AD546" s="2">
        <f t="shared" si="477"/>
        <v>0</v>
      </c>
      <c r="AE546" s="2">
        <f t="shared" si="478"/>
        <v>0</v>
      </c>
      <c r="AF546" s="2">
        <f t="shared" si="479"/>
        <v>0</v>
      </c>
      <c r="AG546" s="2">
        <f t="shared" si="480"/>
        <v>0</v>
      </c>
      <c r="AH546" s="2">
        <f t="shared" si="481"/>
        <v>0</v>
      </c>
      <c r="AI546" s="2">
        <f t="shared" si="482"/>
        <v>0</v>
      </c>
      <c r="AJ546" s="2">
        <f t="shared" si="483"/>
        <v>0</v>
      </c>
      <c r="AK546" s="2">
        <v>463.71000000000004</v>
      </c>
      <c r="AL546" s="2">
        <v>463.71000000000004</v>
      </c>
      <c r="AM546" s="2">
        <v>0</v>
      </c>
      <c r="AN546" s="2">
        <v>0</v>
      </c>
      <c r="AO546" s="2">
        <v>0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1</v>
      </c>
      <c r="AW546" s="2">
        <v>1</v>
      </c>
      <c r="AX546" s="2"/>
      <c r="AY546" s="2"/>
      <c r="AZ546" s="2">
        <v>1</v>
      </c>
      <c r="BA546" s="2">
        <v>1</v>
      </c>
      <c r="BB546" s="2">
        <v>1</v>
      </c>
      <c r="BC546" s="2">
        <v>1</v>
      </c>
      <c r="BD546" s="2" t="s">
        <v>3</v>
      </c>
      <c r="BE546" s="2" t="s">
        <v>3</v>
      </c>
      <c r="BF546" s="2" t="s">
        <v>3</v>
      </c>
      <c r="BG546" s="2" t="s">
        <v>3</v>
      </c>
      <c r="BH546" s="2">
        <v>3</v>
      </c>
      <c r="BI546" s="2">
        <v>3</v>
      </c>
      <c r="BJ546" s="2" t="s">
        <v>3</v>
      </c>
      <c r="BK546" s="2"/>
      <c r="BL546" s="2"/>
      <c r="BM546" s="2">
        <v>746</v>
      </c>
      <c r="BN546" s="2">
        <v>0</v>
      </c>
      <c r="BO546" s="2" t="s">
        <v>3</v>
      </c>
      <c r="BP546" s="2">
        <v>0</v>
      </c>
      <c r="BQ546" s="2">
        <v>130</v>
      </c>
      <c r="BR546" s="2">
        <v>0</v>
      </c>
      <c r="BS546" s="2">
        <v>1</v>
      </c>
      <c r="BT546" s="2">
        <v>1</v>
      </c>
      <c r="BU546" s="2">
        <v>1</v>
      </c>
      <c r="BV546" s="2">
        <v>1</v>
      </c>
      <c r="BW546" s="2">
        <v>1</v>
      </c>
      <c r="BX546" s="2">
        <v>1</v>
      </c>
      <c r="BY546" s="2" t="s">
        <v>3</v>
      </c>
      <c r="BZ546" s="2">
        <v>0</v>
      </c>
      <c r="CA546" s="2">
        <v>0</v>
      </c>
      <c r="CB546" s="2"/>
      <c r="CC546" s="2"/>
      <c r="CD546" s="2"/>
      <c r="CE546" s="2"/>
      <c r="CF546" s="2">
        <v>0</v>
      </c>
      <c r="CG546" s="2">
        <v>0</v>
      </c>
      <c r="CH546" s="2"/>
      <c r="CI546" s="2"/>
      <c r="CJ546" s="2"/>
      <c r="CK546" s="2"/>
      <c r="CL546" s="2"/>
      <c r="CM546" s="2">
        <v>0</v>
      </c>
      <c r="CN546" s="2" t="s">
        <v>3</v>
      </c>
      <c r="CO546" s="2">
        <v>0</v>
      </c>
      <c r="CP546" s="2">
        <f t="shared" si="484"/>
        <v>463.71</v>
      </c>
      <c r="CQ546" s="2">
        <f t="shared" si="485"/>
        <v>463.71</v>
      </c>
      <c r="CR546" s="2">
        <f t="shared" si="486"/>
        <v>0</v>
      </c>
      <c r="CS546" s="2">
        <f t="shared" si="487"/>
        <v>0</v>
      </c>
      <c r="CT546" s="2">
        <f t="shared" si="488"/>
        <v>0</v>
      </c>
      <c r="CU546" s="2">
        <f t="shared" si="489"/>
        <v>0</v>
      </c>
      <c r="CV546" s="2">
        <f t="shared" si="490"/>
        <v>0</v>
      </c>
      <c r="CW546" s="2">
        <f t="shared" si="491"/>
        <v>0</v>
      </c>
      <c r="CX546" s="2">
        <f t="shared" si="492"/>
        <v>0</v>
      </c>
      <c r="CY546" s="2">
        <f t="shared" si="493"/>
        <v>0</v>
      </c>
      <c r="CZ546" s="2">
        <f t="shared" si="494"/>
        <v>0</v>
      </c>
      <c r="DA546" s="2"/>
      <c r="DB546" s="2"/>
      <c r="DC546" s="2" t="s">
        <v>3</v>
      </c>
      <c r="DD546" s="2" t="s">
        <v>3</v>
      </c>
      <c r="DE546" s="2" t="s">
        <v>3</v>
      </c>
      <c r="DF546" s="2" t="s">
        <v>3</v>
      </c>
      <c r="DG546" s="2" t="s">
        <v>3</v>
      </c>
      <c r="DH546" s="2" t="s">
        <v>3</v>
      </c>
      <c r="DI546" s="2" t="s">
        <v>3</v>
      </c>
      <c r="DJ546" s="2" t="s">
        <v>3</v>
      </c>
      <c r="DK546" s="2" t="s">
        <v>3</v>
      </c>
      <c r="DL546" s="2" t="s">
        <v>3</v>
      </c>
      <c r="DM546" s="2" t="s">
        <v>3</v>
      </c>
      <c r="DN546" s="2">
        <v>0</v>
      </c>
      <c r="DO546" s="2">
        <v>0</v>
      </c>
      <c r="DP546" s="2">
        <v>1</v>
      </c>
      <c r="DQ546" s="2">
        <v>1</v>
      </c>
      <c r="DR546" s="2"/>
      <c r="DS546" s="2"/>
      <c r="DT546" s="2"/>
      <c r="DU546" s="2">
        <v>1010</v>
      </c>
      <c r="DV546" s="2" t="s">
        <v>304</v>
      </c>
      <c r="DW546" s="2" t="s">
        <v>304</v>
      </c>
      <c r="DX546" s="2">
        <v>1</v>
      </c>
      <c r="DY546" s="2"/>
      <c r="DZ546" s="2"/>
      <c r="EA546" s="2"/>
      <c r="EB546" s="2"/>
      <c r="EC546" s="2"/>
      <c r="ED546" s="2"/>
      <c r="EE546" s="2">
        <v>44847253</v>
      </c>
      <c r="EF546" s="2">
        <v>130</v>
      </c>
      <c r="EG546" s="2" t="s">
        <v>578</v>
      </c>
      <c r="EH546" s="2">
        <v>0</v>
      </c>
      <c r="EI546" s="2" t="s">
        <v>3</v>
      </c>
      <c r="EJ546" s="2">
        <v>3</v>
      </c>
      <c r="EK546" s="2">
        <v>746</v>
      </c>
      <c r="EL546" s="2" t="s">
        <v>579</v>
      </c>
      <c r="EM546" s="2" t="s">
        <v>580</v>
      </c>
      <c r="EN546" s="2"/>
      <c r="EO546" s="2" t="s">
        <v>3</v>
      </c>
      <c r="EP546" s="2"/>
      <c r="EQ546" s="2">
        <v>131072</v>
      </c>
      <c r="ER546" s="2">
        <v>0</v>
      </c>
      <c r="ES546" s="2">
        <v>463.71000000000004</v>
      </c>
      <c r="ET546" s="2">
        <v>0</v>
      </c>
      <c r="EU546" s="2">
        <v>0</v>
      </c>
      <c r="EV546" s="2">
        <v>0</v>
      </c>
      <c r="EW546" s="2">
        <v>0</v>
      </c>
      <c r="EX546" s="2">
        <v>0</v>
      </c>
      <c r="EY546" s="2">
        <v>0</v>
      </c>
      <c r="EZ546" s="2"/>
      <c r="FA546" s="2"/>
      <c r="FB546" s="2"/>
      <c r="FC546" s="2"/>
      <c r="FD546" s="2"/>
      <c r="FE546" s="2"/>
      <c r="FF546" s="2"/>
      <c r="FG546" s="2"/>
      <c r="FH546" s="2"/>
      <c r="FI546" s="2"/>
      <c r="FJ546" s="2"/>
      <c r="FK546" s="2"/>
      <c r="FL546" s="2"/>
      <c r="FM546" s="2"/>
      <c r="FN546" s="2"/>
      <c r="FO546" s="2"/>
      <c r="FP546" s="2"/>
      <c r="FQ546" s="2">
        <v>0</v>
      </c>
      <c r="FR546" s="2">
        <f t="shared" si="495"/>
        <v>463.71</v>
      </c>
      <c r="FS546" s="2">
        <v>0</v>
      </c>
      <c r="FT546" s="2"/>
      <c r="FU546" s="2"/>
      <c r="FV546" s="2"/>
      <c r="FW546" s="2"/>
      <c r="FX546" s="2">
        <v>0</v>
      </c>
      <c r="FY546" s="2">
        <v>0</v>
      </c>
      <c r="FZ546" s="2"/>
      <c r="GA546" s="2" t="s">
        <v>584</v>
      </c>
      <c r="GB546" s="2"/>
      <c r="GC546" s="2"/>
      <c r="GD546" s="2">
        <v>0</v>
      </c>
      <c r="GE546" s="2"/>
      <c r="GF546" s="2">
        <v>881521822</v>
      </c>
      <c r="GG546" s="2">
        <v>2</v>
      </c>
      <c r="GH546" s="2">
        <v>4</v>
      </c>
      <c r="GI546" s="2">
        <v>3</v>
      </c>
      <c r="GJ546" s="2">
        <v>0</v>
      </c>
      <c r="GK546" s="2">
        <f>ROUND(R546*(R12)/100,2)</f>
        <v>0</v>
      </c>
      <c r="GL546" s="2">
        <f t="shared" si="496"/>
        <v>0</v>
      </c>
      <c r="GM546" s="2">
        <f t="shared" si="497"/>
        <v>463.71</v>
      </c>
      <c r="GN546" s="2">
        <f t="shared" si="498"/>
        <v>0</v>
      </c>
      <c r="GO546" s="2">
        <f t="shared" si="499"/>
        <v>0</v>
      </c>
      <c r="GP546" s="2">
        <f t="shared" si="500"/>
        <v>0</v>
      </c>
      <c r="GQ546" s="2"/>
      <c r="GR546" s="2">
        <v>0</v>
      </c>
      <c r="GS546" s="2">
        <v>2</v>
      </c>
      <c r="GT546" s="2">
        <v>0</v>
      </c>
      <c r="GU546" s="2" t="s">
        <v>3</v>
      </c>
      <c r="GV546" s="2">
        <f t="shared" si="501"/>
        <v>0</v>
      </c>
      <c r="GW546" s="2">
        <v>1</v>
      </c>
      <c r="GX546" s="2">
        <f t="shared" si="502"/>
        <v>0</v>
      </c>
      <c r="GY546" s="2"/>
      <c r="GZ546" s="2"/>
      <c r="HA546" s="2">
        <v>0</v>
      </c>
      <c r="HB546" s="2">
        <v>0</v>
      </c>
      <c r="HC546" s="2"/>
      <c r="HD546" s="2"/>
      <c r="HE546" s="2"/>
      <c r="HF546" s="2"/>
      <c r="HG546" s="2"/>
      <c r="HH546" s="2"/>
      <c r="HI546" s="2"/>
      <c r="HJ546" s="2"/>
      <c r="HK546" s="2"/>
      <c r="HL546" s="2"/>
      <c r="HM546" s="2"/>
      <c r="HN546" s="2"/>
      <c r="HO546" s="2"/>
      <c r="HP546" s="2"/>
      <c r="HQ546" s="2"/>
      <c r="HR546" s="2"/>
      <c r="HS546" s="2"/>
      <c r="HT546" s="2"/>
      <c r="HU546" s="2"/>
      <c r="HV546" s="2"/>
      <c r="HW546" s="2"/>
      <c r="HX546" s="2"/>
      <c r="HY546" s="2"/>
      <c r="HZ546" s="2"/>
      <c r="IA546" s="2"/>
      <c r="IB546" s="2"/>
      <c r="IC546" s="2"/>
      <c r="ID546" s="2"/>
      <c r="IE546" s="2"/>
      <c r="IF546" s="2"/>
      <c r="IG546" s="2"/>
      <c r="IH546" s="2"/>
      <c r="II546" s="2"/>
      <c r="IJ546" s="2"/>
      <c r="IK546" s="2">
        <v>0</v>
      </c>
      <c r="IL546" s="2"/>
      <c r="IM546" s="2"/>
      <c r="IN546" s="2"/>
      <c r="IO546" s="2"/>
      <c r="IP546" s="2"/>
      <c r="IQ546" s="2"/>
      <c r="IR546" s="2"/>
      <c r="IS546" s="2"/>
      <c r="IT546" s="2"/>
      <c r="IU546" s="2"/>
    </row>
    <row r="547" spans="1:255" x14ac:dyDescent="0.2">
      <c r="A547">
        <v>17</v>
      </c>
      <c r="B547">
        <v>1</v>
      </c>
      <c r="E547" t="s">
        <v>582</v>
      </c>
      <c r="F547" t="s">
        <v>258</v>
      </c>
      <c r="G547" t="s">
        <v>583</v>
      </c>
      <c r="H547" t="s">
        <v>304</v>
      </c>
      <c r="I547">
        <v>1</v>
      </c>
      <c r="J547">
        <v>0</v>
      </c>
      <c r="O547">
        <f t="shared" si="464"/>
        <v>1933.67</v>
      </c>
      <c r="P547">
        <f t="shared" si="465"/>
        <v>1933.67</v>
      </c>
      <c r="Q547">
        <f t="shared" si="466"/>
        <v>0</v>
      </c>
      <c r="R547">
        <f t="shared" si="467"/>
        <v>0</v>
      </c>
      <c r="S547">
        <f t="shared" si="468"/>
        <v>0</v>
      </c>
      <c r="T547">
        <f t="shared" si="469"/>
        <v>0</v>
      </c>
      <c r="U547">
        <f t="shared" si="470"/>
        <v>0</v>
      </c>
      <c r="V547">
        <f t="shared" si="471"/>
        <v>0</v>
      </c>
      <c r="W547">
        <f t="shared" si="472"/>
        <v>0</v>
      </c>
      <c r="X547">
        <f t="shared" si="473"/>
        <v>0</v>
      </c>
      <c r="Y547">
        <f t="shared" si="474"/>
        <v>0</v>
      </c>
      <c r="AA547">
        <v>45037307</v>
      </c>
      <c r="AB547">
        <f t="shared" si="475"/>
        <v>463.71</v>
      </c>
      <c r="AC547">
        <f t="shared" si="476"/>
        <v>463.71</v>
      </c>
      <c r="AD547">
        <f t="shared" si="477"/>
        <v>0</v>
      </c>
      <c r="AE547">
        <f t="shared" si="478"/>
        <v>0</v>
      </c>
      <c r="AF547">
        <f t="shared" si="479"/>
        <v>0</v>
      </c>
      <c r="AG547">
        <f t="shared" si="480"/>
        <v>0</v>
      </c>
      <c r="AH547">
        <f t="shared" si="481"/>
        <v>0</v>
      </c>
      <c r="AI547">
        <f t="shared" si="482"/>
        <v>0</v>
      </c>
      <c r="AJ547">
        <f t="shared" si="483"/>
        <v>0</v>
      </c>
      <c r="AK547">
        <v>463.71000000000004</v>
      </c>
      <c r="AL547">
        <v>463.71000000000004</v>
      </c>
      <c r="AM547">
        <v>0</v>
      </c>
      <c r="AN547">
        <v>0</v>
      </c>
      <c r="AO547">
        <v>0</v>
      </c>
      <c r="AP547">
        <v>0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1</v>
      </c>
      <c r="AW547">
        <v>1</v>
      </c>
      <c r="AZ547">
        <v>1</v>
      </c>
      <c r="BA547">
        <v>1</v>
      </c>
      <c r="BB547">
        <v>1</v>
      </c>
      <c r="BC547">
        <v>4.17</v>
      </c>
      <c r="BD547" t="s">
        <v>3</v>
      </c>
      <c r="BE547" t="s">
        <v>3</v>
      </c>
      <c r="BF547" t="s">
        <v>3</v>
      </c>
      <c r="BG547" t="s">
        <v>3</v>
      </c>
      <c r="BH547">
        <v>3</v>
      </c>
      <c r="BI547">
        <v>3</v>
      </c>
      <c r="BJ547" t="s">
        <v>3</v>
      </c>
      <c r="BM547">
        <v>746</v>
      </c>
      <c r="BN547">
        <v>0</v>
      </c>
      <c r="BO547" t="s">
        <v>3</v>
      </c>
      <c r="BP547">
        <v>0</v>
      </c>
      <c r="BQ547">
        <v>130</v>
      </c>
      <c r="BR547">
        <v>0</v>
      </c>
      <c r="BS547">
        <v>1</v>
      </c>
      <c r="BT547">
        <v>1</v>
      </c>
      <c r="BU547">
        <v>1</v>
      </c>
      <c r="BV547">
        <v>1</v>
      </c>
      <c r="BW547">
        <v>1</v>
      </c>
      <c r="BX547">
        <v>1</v>
      </c>
      <c r="BY547" t="s">
        <v>3</v>
      </c>
      <c r="BZ547">
        <v>0</v>
      </c>
      <c r="CA547">
        <v>0</v>
      </c>
      <c r="CF547">
        <v>0</v>
      </c>
      <c r="CG547">
        <v>0</v>
      </c>
      <c r="CM547">
        <v>0</v>
      </c>
      <c r="CN547" t="s">
        <v>3</v>
      </c>
      <c r="CO547">
        <v>0</v>
      </c>
      <c r="CP547">
        <f t="shared" si="484"/>
        <v>1933.67</v>
      </c>
      <c r="CQ547">
        <f t="shared" si="485"/>
        <v>1933.6706999999999</v>
      </c>
      <c r="CR547">
        <f t="shared" si="486"/>
        <v>0</v>
      </c>
      <c r="CS547">
        <f t="shared" si="487"/>
        <v>0</v>
      </c>
      <c r="CT547">
        <f t="shared" si="488"/>
        <v>0</v>
      </c>
      <c r="CU547">
        <f t="shared" si="489"/>
        <v>0</v>
      </c>
      <c r="CV547">
        <f t="shared" si="490"/>
        <v>0</v>
      </c>
      <c r="CW547">
        <f t="shared" si="491"/>
        <v>0</v>
      </c>
      <c r="CX547">
        <f t="shared" si="492"/>
        <v>0</v>
      </c>
      <c r="CY547">
        <f t="shared" si="493"/>
        <v>0</v>
      </c>
      <c r="CZ547">
        <f t="shared" si="494"/>
        <v>0</v>
      </c>
      <c r="DC547" t="s">
        <v>3</v>
      </c>
      <c r="DD547" t="s">
        <v>3</v>
      </c>
      <c r="DE547" t="s">
        <v>3</v>
      </c>
      <c r="DF547" t="s">
        <v>3</v>
      </c>
      <c r="DG547" t="s">
        <v>3</v>
      </c>
      <c r="DH547" t="s">
        <v>3</v>
      </c>
      <c r="DI547" t="s">
        <v>3</v>
      </c>
      <c r="DJ547" t="s">
        <v>3</v>
      </c>
      <c r="DK547" t="s">
        <v>3</v>
      </c>
      <c r="DL547" t="s">
        <v>3</v>
      </c>
      <c r="DM547" t="s">
        <v>3</v>
      </c>
      <c r="DN547">
        <v>0</v>
      </c>
      <c r="DO547">
        <v>0</v>
      </c>
      <c r="DP547">
        <v>1</v>
      </c>
      <c r="DQ547">
        <v>1</v>
      </c>
      <c r="DU547">
        <v>1010</v>
      </c>
      <c r="DV547" t="s">
        <v>304</v>
      </c>
      <c r="DW547" t="s">
        <v>304</v>
      </c>
      <c r="DX547">
        <v>1</v>
      </c>
      <c r="EE547">
        <v>44847253</v>
      </c>
      <c r="EF547">
        <v>130</v>
      </c>
      <c r="EG547" t="s">
        <v>578</v>
      </c>
      <c r="EH547">
        <v>0</v>
      </c>
      <c r="EI547" t="s">
        <v>3</v>
      </c>
      <c r="EJ547">
        <v>3</v>
      </c>
      <c r="EK547">
        <v>746</v>
      </c>
      <c r="EL547" t="s">
        <v>579</v>
      </c>
      <c r="EM547" t="s">
        <v>580</v>
      </c>
      <c r="EO547" t="s">
        <v>3</v>
      </c>
      <c r="EQ547">
        <v>131072</v>
      </c>
      <c r="ER547">
        <v>1933.66</v>
      </c>
      <c r="ES547">
        <v>463.71000000000004</v>
      </c>
      <c r="ET547">
        <v>0</v>
      </c>
      <c r="EU547">
        <v>0</v>
      </c>
      <c r="EV547">
        <v>0</v>
      </c>
      <c r="EW547">
        <v>0</v>
      </c>
      <c r="EX547">
        <v>0</v>
      </c>
      <c r="EY547">
        <v>0</v>
      </c>
      <c r="EZ547">
        <v>5</v>
      </c>
      <c r="FC547">
        <v>1</v>
      </c>
      <c r="FD547">
        <v>18</v>
      </c>
      <c r="FF547">
        <v>2189</v>
      </c>
      <c r="FQ547">
        <v>0</v>
      </c>
      <c r="FR547">
        <f t="shared" si="495"/>
        <v>1933.67</v>
      </c>
      <c r="FS547">
        <v>0</v>
      </c>
      <c r="FX547">
        <v>0</v>
      </c>
      <c r="FY547">
        <v>0</v>
      </c>
      <c r="GA547" t="s">
        <v>584</v>
      </c>
      <c r="GD547">
        <v>0</v>
      </c>
      <c r="GF547">
        <v>881521822</v>
      </c>
      <c r="GG547">
        <v>2</v>
      </c>
      <c r="GH547">
        <v>3</v>
      </c>
      <c r="GI547">
        <v>3</v>
      </c>
      <c r="GJ547">
        <v>0</v>
      </c>
      <c r="GK547">
        <f>ROUND(R547*(S12)/100,2)</f>
        <v>0</v>
      </c>
      <c r="GL547">
        <f t="shared" si="496"/>
        <v>0</v>
      </c>
      <c r="GM547">
        <f t="shared" si="497"/>
        <v>1933.67</v>
      </c>
      <c r="GN547">
        <f t="shared" si="498"/>
        <v>0</v>
      </c>
      <c r="GO547">
        <f t="shared" si="499"/>
        <v>0</v>
      </c>
      <c r="GP547">
        <f t="shared" si="500"/>
        <v>0</v>
      </c>
      <c r="GR547">
        <v>1</v>
      </c>
      <c r="GS547">
        <v>1</v>
      </c>
      <c r="GT547">
        <v>0</v>
      </c>
      <c r="GU547" t="s">
        <v>3</v>
      </c>
      <c r="GV547">
        <f t="shared" si="501"/>
        <v>0</v>
      </c>
      <c r="GW547">
        <v>1</v>
      </c>
      <c r="GX547">
        <f t="shared" si="502"/>
        <v>0</v>
      </c>
      <c r="HA547">
        <v>0</v>
      </c>
      <c r="HB547">
        <v>0</v>
      </c>
      <c r="IK547">
        <v>0</v>
      </c>
    </row>
    <row r="548" spans="1:255" x14ac:dyDescent="0.2">
      <c r="A548" s="2">
        <v>17</v>
      </c>
      <c r="B548" s="2">
        <v>1</v>
      </c>
      <c r="C548" s="2"/>
      <c r="D548" s="2"/>
      <c r="E548" s="2" t="s">
        <v>585</v>
      </c>
      <c r="F548" s="2" t="s">
        <v>258</v>
      </c>
      <c r="G548" s="2" t="s">
        <v>586</v>
      </c>
      <c r="H548" s="2" t="s">
        <v>304</v>
      </c>
      <c r="I548" s="2">
        <v>2</v>
      </c>
      <c r="J548" s="2">
        <v>0</v>
      </c>
      <c r="K548" s="2"/>
      <c r="L548" s="2"/>
      <c r="M548" s="2"/>
      <c r="N548" s="2"/>
      <c r="O548" s="2">
        <f t="shared" si="464"/>
        <v>1240.5</v>
      </c>
      <c r="P548" s="2">
        <f t="shared" si="465"/>
        <v>1240.5</v>
      </c>
      <c r="Q548" s="2">
        <f t="shared" si="466"/>
        <v>0</v>
      </c>
      <c r="R548" s="2">
        <f t="shared" si="467"/>
        <v>0</v>
      </c>
      <c r="S548" s="2">
        <f t="shared" si="468"/>
        <v>0</v>
      </c>
      <c r="T548" s="2">
        <f t="shared" si="469"/>
        <v>0</v>
      </c>
      <c r="U548" s="2">
        <f t="shared" si="470"/>
        <v>0</v>
      </c>
      <c r="V548" s="2">
        <f t="shared" si="471"/>
        <v>0</v>
      </c>
      <c r="W548" s="2">
        <f t="shared" si="472"/>
        <v>0</v>
      </c>
      <c r="X548" s="2">
        <f t="shared" si="473"/>
        <v>0</v>
      </c>
      <c r="Y548" s="2">
        <f t="shared" si="474"/>
        <v>0</v>
      </c>
      <c r="Z548" s="2"/>
      <c r="AA548" s="2">
        <v>45037306</v>
      </c>
      <c r="AB548" s="2">
        <f t="shared" si="475"/>
        <v>620.25</v>
      </c>
      <c r="AC548" s="2">
        <f t="shared" si="476"/>
        <v>620.25</v>
      </c>
      <c r="AD548" s="2">
        <f t="shared" si="477"/>
        <v>0</v>
      </c>
      <c r="AE548" s="2">
        <f t="shared" si="478"/>
        <v>0</v>
      </c>
      <c r="AF548" s="2">
        <f t="shared" si="479"/>
        <v>0</v>
      </c>
      <c r="AG548" s="2">
        <f t="shared" si="480"/>
        <v>0</v>
      </c>
      <c r="AH548" s="2">
        <f t="shared" si="481"/>
        <v>0</v>
      </c>
      <c r="AI548" s="2">
        <f t="shared" si="482"/>
        <v>0</v>
      </c>
      <c r="AJ548" s="2">
        <f t="shared" si="483"/>
        <v>0</v>
      </c>
      <c r="AK548" s="2">
        <v>620.25</v>
      </c>
      <c r="AL548" s="2">
        <v>620.25</v>
      </c>
      <c r="AM548" s="2">
        <v>0</v>
      </c>
      <c r="AN548" s="2">
        <v>0</v>
      </c>
      <c r="AO548" s="2">
        <v>0</v>
      </c>
      <c r="AP548" s="2">
        <v>0</v>
      </c>
      <c r="AQ548" s="2">
        <v>0</v>
      </c>
      <c r="AR548" s="2">
        <v>0</v>
      </c>
      <c r="AS548" s="2">
        <v>0</v>
      </c>
      <c r="AT548" s="2">
        <v>0</v>
      </c>
      <c r="AU548" s="2">
        <v>0</v>
      </c>
      <c r="AV548" s="2">
        <v>1</v>
      </c>
      <c r="AW548" s="2">
        <v>1</v>
      </c>
      <c r="AX548" s="2"/>
      <c r="AY548" s="2"/>
      <c r="AZ548" s="2">
        <v>1</v>
      </c>
      <c r="BA548" s="2">
        <v>1</v>
      </c>
      <c r="BB548" s="2">
        <v>1</v>
      </c>
      <c r="BC548" s="2">
        <v>1</v>
      </c>
      <c r="BD548" s="2" t="s">
        <v>3</v>
      </c>
      <c r="BE548" s="2" t="s">
        <v>3</v>
      </c>
      <c r="BF548" s="2" t="s">
        <v>3</v>
      </c>
      <c r="BG548" s="2" t="s">
        <v>3</v>
      </c>
      <c r="BH548" s="2">
        <v>3</v>
      </c>
      <c r="BI548" s="2">
        <v>3</v>
      </c>
      <c r="BJ548" s="2" t="s">
        <v>3</v>
      </c>
      <c r="BK548" s="2"/>
      <c r="BL548" s="2"/>
      <c r="BM548" s="2">
        <v>746</v>
      </c>
      <c r="BN548" s="2">
        <v>0</v>
      </c>
      <c r="BO548" s="2" t="s">
        <v>3</v>
      </c>
      <c r="BP548" s="2">
        <v>0</v>
      </c>
      <c r="BQ548" s="2">
        <v>130</v>
      </c>
      <c r="BR548" s="2">
        <v>0</v>
      </c>
      <c r="BS548" s="2">
        <v>1</v>
      </c>
      <c r="BT548" s="2">
        <v>1</v>
      </c>
      <c r="BU548" s="2">
        <v>1</v>
      </c>
      <c r="BV548" s="2">
        <v>1</v>
      </c>
      <c r="BW548" s="2">
        <v>1</v>
      </c>
      <c r="BX548" s="2">
        <v>1</v>
      </c>
      <c r="BY548" s="2" t="s">
        <v>3</v>
      </c>
      <c r="BZ548" s="2">
        <v>0</v>
      </c>
      <c r="CA548" s="2">
        <v>0</v>
      </c>
      <c r="CB548" s="2"/>
      <c r="CC548" s="2"/>
      <c r="CD548" s="2"/>
      <c r="CE548" s="2"/>
      <c r="CF548" s="2">
        <v>0</v>
      </c>
      <c r="CG548" s="2">
        <v>0</v>
      </c>
      <c r="CH548" s="2"/>
      <c r="CI548" s="2"/>
      <c r="CJ548" s="2"/>
      <c r="CK548" s="2"/>
      <c r="CL548" s="2"/>
      <c r="CM548" s="2">
        <v>0</v>
      </c>
      <c r="CN548" s="2" t="s">
        <v>3</v>
      </c>
      <c r="CO548" s="2">
        <v>0</v>
      </c>
      <c r="CP548" s="2">
        <f t="shared" si="484"/>
        <v>1240.5</v>
      </c>
      <c r="CQ548" s="2">
        <f t="shared" si="485"/>
        <v>620.25</v>
      </c>
      <c r="CR548" s="2">
        <f t="shared" si="486"/>
        <v>0</v>
      </c>
      <c r="CS548" s="2">
        <f t="shared" si="487"/>
        <v>0</v>
      </c>
      <c r="CT548" s="2">
        <f t="shared" si="488"/>
        <v>0</v>
      </c>
      <c r="CU548" s="2">
        <f t="shared" si="489"/>
        <v>0</v>
      </c>
      <c r="CV548" s="2">
        <f t="shared" si="490"/>
        <v>0</v>
      </c>
      <c r="CW548" s="2">
        <f t="shared" si="491"/>
        <v>0</v>
      </c>
      <c r="CX548" s="2">
        <f t="shared" si="492"/>
        <v>0</v>
      </c>
      <c r="CY548" s="2">
        <f t="shared" si="493"/>
        <v>0</v>
      </c>
      <c r="CZ548" s="2">
        <f t="shared" si="494"/>
        <v>0</v>
      </c>
      <c r="DA548" s="2"/>
      <c r="DB548" s="2"/>
      <c r="DC548" s="2" t="s">
        <v>3</v>
      </c>
      <c r="DD548" s="2" t="s">
        <v>3</v>
      </c>
      <c r="DE548" s="2" t="s">
        <v>3</v>
      </c>
      <c r="DF548" s="2" t="s">
        <v>3</v>
      </c>
      <c r="DG548" s="2" t="s">
        <v>3</v>
      </c>
      <c r="DH548" s="2" t="s">
        <v>3</v>
      </c>
      <c r="DI548" s="2" t="s">
        <v>3</v>
      </c>
      <c r="DJ548" s="2" t="s">
        <v>3</v>
      </c>
      <c r="DK548" s="2" t="s">
        <v>3</v>
      </c>
      <c r="DL548" s="2" t="s">
        <v>3</v>
      </c>
      <c r="DM548" s="2" t="s">
        <v>3</v>
      </c>
      <c r="DN548" s="2">
        <v>0</v>
      </c>
      <c r="DO548" s="2">
        <v>0</v>
      </c>
      <c r="DP548" s="2">
        <v>1</v>
      </c>
      <c r="DQ548" s="2">
        <v>1</v>
      </c>
      <c r="DR548" s="2"/>
      <c r="DS548" s="2"/>
      <c r="DT548" s="2"/>
      <c r="DU548" s="2">
        <v>1010</v>
      </c>
      <c r="DV548" s="2" t="s">
        <v>304</v>
      </c>
      <c r="DW548" s="2" t="s">
        <v>304</v>
      </c>
      <c r="DX548" s="2">
        <v>1</v>
      </c>
      <c r="DY548" s="2"/>
      <c r="DZ548" s="2"/>
      <c r="EA548" s="2"/>
      <c r="EB548" s="2"/>
      <c r="EC548" s="2"/>
      <c r="ED548" s="2"/>
      <c r="EE548" s="2">
        <v>44847253</v>
      </c>
      <c r="EF548" s="2">
        <v>130</v>
      </c>
      <c r="EG548" s="2" t="s">
        <v>578</v>
      </c>
      <c r="EH548" s="2">
        <v>0</v>
      </c>
      <c r="EI548" s="2" t="s">
        <v>3</v>
      </c>
      <c r="EJ548" s="2">
        <v>3</v>
      </c>
      <c r="EK548" s="2">
        <v>746</v>
      </c>
      <c r="EL548" s="2" t="s">
        <v>579</v>
      </c>
      <c r="EM548" s="2" t="s">
        <v>580</v>
      </c>
      <c r="EN548" s="2"/>
      <c r="EO548" s="2" t="s">
        <v>3</v>
      </c>
      <c r="EP548" s="2"/>
      <c r="EQ548" s="2">
        <v>131072</v>
      </c>
      <c r="ER548" s="2">
        <v>0</v>
      </c>
      <c r="ES548" s="2">
        <v>620.25</v>
      </c>
      <c r="ET548" s="2">
        <v>0</v>
      </c>
      <c r="EU548" s="2">
        <v>0</v>
      </c>
      <c r="EV548" s="2">
        <v>0</v>
      </c>
      <c r="EW548" s="2">
        <v>0</v>
      </c>
      <c r="EX548" s="2">
        <v>0</v>
      </c>
      <c r="EY548" s="2">
        <v>0</v>
      </c>
      <c r="EZ548" s="2"/>
      <c r="FA548" s="2"/>
      <c r="FB548" s="2"/>
      <c r="FC548" s="2"/>
      <c r="FD548" s="2"/>
      <c r="FE548" s="2"/>
      <c r="FF548" s="2"/>
      <c r="FG548" s="2"/>
      <c r="FH548" s="2"/>
      <c r="FI548" s="2"/>
      <c r="FJ548" s="2"/>
      <c r="FK548" s="2"/>
      <c r="FL548" s="2"/>
      <c r="FM548" s="2"/>
      <c r="FN548" s="2"/>
      <c r="FO548" s="2"/>
      <c r="FP548" s="2"/>
      <c r="FQ548" s="2">
        <v>0</v>
      </c>
      <c r="FR548" s="2">
        <f t="shared" si="495"/>
        <v>1240.5</v>
      </c>
      <c r="FS548" s="2">
        <v>0</v>
      </c>
      <c r="FT548" s="2"/>
      <c r="FU548" s="2"/>
      <c r="FV548" s="2"/>
      <c r="FW548" s="2"/>
      <c r="FX548" s="2">
        <v>0</v>
      </c>
      <c r="FY548" s="2">
        <v>0</v>
      </c>
      <c r="FZ548" s="2"/>
      <c r="GA548" s="2" t="s">
        <v>587</v>
      </c>
      <c r="GB548" s="2"/>
      <c r="GC548" s="2"/>
      <c r="GD548" s="2">
        <v>0</v>
      </c>
      <c r="GE548" s="2"/>
      <c r="GF548" s="2">
        <v>-733173380</v>
      </c>
      <c r="GG548" s="2">
        <v>2</v>
      </c>
      <c r="GH548" s="2">
        <v>4</v>
      </c>
      <c r="GI548" s="2">
        <v>3</v>
      </c>
      <c r="GJ548" s="2">
        <v>0</v>
      </c>
      <c r="GK548" s="2">
        <f>ROUND(R548*(R12)/100,2)</f>
        <v>0</v>
      </c>
      <c r="GL548" s="2">
        <f t="shared" si="496"/>
        <v>0</v>
      </c>
      <c r="GM548" s="2">
        <f t="shared" si="497"/>
        <v>1240.5</v>
      </c>
      <c r="GN548" s="2">
        <f t="shared" si="498"/>
        <v>0</v>
      </c>
      <c r="GO548" s="2">
        <f t="shared" si="499"/>
        <v>0</v>
      </c>
      <c r="GP548" s="2">
        <f t="shared" si="500"/>
        <v>0</v>
      </c>
      <c r="GQ548" s="2"/>
      <c r="GR548" s="2">
        <v>0</v>
      </c>
      <c r="GS548" s="2">
        <v>2</v>
      </c>
      <c r="GT548" s="2">
        <v>0</v>
      </c>
      <c r="GU548" s="2" t="s">
        <v>3</v>
      </c>
      <c r="GV548" s="2">
        <f t="shared" si="501"/>
        <v>0</v>
      </c>
      <c r="GW548" s="2">
        <v>1</v>
      </c>
      <c r="GX548" s="2">
        <f t="shared" si="502"/>
        <v>0</v>
      </c>
      <c r="GY548" s="2"/>
      <c r="GZ548" s="2"/>
      <c r="HA548" s="2">
        <v>0</v>
      </c>
      <c r="HB548" s="2">
        <v>0</v>
      </c>
      <c r="HC548" s="2"/>
      <c r="HD548" s="2"/>
      <c r="HE548" s="2"/>
      <c r="HF548" s="2"/>
      <c r="HG548" s="2"/>
      <c r="HH548" s="2"/>
      <c r="HI548" s="2"/>
      <c r="HJ548" s="2"/>
      <c r="HK548" s="2"/>
      <c r="HL548" s="2"/>
      <c r="HM548" s="2"/>
      <c r="HN548" s="2"/>
      <c r="HO548" s="2"/>
      <c r="HP548" s="2"/>
      <c r="HQ548" s="2"/>
      <c r="HR548" s="2"/>
      <c r="HS548" s="2"/>
      <c r="HT548" s="2"/>
      <c r="HU548" s="2"/>
      <c r="HV548" s="2"/>
      <c r="HW548" s="2"/>
      <c r="HX548" s="2"/>
      <c r="HY548" s="2"/>
      <c r="HZ548" s="2"/>
      <c r="IA548" s="2"/>
      <c r="IB548" s="2"/>
      <c r="IC548" s="2"/>
      <c r="ID548" s="2"/>
      <c r="IE548" s="2"/>
      <c r="IF548" s="2"/>
      <c r="IG548" s="2"/>
      <c r="IH548" s="2"/>
      <c r="II548" s="2"/>
      <c r="IJ548" s="2"/>
      <c r="IK548" s="2">
        <v>0</v>
      </c>
      <c r="IL548" s="2"/>
      <c r="IM548" s="2"/>
      <c r="IN548" s="2"/>
      <c r="IO548" s="2"/>
      <c r="IP548" s="2"/>
      <c r="IQ548" s="2"/>
      <c r="IR548" s="2"/>
      <c r="IS548" s="2"/>
      <c r="IT548" s="2"/>
      <c r="IU548" s="2"/>
    </row>
    <row r="549" spans="1:255" x14ac:dyDescent="0.2">
      <c r="A549">
        <v>17</v>
      </c>
      <c r="B549">
        <v>1</v>
      </c>
      <c r="E549" t="s">
        <v>585</v>
      </c>
      <c r="F549" t="s">
        <v>258</v>
      </c>
      <c r="G549" t="s">
        <v>586</v>
      </c>
      <c r="H549" t="s">
        <v>304</v>
      </c>
      <c r="I549">
        <v>2</v>
      </c>
      <c r="J549">
        <v>0</v>
      </c>
      <c r="O549">
        <f t="shared" si="464"/>
        <v>5172.8900000000003</v>
      </c>
      <c r="P549">
        <f t="shared" si="465"/>
        <v>5172.8900000000003</v>
      </c>
      <c r="Q549">
        <f t="shared" si="466"/>
        <v>0</v>
      </c>
      <c r="R549">
        <f t="shared" si="467"/>
        <v>0</v>
      </c>
      <c r="S549">
        <f t="shared" si="468"/>
        <v>0</v>
      </c>
      <c r="T549">
        <f t="shared" si="469"/>
        <v>0</v>
      </c>
      <c r="U549">
        <f t="shared" si="470"/>
        <v>0</v>
      </c>
      <c r="V549">
        <f t="shared" si="471"/>
        <v>0</v>
      </c>
      <c r="W549">
        <f t="shared" si="472"/>
        <v>0</v>
      </c>
      <c r="X549">
        <f t="shared" si="473"/>
        <v>0</v>
      </c>
      <c r="Y549">
        <f t="shared" si="474"/>
        <v>0</v>
      </c>
      <c r="AA549">
        <v>45037307</v>
      </c>
      <c r="AB549">
        <f t="shared" si="475"/>
        <v>620.25</v>
      </c>
      <c r="AC549">
        <f t="shared" si="476"/>
        <v>620.25</v>
      </c>
      <c r="AD549">
        <f t="shared" si="477"/>
        <v>0</v>
      </c>
      <c r="AE549">
        <f t="shared" si="478"/>
        <v>0</v>
      </c>
      <c r="AF549">
        <f t="shared" si="479"/>
        <v>0</v>
      </c>
      <c r="AG549">
        <f t="shared" si="480"/>
        <v>0</v>
      </c>
      <c r="AH549">
        <f t="shared" si="481"/>
        <v>0</v>
      </c>
      <c r="AI549">
        <f t="shared" si="482"/>
        <v>0</v>
      </c>
      <c r="AJ549">
        <f t="shared" si="483"/>
        <v>0</v>
      </c>
      <c r="AK549">
        <v>620.25</v>
      </c>
      <c r="AL549">
        <v>620.25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1</v>
      </c>
      <c r="AW549">
        <v>1</v>
      </c>
      <c r="AZ549">
        <v>1</v>
      </c>
      <c r="BA549">
        <v>1</v>
      </c>
      <c r="BB549">
        <v>1</v>
      </c>
      <c r="BC549">
        <v>4.17</v>
      </c>
      <c r="BD549" t="s">
        <v>3</v>
      </c>
      <c r="BE549" t="s">
        <v>3</v>
      </c>
      <c r="BF549" t="s">
        <v>3</v>
      </c>
      <c r="BG549" t="s">
        <v>3</v>
      </c>
      <c r="BH549">
        <v>3</v>
      </c>
      <c r="BI549">
        <v>3</v>
      </c>
      <c r="BJ549" t="s">
        <v>3</v>
      </c>
      <c r="BM549">
        <v>746</v>
      </c>
      <c r="BN549">
        <v>0</v>
      </c>
      <c r="BO549" t="s">
        <v>3</v>
      </c>
      <c r="BP549">
        <v>0</v>
      </c>
      <c r="BQ549">
        <v>130</v>
      </c>
      <c r="BR549">
        <v>0</v>
      </c>
      <c r="BS549">
        <v>1</v>
      </c>
      <c r="BT549">
        <v>1</v>
      </c>
      <c r="BU549">
        <v>1</v>
      </c>
      <c r="BV549">
        <v>1</v>
      </c>
      <c r="BW549">
        <v>1</v>
      </c>
      <c r="BX549">
        <v>1</v>
      </c>
      <c r="BY549" t="s">
        <v>3</v>
      </c>
      <c r="BZ549">
        <v>0</v>
      </c>
      <c r="CA549">
        <v>0</v>
      </c>
      <c r="CF549">
        <v>0</v>
      </c>
      <c r="CG549">
        <v>0</v>
      </c>
      <c r="CM549">
        <v>0</v>
      </c>
      <c r="CN549" t="s">
        <v>3</v>
      </c>
      <c r="CO549">
        <v>0</v>
      </c>
      <c r="CP549">
        <f t="shared" si="484"/>
        <v>5172.8900000000003</v>
      </c>
      <c r="CQ549">
        <f t="shared" si="485"/>
        <v>2586.4425000000001</v>
      </c>
      <c r="CR549">
        <f t="shared" si="486"/>
        <v>0</v>
      </c>
      <c r="CS549">
        <f t="shared" si="487"/>
        <v>0</v>
      </c>
      <c r="CT549">
        <f t="shared" si="488"/>
        <v>0</v>
      </c>
      <c r="CU549">
        <f t="shared" si="489"/>
        <v>0</v>
      </c>
      <c r="CV549">
        <f t="shared" si="490"/>
        <v>0</v>
      </c>
      <c r="CW549">
        <f t="shared" si="491"/>
        <v>0</v>
      </c>
      <c r="CX549">
        <f t="shared" si="492"/>
        <v>0</v>
      </c>
      <c r="CY549">
        <f t="shared" si="493"/>
        <v>0</v>
      </c>
      <c r="CZ549">
        <f t="shared" si="494"/>
        <v>0</v>
      </c>
      <c r="DC549" t="s">
        <v>3</v>
      </c>
      <c r="DD549" t="s">
        <v>3</v>
      </c>
      <c r="DE549" t="s">
        <v>3</v>
      </c>
      <c r="DF549" t="s">
        <v>3</v>
      </c>
      <c r="DG549" t="s">
        <v>3</v>
      </c>
      <c r="DH549" t="s">
        <v>3</v>
      </c>
      <c r="DI549" t="s">
        <v>3</v>
      </c>
      <c r="DJ549" t="s">
        <v>3</v>
      </c>
      <c r="DK549" t="s">
        <v>3</v>
      </c>
      <c r="DL549" t="s">
        <v>3</v>
      </c>
      <c r="DM549" t="s">
        <v>3</v>
      </c>
      <c r="DN549">
        <v>0</v>
      </c>
      <c r="DO549">
        <v>0</v>
      </c>
      <c r="DP549">
        <v>1</v>
      </c>
      <c r="DQ549">
        <v>1</v>
      </c>
      <c r="DU549">
        <v>1010</v>
      </c>
      <c r="DV549" t="s">
        <v>304</v>
      </c>
      <c r="DW549" t="s">
        <v>304</v>
      </c>
      <c r="DX549">
        <v>1</v>
      </c>
      <c r="EE549">
        <v>44847253</v>
      </c>
      <c r="EF549">
        <v>130</v>
      </c>
      <c r="EG549" t="s">
        <v>578</v>
      </c>
      <c r="EH549">
        <v>0</v>
      </c>
      <c r="EI549" t="s">
        <v>3</v>
      </c>
      <c r="EJ549">
        <v>3</v>
      </c>
      <c r="EK549">
        <v>746</v>
      </c>
      <c r="EL549" t="s">
        <v>579</v>
      </c>
      <c r="EM549" t="s">
        <v>580</v>
      </c>
      <c r="EO549" t="s">
        <v>3</v>
      </c>
      <c r="EQ549">
        <v>131072</v>
      </c>
      <c r="ER549">
        <v>2586.4700000000003</v>
      </c>
      <c r="ES549">
        <v>620.25</v>
      </c>
      <c r="ET549">
        <v>0</v>
      </c>
      <c r="EU549">
        <v>0</v>
      </c>
      <c r="EV549">
        <v>0</v>
      </c>
      <c r="EW549">
        <v>0</v>
      </c>
      <c r="EX549">
        <v>0</v>
      </c>
      <c r="EY549">
        <v>0</v>
      </c>
      <c r="EZ549">
        <v>5</v>
      </c>
      <c r="FC549">
        <v>1</v>
      </c>
      <c r="FD549">
        <v>18</v>
      </c>
      <c r="FF549">
        <v>2928</v>
      </c>
      <c r="FQ549">
        <v>0</v>
      </c>
      <c r="FR549">
        <f t="shared" si="495"/>
        <v>5172.8900000000003</v>
      </c>
      <c r="FS549">
        <v>0</v>
      </c>
      <c r="FX549">
        <v>0</v>
      </c>
      <c r="FY549">
        <v>0</v>
      </c>
      <c r="GA549" t="s">
        <v>587</v>
      </c>
      <c r="GD549">
        <v>0</v>
      </c>
      <c r="GF549">
        <v>-733173380</v>
      </c>
      <c r="GG549">
        <v>2</v>
      </c>
      <c r="GH549">
        <v>3</v>
      </c>
      <c r="GI549">
        <v>3</v>
      </c>
      <c r="GJ549">
        <v>0</v>
      </c>
      <c r="GK549">
        <f>ROUND(R549*(S12)/100,2)</f>
        <v>0</v>
      </c>
      <c r="GL549">
        <f t="shared" si="496"/>
        <v>0</v>
      </c>
      <c r="GM549">
        <f t="shared" si="497"/>
        <v>5172.8900000000003</v>
      </c>
      <c r="GN549">
        <f t="shared" si="498"/>
        <v>0</v>
      </c>
      <c r="GO549">
        <f t="shared" si="499"/>
        <v>0</v>
      </c>
      <c r="GP549">
        <f t="shared" si="500"/>
        <v>0</v>
      </c>
      <c r="GR549">
        <v>1</v>
      </c>
      <c r="GS549">
        <v>1</v>
      </c>
      <c r="GT549">
        <v>0</v>
      </c>
      <c r="GU549" t="s">
        <v>3</v>
      </c>
      <c r="GV549">
        <f t="shared" si="501"/>
        <v>0</v>
      </c>
      <c r="GW549">
        <v>1</v>
      </c>
      <c r="GX549">
        <f t="shared" si="502"/>
        <v>0</v>
      </c>
      <c r="HA549">
        <v>0</v>
      </c>
      <c r="HB549">
        <v>0</v>
      </c>
      <c r="IK549">
        <v>0</v>
      </c>
    </row>
    <row r="550" spans="1:255" x14ac:dyDescent="0.2">
      <c r="A550" s="2">
        <v>17</v>
      </c>
      <c r="B550" s="2">
        <v>1</v>
      </c>
      <c r="C550" s="2"/>
      <c r="D550" s="2"/>
      <c r="E550" s="2" t="s">
        <v>588</v>
      </c>
      <c r="F550" s="2" t="s">
        <v>258</v>
      </c>
      <c r="G550" s="2" t="s">
        <v>589</v>
      </c>
      <c r="H550" s="2" t="s">
        <v>304</v>
      </c>
      <c r="I550" s="2">
        <v>1</v>
      </c>
      <c r="J550" s="2">
        <v>0</v>
      </c>
      <c r="K550" s="2"/>
      <c r="L550" s="2"/>
      <c r="M550" s="2"/>
      <c r="N550" s="2"/>
      <c r="O550" s="2">
        <f t="shared" si="464"/>
        <v>751.93</v>
      </c>
      <c r="P550" s="2">
        <f t="shared" si="465"/>
        <v>751.93</v>
      </c>
      <c r="Q550" s="2">
        <f t="shared" si="466"/>
        <v>0</v>
      </c>
      <c r="R550" s="2">
        <f t="shared" si="467"/>
        <v>0</v>
      </c>
      <c r="S550" s="2">
        <f t="shared" si="468"/>
        <v>0</v>
      </c>
      <c r="T550" s="2">
        <f t="shared" si="469"/>
        <v>0</v>
      </c>
      <c r="U550" s="2">
        <f t="shared" si="470"/>
        <v>0</v>
      </c>
      <c r="V550" s="2">
        <f t="shared" si="471"/>
        <v>0</v>
      </c>
      <c r="W550" s="2">
        <f t="shared" si="472"/>
        <v>0</v>
      </c>
      <c r="X550" s="2">
        <f t="shared" si="473"/>
        <v>0</v>
      </c>
      <c r="Y550" s="2">
        <f t="shared" si="474"/>
        <v>0</v>
      </c>
      <c r="Z550" s="2"/>
      <c r="AA550" s="2">
        <v>45037306</v>
      </c>
      <c r="AB550" s="2">
        <f t="shared" si="475"/>
        <v>751.93</v>
      </c>
      <c r="AC550" s="2">
        <f t="shared" si="476"/>
        <v>751.93</v>
      </c>
      <c r="AD550" s="2">
        <f t="shared" si="477"/>
        <v>0</v>
      </c>
      <c r="AE550" s="2">
        <f t="shared" si="478"/>
        <v>0</v>
      </c>
      <c r="AF550" s="2">
        <f t="shared" si="479"/>
        <v>0</v>
      </c>
      <c r="AG550" s="2">
        <f t="shared" si="480"/>
        <v>0</v>
      </c>
      <c r="AH550" s="2">
        <f t="shared" si="481"/>
        <v>0</v>
      </c>
      <c r="AI550" s="2">
        <f t="shared" si="482"/>
        <v>0</v>
      </c>
      <c r="AJ550" s="2">
        <f t="shared" si="483"/>
        <v>0</v>
      </c>
      <c r="AK550" s="2">
        <v>751.93</v>
      </c>
      <c r="AL550" s="2">
        <v>751.93</v>
      </c>
      <c r="AM550" s="2">
        <v>0</v>
      </c>
      <c r="AN550" s="2">
        <v>0</v>
      </c>
      <c r="AO550" s="2">
        <v>0</v>
      </c>
      <c r="AP550" s="2">
        <v>0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1</v>
      </c>
      <c r="AW550" s="2">
        <v>1</v>
      </c>
      <c r="AX550" s="2"/>
      <c r="AY550" s="2"/>
      <c r="AZ550" s="2">
        <v>1</v>
      </c>
      <c r="BA550" s="2">
        <v>1</v>
      </c>
      <c r="BB550" s="2">
        <v>1</v>
      </c>
      <c r="BC550" s="2">
        <v>1</v>
      </c>
      <c r="BD550" s="2" t="s">
        <v>3</v>
      </c>
      <c r="BE550" s="2" t="s">
        <v>3</v>
      </c>
      <c r="BF550" s="2" t="s">
        <v>3</v>
      </c>
      <c r="BG550" s="2" t="s">
        <v>3</v>
      </c>
      <c r="BH550" s="2">
        <v>3</v>
      </c>
      <c r="BI550" s="2">
        <v>3</v>
      </c>
      <c r="BJ550" s="2" t="s">
        <v>3</v>
      </c>
      <c r="BK550" s="2"/>
      <c r="BL550" s="2"/>
      <c r="BM550" s="2">
        <v>746</v>
      </c>
      <c r="BN550" s="2">
        <v>0</v>
      </c>
      <c r="BO550" s="2" t="s">
        <v>3</v>
      </c>
      <c r="BP550" s="2">
        <v>0</v>
      </c>
      <c r="BQ550" s="2">
        <v>130</v>
      </c>
      <c r="BR550" s="2">
        <v>0</v>
      </c>
      <c r="BS550" s="2">
        <v>1</v>
      </c>
      <c r="BT550" s="2">
        <v>1</v>
      </c>
      <c r="BU550" s="2">
        <v>1</v>
      </c>
      <c r="BV550" s="2">
        <v>1</v>
      </c>
      <c r="BW550" s="2">
        <v>1</v>
      </c>
      <c r="BX550" s="2">
        <v>1</v>
      </c>
      <c r="BY550" s="2" t="s">
        <v>3</v>
      </c>
      <c r="BZ550" s="2">
        <v>0</v>
      </c>
      <c r="CA550" s="2">
        <v>0</v>
      </c>
      <c r="CB550" s="2"/>
      <c r="CC550" s="2"/>
      <c r="CD550" s="2"/>
      <c r="CE550" s="2"/>
      <c r="CF550" s="2">
        <v>0</v>
      </c>
      <c r="CG550" s="2">
        <v>0</v>
      </c>
      <c r="CH550" s="2"/>
      <c r="CI550" s="2"/>
      <c r="CJ550" s="2"/>
      <c r="CK550" s="2"/>
      <c r="CL550" s="2"/>
      <c r="CM550" s="2">
        <v>0</v>
      </c>
      <c r="CN550" s="2" t="s">
        <v>3</v>
      </c>
      <c r="CO550" s="2">
        <v>0</v>
      </c>
      <c r="CP550" s="2">
        <f t="shared" si="484"/>
        <v>751.93</v>
      </c>
      <c r="CQ550" s="2">
        <f t="shared" si="485"/>
        <v>751.93</v>
      </c>
      <c r="CR550" s="2">
        <f t="shared" si="486"/>
        <v>0</v>
      </c>
      <c r="CS550" s="2">
        <f t="shared" si="487"/>
        <v>0</v>
      </c>
      <c r="CT550" s="2">
        <f t="shared" si="488"/>
        <v>0</v>
      </c>
      <c r="CU550" s="2">
        <f t="shared" si="489"/>
        <v>0</v>
      </c>
      <c r="CV550" s="2">
        <f t="shared" si="490"/>
        <v>0</v>
      </c>
      <c r="CW550" s="2">
        <f t="shared" si="491"/>
        <v>0</v>
      </c>
      <c r="CX550" s="2">
        <f t="shared" si="492"/>
        <v>0</v>
      </c>
      <c r="CY550" s="2">
        <f t="shared" si="493"/>
        <v>0</v>
      </c>
      <c r="CZ550" s="2">
        <f t="shared" si="494"/>
        <v>0</v>
      </c>
      <c r="DA550" s="2"/>
      <c r="DB550" s="2"/>
      <c r="DC550" s="2" t="s">
        <v>3</v>
      </c>
      <c r="DD550" s="2" t="s">
        <v>3</v>
      </c>
      <c r="DE550" s="2" t="s">
        <v>3</v>
      </c>
      <c r="DF550" s="2" t="s">
        <v>3</v>
      </c>
      <c r="DG550" s="2" t="s">
        <v>3</v>
      </c>
      <c r="DH550" s="2" t="s">
        <v>3</v>
      </c>
      <c r="DI550" s="2" t="s">
        <v>3</v>
      </c>
      <c r="DJ550" s="2" t="s">
        <v>3</v>
      </c>
      <c r="DK550" s="2" t="s">
        <v>3</v>
      </c>
      <c r="DL550" s="2" t="s">
        <v>3</v>
      </c>
      <c r="DM550" s="2" t="s">
        <v>3</v>
      </c>
      <c r="DN550" s="2">
        <v>0</v>
      </c>
      <c r="DO550" s="2">
        <v>0</v>
      </c>
      <c r="DP550" s="2">
        <v>1</v>
      </c>
      <c r="DQ550" s="2">
        <v>1</v>
      </c>
      <c r="DR550" s="2"/>
      <c r="DS550" s="2"/>
      <c r="DT550" s="2"/>
      <c r="DU550" s="2">
        <v>1010</v>
      </c>
      <c r="DV550" s="2" t="s">
        <v>304</v>
      </c>
      <c r="DW550" s="2" t="s">
        <v>304</v>
      </c>
      <c r="DX550" s="2">
        <v>1</v>
      </c>
      <c r="DY550" s="2"/>
      <c r="DZ550" s="2"/>
      <c r="EA550" s="2"/>
      <c r="EB550" s="2"/>
      <c r="EC550" s="2"/>
      <c r="ED550" s="2"/>
      <c r="EE550" s="2">
        <v>44847253</v>
      </c>
      <c r="EF550" s="2">
        <v>130</v>
      </c>
      <c r="EG550" s="2" t="s">
        <v>578</v>
      </c>
      <c r="EH550" s="2">
        <v>0</v>
      </c>
      <c r="EI550" s="2" t="s">
        <v>3</v>
      </c>
      <c r="EJ550" s="2">
        <v>3</v>
      </c>
      <c r="EK550" s="2">
        <v>746</v>
      </c>
      <c r="EL550" s="2" t="s">
        <v>579</v>
      </c>
      <c r="EM550" s="2" t="s">
        <v>580</v>
      </c>
      <c r="EN550" s="2"/>
      <c r="EO550" s="2" t="s">
        <v>3</v>
      </c>
      <c r="EP550" s="2"/>
      <c r="EQ550" s="2">
        <v>131072</v>
      </c>
      <c r="ER550" s="2">
        <v>0</v>
      </c>
      <c r="ES550" s="2">
        <v>751.93</v>
      </c>
      <c r="ET550" s="2">
        <v>0</v>
      </c>
      <c r="EU550" s="2">
        <v>0</v>
      </c>
      <c r="EV550" s="2">
        <v>0</v>
      </c>
      <c r="EW550" s="2">
        <v>0</v>
      </c>
      <c r="EX550" s="2">
        <v>0</v>
      </c>
      <c r="EY550" s="2">
        <v>0</v>
      </c>
      <c r="EZ550" s="2"/>
      <c r="FA550" s="2"/>
      <c r="FB550" s="2"/>
      <c r="FC550" s="2"/>
      <c r="FD550" s="2"/>
      <c r="FE550" s="2"/>
      <c r="FF550" s="2"/>
      <c r="FG550" s="2"/>
      <c r="FH550" s="2"/>
      <c r="FI550" s="2"/>
      <c r="FJ550" s="2"/>
      <c r="FK550" s="2"/>
      <c r="FL550" s="2"/>
      <c r="FM550" s="2"/>
      <c r="FN550" s="2"/>
      <c r="FO550" s="2"/>
      <c r="FP550" s="2"/>
      <c r="FQ550" s="2">
        <v>0</v>
      </c>
      <c r="FR550" s="2">
        <f t="shared" si="495"/>
        <v>751.93</v>
      </c>
      <c r="FS550" s="2">
        <v>0</v>
      </c>
      <c r="FT550" s="2"/>
      <c r="FU550" s="2"/>
      <c r="FV550" s="2"/>
      <c r="FW550" s="2"/>
      <c r="FX550" s="2">
        <v>0</v>
      </c>
      <c r="FY550" s="2">
        <v>0</v>
      </c>
      <c r="FZ550" s="2"/>
      <c r="GA550" s="2" t="s">
        <v>590</v>
      </c>
      <c r="GB550" s="2"/>
      <c r="GC550" s="2"/>
      <c r="GD550" s="2">
        <v>0</v>
      </c>
      <c r="GE550" s="2"/>
      <c r="GF550" s="2">
        <v>-1710009892</v>
      </c>
      <c r="GG550" s="2">
        <v>2</v>
      </c>
      <c r="GH550" s="2">
        <v>4</v>
      </c>
      <c r="GI550" s="2">
        <v>3</v>
      </c>
      <c r="GJ550" s="2">
        <v>0</v>
      </c>
      <c r="GK550" s="2">
        <f>ROUND(R550*(R12)/100,2)</f>
        <v>0</v>
      </c>
      <c r="GL550" s="2">
        <f t="shared" si="496"/>
        <v>0</v>
      </c>
      <c r="GM550" s="2">
        <f t="shared" si="497"/>
        <v>751.93</v>
      </c>
      <c r="GN550" s="2">
        <f t="shared" si="498"/>
        <v>0</v>
      </c>
      <c r="GO550" s="2">
        <f t="shared" si="499"/>
        <v>0</v>
      </c>
      <c r="GP550" s="2">
        <f t="shared" si="500"/>
        <v>0</v>
      </c>
      <c r="GQ550" s="2"/>
      <c r="GR550" s="2">
        <v>0</v>
      </c>
      <c r="GS550" s="2">
        <v>2</v>
      </c>
      <c r="GT550" s="2">
        <v>0</v>
      </c>
      <c r="GU550" s="2" t="s">
        <v>3</v>
      </c>
      <c r="GV550" s="2">
        <f t="shared" si="501"/>
        <v>0</v>
      </c>
      <c r="GW550" s="2">
        <v>1</v>
      </c>
      <c r="GX550" s="2">
        <f t="shared" si="502"/>
        <v>0</v>
      </c>
      <c r="GY550" s="2"/>
      <c r="GZ550" s="2"/>
      <c r="HA550" s="2">
        <v>0</v>
      </c>
      <c r="HB550" s="2">
        <v>0</v>
      </c>
      <c r="HC550" s="2"/>
      <c r="HD550" s="2"/>
      <c r="HE550" s="2"/>
      <c r="HF550" s="2"/>
      <c r="HG550" s="2"/>
      <c r="HH550" s="2"/>
      <c r="HI550" s="2"/>
      <c r="HJ550" s="2"/>
      <c r="HK550" s="2"/>
      <c r="HL550" s="2"/>
      <c r="HM550" s="2"/>
      <c r="HN550" s="2"/>
      <c r="HO550" s="2"/>
      <c r="HP550" s="2"/>
      <c r="HQ550" s="2"/>
      <c r="HR550" s="2"/>
      <c r="HS550" s="2"/>
      <c r="HT550" s="2"/>
      <c r="HU550" s="2"/>
      <c r="HV550" s="2"/>
      <c r="HW550" s="2"/>
      <c r="HX550" s="2"/>
      <c r="HY550" s="2"/>
      <c r="HZ550" s="2"/>
      <c r="IA550" s="2"/>
      <c r="IB550" s="2"/>
      <c r="IC550" s="2"/>
      <c r="ID550" s="2"/>
      <c r="IE550" s="2"/>
      <c r="IF550" s="2"/>
      <c r="IG550" s="2"/>
      <c r="IH550" s="2"/>
      <c r="II550" s="2"/>
      <c r="IJ550" s="2"/>
      <c r="IK550" s="2">
        <v>0</v>
      </c>
      <c r="IL550" s="2"/>
      <c r="IM550" s="2"/>
      <c r="IN550" s="2"/>
      <c r="IO550" s="2"/>
      <c r="IP550" s="2"/>
      <c r="IQ550" s="2"/>
      <c r="IR550" s="2"/>
      <c r="IS550" s="2"/>
      <c r="IT550" s="2"/>
      <c r="IU550" s="2"/>
    </row>
    <row r="551" spans="1:255" x14ac:dyDescent="0.2">
      <c r="A551">
        <v>17</v>
      </c>
      <c r="B551">
        <v>1</v>
      </c>
      <c r="E551" t="s">
        <v>588</v>
      </c>
      <c r="F551" t="s">
        <v>258</v>
      </c>
      <c r="G551" t="s">
        <v>589</v>
      </c>
      <c r="H551" t="s">
        <v>304</v>
      </c>
      <c r="I551">
        <v>1</v>
      </c>
      <c r="J551">
        <v>0</v>
      </c>
      <c r="O551">
        <f t="shared" si="464"/>
        <v>3135.55</v>
      </c>
      <c r="P551">
        <f t="shared" si="465"/>
        <v>3135.55</v>
      </c>
      <c r="Q551">
        <f t="shared" si="466"/>
        <v>0</v>
      </c>
      <c r="R551">
        <f t="shared" si="467"/>
        <v>0</v>
      </c>
      <c r="S551">
        <f t="shared" si="468"/>
        <v>0</v>
      </c>
      <c r="T551">
        <f t="shared" si="469"/>
        <v>0</v>
      </c>
      <c r="U551">
        <f t="shared" si="470"/>
        <v>0</v>
      </c>
      <c r="V551">
        <f t="shared" si="471"/>
        <v>0</v>
      </c>
      <c r="W551">
        <f t="shared" si="472"/>
        <v>0</v>
      </c>
      <c r="X551">
        <f t="shared" si="473"/>
        <v>0</v>
      </c>
      <c r="Y551">
        <f t="shared" si="474"/>
        <v>0</v>
      </c>
      <c r="AA551">
        <v>45037307</v>
      </c>
      <c r="AB551">
        <f t="shared" si="475"/>
        <v>751.93</v>
      </c>
      <c r="AC551">
        <f t="shared" si="476"/>
        <v>751.93</v>
      </c>
      <c r="AD551">
        <f t="shared" si="477"/>
        <v>0</v>
      </c>
      <c r="AE551">
        <f t="shared" si="478"/>
        <v>0</v>
      </c>
      <c r="AF551">
        <f t="shared" si="479"/>
        <v>0</v>
      </c>
      <c r="AG551">
        <f t="shared" si="480"/>
        <v>0</v>
      </c>
      <c r="AH551">
        <f t="shared" si="481"/>
        <v>0</v>
      </c>
      <c r="AI551">
        <f t="shared" si="482"/>
        <v>0</v>
      </c>
      <c r="AJ551">
        <f t="shared" si="483"/>
        <v>0</v>
      </c>
      <c r="AK551">
        <v>751.93</v>
      </c>
      <c r="AL551">
        <v>751.93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0</v>
      </c>
      <c r="AU551">
        <v>0</v>
      </c>
      <c r="AV551">
        <v>1</v>
      </c>
      <c r="AW551">
        <v>1</v>
      </c>
      <c r="AZ551">
        <v>1</v>
      </c>
      <c r="BA551">
        <v>1</v>
      </c>
      <c r="BB551">
        <v>1</v>
      </c>
      <c r="BC551">
        <v>4.17</v>
      </c>
      <c r="BD551" t="s">
        <v>3</v>
      </c>
      <c r="BE551" t="s">
        <v>3</v>
      </c>
      <c r="BF551" t="s">
        <v>3</v>
      </c>
      <c r="BG551" t="s">
        <v>3</v>
      </c>
      <c r="BH551">
        <v>3</v>
      </c>
      <c r="BI551">
        <v>3</v>
      </c>
      <c r="BJ551" t="s">
        <v>3</v>
      </c>
      <c r="BM551">
        <v>746</v>
      </c>
      <c r="BN551">
        <v>0</v>
      </c>
      <c r="BO551" t="s">
        <v>3</v>
      </c>
      <c r="BP551">
        <v>0</v>
      </c>
      <c r="BQ551">
        <v>130</v>
      </c>
      <c r="BR551">
        <v>0</v>
      </c>
      <c r="BS551">
        <v>1</v>
      </c>
      <c r="BT551">
        <v>1</v>
      </c>
      <c r="BU551">
        <v>1</v>
      </c>
      <c r="BV551">
        <v>1</v>
      </c>
      <c r="BW551">
        <v>1</v>
      </c>
      <c r="BX551">
        <v>1</v>
      </c>
      <c r="BY551" t="s">
        <v>3</v>
      </c>
      <c r="BZ551">
        <v>0</v>
      </c>
      <c r="CA551">
        <v>0</v>
      </c>
      <c r="CF551">
        <v>0</v>
      </c>
      <c r="CG551">
        <v>0</v>
      </c>
      <c r="CM551">
        <v>0</v>
      </c>
      <c r="CN551" t="s">
        <v>3</v>
      </c>
      <c r="CO551">
        <v>0</v>
      </c>
      <c r="CP551">
        <f t="shared" si="484"/>
        <v>3135.55</v>
      </c>
      <c r="CQ551">
        <f t="shared" si="485"/>
        <v>3135.5480999999995</v>
      </c>
      <c r="CR551">
        <f t="shared" si="486"/>
        <v>0</v>
      </c>
      <c r="CS551">
        <f t="shared" si="487"/>
        <v>0</v>
      </c>
      <c r="CT551">
        <f t="shared" si="488"/>
        <v>0</v>
      </c>
      <c r="CU551">
        <f t="shared" si="489"/>
        <v>0</v>
      </c>
      <c r="CV551">
        <f t="shared" si="490"/>
        <v>0</v>
      </c>
      <c r="CW551">
        <f t="shared" si="491"/>
        <v>0</v>
      </c>
      <c r="CX551">
        <f t="shared" si="492"/>
        <v>0</v>
      </c>
      <c r="CY551">
        <f t="shared" si="493"/>
        <v>0</v>
      </c>
      <c r="CZ551">
        <f t="shared" si="494"/>
        <v>0</v>
      </c>
      <c r="DC551" t="s">
        <v>3</v>
      </c>
      <c r="DD551" t="s">
        <v>3</v>
      </c>
      <c r="DE551" t="s">
        <v>3</v>
      </c>
      <c r="DF551" t="s">
        <v>3</v>
      </c>
      <c r="DG551" t="s">
        <v>3</v>
      </c>
      <c r="DH551" t="s">
        <v>3</v>
      </c>
      <c r="DI551" t="s">
        <v>3</v>
      </c>
      <c r="DJ551" t="s">
        <v>3</v>
      </c>
      <c r="DK551" t="s">
        <v>3</v>
      </c>
      <c r="DL551" t="s">
        <v>3</v>
      </c>
      <c r="DM551" t="s">
        <v>3</v>
      </c>
      <c r="DN551">
        <v>0</v>
      </c>
      <c r="DO551">
        <v>0</v>
      </c>
      <c r="DP551">
        <v>1</v>
      </c>
      <c r="DQ551">
        <v>1</v>
      </c>
      <c r="DU551">
        <v>1010</v>
      </c>
      <c r="DV551" t="s">
        <v>304</v>
      </c>
      <c r="DW551" t="s">
        <v>304</v>
      </c>
      <c r="DX551">
        <v>1</v>
      </c>
      <c r="EE551">
        <v>44847253</v>
      </c>
      <c r="EF551">
        <v>130</v>
      </c>
      <c r="EG551" t="s">
        <v>578</v>
      </c>
      <c r="EH551">
        <v>0</v>
      </c>
      <c r="EI551" t="s">
        <v>3</v>
      </c>
      <c r="EJ551">
        <v>3</v>
      </c>
      <c r="EK551">
        <v>746</v>
      </c>
      <c r="EL551" t="s">
        <v>579</v>
      </c>
      <c r="EM551" t="s">
        <v>580</v>
      </c>
      <c r="EO551" t="s">
        <v>3</v>
      </c>
      <c r="EQ551">
        <v>131072</v>
      </c>
      <c r="ER551">
        <v>3135.5199999999995</v>
      </c>
      <c r="ES551">
        <v>751.93</v>
      </c>
      <c r="ET551">
        <v>0</v>
      </c>
      <c r="EU551">
        <v>0</v>
      </c>
      <c r="EV551">
        <v>0</v>
      </c>
      <c r="EW551">
        <v>0</v>
      </c>
      <c r="EX551">
        <v>0</v>
      </c>
      <c r="EY551">
        <v>0</v>
      </c>
      <c r="EZ551">
        <v>5</v>
      </c>
      <c r="FC551">
        <v>1</v>
      </c>
      <c r="FD551">
        <v>18</v>
      </c>
      <c r="FF551">
        <v>3549.56</v>
      </c>
      <c r="FQ551">
        <v>0</v>
      </c>
      <c r="FR551">
        <f t="shared" si="495"/>
        <v>3135.55</v>
      </c>
      <c r="FS551">
        <v>0</v>
      </c>
      <c r="FX551">
        <v>0</v>
      </c>
      <c r="FY551">
        <v>0</v>
      </c>
      <c r="GA551" t="s">
        <v>590</v>
      </c>
      <c r="GD551">
        <v>0</v>
      </c>
      <c r="GF551">
        <v>-1710009892</v>
      </c>
      <c r="GG551">
        <v>2</v>
      </c>
      <c r="GH551">
        <v>3</v>
      </c>
      <c r="GI551">
        <v>3</v>
      </c>
      <c r="GJ551">
        <v>0</v>
      </c>
      <c r="GK551">
        <f>ROUND(R551*(S12)/100,2)</f>
        <v>0</v>
      </c>
      <c r="GL551">
        <f t="shared" si="496"/>
        <v>0</v>
      </c>
      <c r="GM551">
        <f t="shared" si="497"/>
        <v>3135.55</v>
      </c>
      <c r="GN551">
        <f t="shared" si="498"/>
        <v>0</v>
      </c>
      <c r="GO551">
        <f t="shared" si="499"/>
        <v>0</v>
      </c>
      <c r="GP551">
        <f t="shared" si="500"/>
        <v>0</v>
      </c>
      <c r="GR551">
        <v>1</v>
      </c>
      <c r="GS551">
        <v>1</v>
      </c>
      <c r="GT551">
        <v>0</v>
      </c>
      <c r="GU551" t="s">
        <v>3</v>
      </c>
      <c r="GV551">
        <f t="shared" si="501"/>
        <v>0</v>
      </c>
      <c r="GW551">
        <v>1</v>
      </c>
      <c r="GX551">
        <f t="shared" si="502"/>
        <v>0</v>
      </c>
      <c r="HA551">
        <v>0</v>
      </c>
      <c r="HB551">
        <v>0</v>
      </c>
      <c r="IK551">
        <v>0</v>
      </c>
    </row>
    <row r="552" spans="1:255" x14ac:dyDescent="0.2">
      <c r="A552" s="2">
        <v>17</v>
      </c>
      <c r="B552" s="2">
        <v>1</v>
      </c>
      <c r="C552" s="2"/>
      <c r="D552" s="2"/>
      <c r="E552" s="2" t="s">
        <v>591</v>
      </c>
      <c r="F552" s="2" t="s">
        <v>258</v>
      </c>
      <c r="G552" s="2" t="s">
        <v>592</v>
      </c>
      <c r="H552" s="2" t="s">
        <v>304</v>
      </c>
      <c r="I552" s="2">
        <v>1</v>
      </c>
      <c r="J552" s="2">
        <v>0</v>
      </c>
      <c r="K552" s="2"/>
      <c r="L552" s="2"/>
      <c r="M552" s="2"/>
      <c r="N552" s="2"/>
      <c r="O552" s="2">
        <f t="shared" si="464"/>
        <v>10679.5</v>
      </c>
      <c r="P552" s="2">
        <f t="shared" si="465"/>
        <v>10679.5</v>
      </c>
      <c r="Q552" s="2">
        <f t="shared" si="466"/>
        <v>0</v>
      </c>
      <c r="R552" s="2">
        <f t="shared" si="467"/>
        <v>0</v>
      </c>
      <c r="S552" s="2">
        <f t="shared" si="468"/>
        <v>0</v>
      </c>
      <c r="T552" s="2">
        <f t="shared" si="469"/>
        <v>0</v>
      </c>
      <c r="U552" s="2">
        <f t="shared" si="470"/>
        <v>0</v>
      </c>
      <c r="V552" s="2">
        <f t="shared" si="471"/>
        <v>0</v>
      </c>
      <c r="W552" s="2">
        <f t="shared" si="472"/>
        <v>0</v>
      </c>
      <c r="X552" s="2">
        <f t="shared" si="473"/>
        <v>0</v>
      </c>
      <c r="Y552" s="2">
        <f t="shared" si="474"/>
        <v>0</v>
      </c>
      <c r="Z552" s="2"/>
      <c r="AA552" s="2">
        <v>45037306</v>
      </c>
      <c r="AB552" s="2">
        <f t="shared" si="475"/>
        <v>10679.5</v>
      </c>
      <c r="AC552" s="2">
        <f t="shared" si="476"/>
        <v>10679.5</v>
      </c>
      <c r="AD552" s="2">
        <f t="shared" si="477"/>
        <v>0</v>
      </c>
      <c r="AE552" s="2">
        <f t="shared" si="478"/>
        <v>0</v>
      </c>
      <c r="AF552" s="2">
        <f t="shared" si="479"/>
        <v>0</v>
      </c>
      <c r="AG552" s="2">
        <f t="shared" si="480"/>
        <v>0</v>
      </c>
      <c r="AH552" s="2">
        <f t="shared" si="481"/>
        <v>0</v>
      </c>
      <c r="AI552" s="2">
        <f t="shared" si="482"/>
        <v>0</v>
      </c>
      <c r="AJ552" s="2">
        <f t="shared" si="483"/>
        <v>0</v>
      </c>
      <c r="AK552" s="2">
        <v>10679.5</v>
      </c>
      <c r="AL552" s="2">
        <v>10679.5</v>
      </c>
      <c r="AM552" s="2">
        <v>0</v>
      </c>
      <c r="AN552" s="2">
        <v>0</v>
      </c>
      <c r="AO552" s="2">
        <v>0</v>
      </c>
      <c r="AP552" s="2">
        <v>0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1</v>
      </c>
      <c r="AW552" s="2">
        <v>1</v>
      </c>
      <c r="AX552" s="2"/>
      <c r="AY552" s="2"/>
      <c r="AZ552" s="2">
        <v>1</v>
      </c>
      <c r="BA552" s="2">
        <v>1</v>
      </c>
      <c r="BB552" s="2">
        <v>1</v>
      </c>
      <c r="BC552" s="2">
        <v>1</v>
      </c>
      <c r="BD552" s="2" t="s">
        <v>3</v>
      </c>
      <c r="BE552" s="2" t="s">
        <v>3</v>
      </c>
      <c r="BF552" s="2" t="s">
        <v>3</v>
      </c>
      <c r="BG552" s="2" t="s">
        <v>3</v>
      </c>
      <c r="BH552" s="2">
        <v>3</v>
      </c>
      <c r="BI552" s="2">
        <v>3</v>
      </c>
      <c r="BJ552" s="2" t="s">
        <v>3</v>
      </c>
      <c r="BK552" s="2"/>
      <c r="BL552" s="2"/>
      <c r="BM552" s="2">
        <v>746</v>
      </c>
      <c r="BN552" s="2">
        <v>0</v>
      </c>
      <c r="BO552" s="2" t="s">
        <v>3</v>
      </c>
      <c r="BP552" s="2">
        <v>0</v>
      </c>
      <c r="BQ552" s="2">
        <v>130</v>
      </c>
      <c r="BR552" s="2">
        <v>0</v>
      </c>
      <c r="BS552" s="2">
        <v>1</v>
      </c>
      <c r="BT552" s="2">
        <v>1</v>
      </c>
      <c r="BU552" s="2">
        <v>1</v>
      </c>
      <c r="BV552" s="2">
        <v>1</v>
      </c>
      <c r="BW552" s="2">
        <v>1</v>
      </c>
      <c r="BX552" s="2">
        <v>1</v>
      </c>
      <c r="BY552" s="2" t="s">
        <v>3</v>
      </c>
      <c r="BZ552" s="2">
        <v>0</v>
      </c>
      <c r="CA552" s="2">
        <v>0</v>
      </c>
      <c r="CB552" s="2"/>
      <c r="CC552" s="2"/>
      <c r="CD552" s="2"/>
      <c r="CE552" s="2"/>
      <c r="CF552" s="2">
        <v>0</v>
      </c>
      <c r="CG552" s="2">
        <v>0</v>
      </c>
      <c r="CH552" s="2"/>
      <c r="CI552" s="2"/>
      <c r="CJ552" s="2"/>
      <c r="CK552" s="2"/>
      <c r="CL552" s="2"/>
      <c r="CM552" s="2">
        <v>0</v>
      </c>
      <c r="CN552" s="2" t="s">
        <v>3</v>
      </c>
      <c r="CO552" s="2">
        <v>0</v>
      </c>
      <c r="CP552" s="2">
        <f t="shared" si="484"/>
        <v>10679.5</v>
      </c>
      <c r="CQ552" s="2">
        <f t="shared" si="485"/>
        <v>10679.5</v>
      </c>
      <c r="CR552" s="2">
        <f t="shared" si="486"/>
        <v>0</v>
      </c>
      <c r="CS552" s="2">
        <f t="shared" si="487"/>
        <v>0</v>
      </c>
      <c r="CT552" s="2">
        <f t="shared" si="488"/>
        <v>0</v>
      </c>
      <c r="CU552" s="2">
        <f t="shared" si="489"/>
        <v>0</v>
      </c>
      <c r="CV552" s="2">
        <f t="shared" si="490"/>
        <v>0</v>
      </c>
      <c r="CW552" s="2">
        <f t="shared" si="491"/>
        <v>0</v>
      </c>
      <c r="CX552" s="2">
        <f t="shared" si="492"/>
        <v>0</v>
      </c>
      <c r="CY552" s="2">
        <f t="shared" si="493"/>
        <v>0</v>
      </c>
      <c r="CZ552" s="2">
        <f t="shared" si="494"/>
        <v>0</v>
      </c>
      <c r="DA552" s="2"/>
      <c r="DB552" s="2"/>
      <c r="DC552" s="2" t="s">
        <v>3</v>
      </c>
      <c r="DD552" s="2" t="s">
        <v>3</v>
      </c>
      <c r="DE552" s="2" t="s">
        <v>3</v>
      </c>
      <c r="DF552" s="2" t="s">
        <v>3</v>
      </c>
      <c r="DG552" s="2" t="s">
        <v>3</v>
      </c>
      <c r="DH552" s="2" t="s">
        <v>3</v>
      </c>
      <c r="DI552" s="2" t="s">
        <v>3</v>
      </c>
      <c r="DJ552" s="2" t="s">
        <v>3</v>
      </c>
      <c r="DK552" s="2" t="s">
        <v>3</v>
      </c>
      <c r="DL552" s="2" t="s">
        <v>3</v>
      </c>
      <c r="DM552" s="2" t="s">
        <v>3</v>
      </c>
      <c r="DN552" s="2">
        <v>0</v>
      </c>
      <c r="DO552" s="2">
        <v>0</v>
      </c>
      <c r="DP552" s="2">
        <v>1</v>
      </c>
      <c r="DQ552" s="2">
        <v>1</v>
      </c>
      <c r="DR552" s="2"/>
      <c r="DS552" s="2"/>
      <c r="DT552" s="2"/>
      <c r="DU552" s="2">
        <v>1010</v>
      </c>
      <c r="DV552" s="2" t="s">
        <v>304</v>
      </c>
      <c r="DW552" s="2" t="s">
        <v>304</v>
      </c>
      <c r="DX552" s="2">
        <v>1</v>
      </c>
      <c r="DY552" s="2"/>
      <c r="DZ552" s="2"/>
      <c r="EA552" s="2"/>
      <c r="EB552" s="2"/>
      <c r="EC552" s="2"/>
      <c r="ED552" s="2"/>
      <c r="EE552" s="2">
        <v>44847253</v>
      </c>
      <c r="EF552" s="2">
        <v>130</v>
      </c>
      <c r="EG552" s="2" t="s">
        <v>578</v>
      </c>
      <c r="EH552" s="2">
        <v>0</v>
      </c>
      <c r="EI552" s="2" t="s">
        <v>3</v>
      </c>
      <c r="EJ552" s="2">
        <v>3</v>
      </c>
      <c r="EK552" s="2">
        <v>746</v>
      </c>
      <c r="EL552" s="2" t="s">
        <v>579</v>
      </c>
      <c r="EM552" s="2" t="s">
        <v>580</v>
      </c>
      <c r="EN552" s="2"/>
      <c r="EO552" s="2" t="s">
        <v>3</v>
      </c>
      <c r="EP552" s="2"/>
      <c r="EQ552" s="2">
        <v>131072</v>
      </c>
      <c r="ER552" s="2">
        <v>0</v>
      </c>
      <c r="ES552" s="2">
        <v>10679.5</v>
      </c>
      <c r="ET552" s="2">
        <v>0</v>
      </c>
      <c r="EU552" s="2">
        <v>0</v>
      </c>
      <c r="EV552" s="2">
        <v>0</v>
      </c>
      <c r="EW552" s="2">
        <v>0</v>
      </c>
      <c r="EX552" s="2">
        <v>0</v>
      </c>
      <c r="EY552" s="2">
        <v>0</v>
      </c>
      <c r="EZ552" s="2"/>
      <c r="FA552" s="2"/>
      <c r="FB552" s="2"/>
      <c r="FC552" s="2"/>
      <c r="FD552" s="2"/>
      <c r="FE552" s="2"/>
      <c r="FF552" s="2"/>
      <c r="FG552" s="2"/>
      <c r="FH552" s="2"/>
      <c r="FI552" s="2"/>
      <c r="FJ552" s="2"/>
      <c r="FK552" s="2"/>
      <c r="FL552" s="2"/>
      <c r="FM552" s="2"/>
      <c r="FN552" s="2"/>
      <c r="FO552" s="2"/>
      <c r="FP552" s="2"/>
      <c r="FQ552" s="2">
        <v>0</v>
      </c>
      <c r="FR552" s="2">
        <f t="shared" si="495"/>
        <v>10679.5</v>
      </c>
      <c r="FS552" s="2">
        <v>0</v>
      </c>
      <c r="FT552" s="2"/>
      <c r="FU552" s="2"/>
      <c r="FV552" s="2"/>
      <c r="FW552" s="2"/>
      <c r="FX552" s="2">
        <v>0</v>
      </c>
      <c r="FY552" s="2">
        <v>0</v>
      </c>
      <c r="FZ552" s="2"/>
      <c r="GA552" s="2" t="s">
        <v>593</v>
      </c>
      <c r="GB552" s="2"/>
      <c r="GC552" s="2"/>
      <c r="GD552" s="2">
        <v>0</v>
      </c>
      <c r="GE552" s="2"/>
      <c r="GF552" s="2">
        <v>-499424729</v>
      </c>
      <c r="GG552" s="2">
        <v>2</v>
      </c>
      <c r="GH552" s="2">
        <v>4</v>
      </c>
      <c r="GI552" s="2">
        <v>3</v>
      </c>
      <c r="GJ552" s="2">
        <v>0</v>
      </c>
      <c r="GK552" s="2">
        <f>ROUND(R552*(R12)/100,2)</f>
        <v>0</v>
      </c>
      <c r="GL552" s="2">
        <f t="shared" si="496"/>
        <v>0</v>
      </c>
      <c r="GM552" s="2">
        <f t="shared" si="497"/>
        <v>10679.5</v>
      </c>
      <c r="GN552" s="2">
        <f t="shared" si="498"/>
        <v>0</v>
      </c>
      <c r="GO552" s="2">
        <f t="shared" si="499"/>
        <v>0</v>
      </c>
      <c r="GP552" s="2">
        <f t="shared" si="500"/>
        <v>0</v>
      </c>
      <c r="GQ552" s="2"/>
      <c r="GR552" s="2">
        <v>0</v>
      </c>
      <c r="GS552" s="2">
        <v>2</v>
      </c>
      <c r="GT552" s="2">
        <v>0</v>
      </c>
      <c r="GU552" s="2" t="s">
        <v>3</v>
      </c>
      <c r="GV552" s="2">
        <f t="shared" si="501"/>
        <v>0</v>
      </c>
      <c r="GW552" s="2">
        <v>1</v>
      </c>
      <c r="GX552" s="2">
        <f t="shared" si="502"/>
        <v>0</v>
      </c>
      <c r="GY552" s="2"/>
      <c r="GZ552" s="2"/>
      <c r="HA552" s="2">
        <v>0</v>
      </c>
      <c r="HB552" s="2">
        <v>0</v>
      </c>
      <c r="HC552" s="2"/>
      <c r="HD552" s="2"/>
      <c r="HE552" s="2"/>
      <c r="HF552" s="2"/>
      <c r="HG552" s="2"/>
      <c r="HH552" s="2"/>
      <c r="HI552" s="2"/>
      <c r="HJ552" s="2"/>
      <c r="HK552" s="2"/>
      <c r="HL552" s="2"/>
      <c r="HM552" s="2"/>
      <c r="HN552" s="2"/>
      <c r="HO552" s="2"/>
      <c r="HP552" s="2"/>
      <c r="HQ552" s="2"/>
      <c r="HR552" s="2"/>
      <c r="HS552" s="2"/>
      <c r="HT552" s="2"/>
      <c r="HU552" s="2"/>
      <c r="HV552" s="2"/>
      <c r="HW552" s="2"/>
      <c r="HX552" s="2"/>
      <c r="HY552" s="2"/>
      <c r="HZ552" s="2"/>
      <c r="IA552" s="2"/>
      <c r="IB552" s="2"/>
      <c r="IC552" s="2"/>
      <c r="ID552" s="2"/>
      <c r="IE552" s="2"/>
      <c r="IF552" s="2"/>
      <c r="IG552" s="2"/>
      <c r="IH552" s="2"/>
      <c r="II552" s="2"/>
      <c r="IJ552" s="2"/>
      <c r="IK552" s="2">
        <v>0</v>
      </c>
      <c r="IL552" s="2"/>
      <c r="IM552" s="2"/>
      <c r="IN552" s="2"/>
      <c r="IO552" s="2"/>
      <c r="IP552" s="2"/>
      <c r="IQ552" s="2"/>
      <c r="IR552" s="2"/>
      <c r="IS552" s="2"/>
      <c r="IT552" s="2"/>
      <c r="IU552" s="2"/>
    </row>
    <row r="553" spans="1:255" x14ac:dyDescent="0.2">
      <c r="A553">
        <v>17</v>
      </c>
      <c r="B553">
        <v>1</v>
      </c>
      <c r="E553" t="s">
        <v>591</v>
      </c>
      <c r="F553" t="s">
        <v>258</v>
      </c>
      <c r="G553" t="s">
        <v>592</v>
      </c>
      <c r="H553" t="s">
        <v>304</v>
      </c>
      <c r="I553">
        <v>1</v>
      </c>
      <c r="J553">
        <v>0</v>
      </c>
      <c r="O553">
        <f t="shared" si="464"/>
        <v>44533.52</v>
      </c>
      <c r="P553">
        <f t="shared" si="465"/>
        <v>44533.52</v>
      </c>
      <c r="Q553">
        <f t="shared" si="466"/>
        <v>0</v>
      </c>
      <c r="R553">
        <f t="shared" si="467"/>
        <v>0</v>
      </c>
      <c r="S553">
        <f t="shared" si="468"/>
        <v>0</v>
      </c>
      <c r="T553">
        <f t="shared" si="469"/>
        <v>0</v>
      </c>
      <c r="U553">
        <f t="shared" si="470"/>
        <v>0</v>
      </c>
      <c r="V553">
        <f t="shared" si="471"/>
        <v>0</v>
      </c>
      <c r="W553">
        <f t="shared" si="472"/>
        <v>0</v>
      </c>
      <c r="X553">
        <f t="shared" si="473"/>
        <v>0</v>
      </c>
      <c r="Y553">
        <f t="shared" si="474"/>
        <v>0</v>
      </c>
      <c r="AA553">
        <v>45037307</v>
      </c>
      <c r="AB553">
        <f t="shared" si="475"/>
        <v>10679.5</v>
      </c>
      <c r="AC553">
        <f t="shared" si="476"/>
        <v>10679.5</v>
      </c>
      <c r="AD553">
        <f t="shared" si="477"/>
        <v>0</v>
      </c>
      <c r="AE553">
        <f t="shared" si="478"/>
        <v>0</v>
      </c>
      <c r="AF553">
        <f t="shared" si="479"/>
        <v>0</v>
      </c>
      <c r="AG553">
        <f t="shared" si="480"/>
        <v>0</v>
      </c>
      <c r="AH553">
        <f t="shared" si="481"/>
        <v>0</v>
      </c>
      <c r="AI553">
        <f t="shared" si="482"/>
        <v>0</v>
      </c>
      <c r="AJ553">
        <f t="shared" si="483"/>
        <v>0</v>
      </c>
      <c r="AK553">
        <v>10679.5</v>
      </c>
      <c r="AL553">
        <v>10679.5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1</v>
      </c>
      <c r="AW553">
        <v>1</v>
      </c>
      <c r="AZ553">
        <v>1</v>
      </c>
      <c r="BA553">
        <v>1</v>
      </c>
      <c r="BB553">
        <v>1</v>
      </c>
      <c r="BC553">
        <v>4.17</v>
      </c>
      <c r="BD553" t="s">
        <v>3</v>
      </c>
      <c r="BE553" t="s">
        <v>3</v>
      </c>
      <c r="BF553" t="s">
        <v>3</v>
      </c>
      <c r="BG553" t="s">
        <v>3</v>
      </c>
      <c r="BH553">
        <v>3</v>
      </c>
      <c r="BI553">
        <v>3</v>
      </c>
      <c r="BJ553" t="s">
        <v>3</v>
      </c>
      <c r="BM553">
        <v>746</v>
      </c>
      <c r="BN553">
        <v>0</v>
      </c>
      <c r="BO553" t="s">
        <v>3</v>
      </c>
      <c r="BP553">
        <v>0</v>
      </c>
      <c r="BQ553">
        <v>130</v>
      </c>
      <c r="BR553">
        <v>0</v>
      </c>
      <c r="BS553">
        <v>1</v>
      </c>
      <c r="BT553">
        <v>1</v>
      </c>
      <c r="BU553">
        <v>1</v>
      </c>
      <c r="BV553">
        <v>1</v>
      </c>
      <c r="BW553">
        <v>1</v>
      </c>
      <c r="BX553">
        <v>1</v>
      </c>
      <c r="BY553" t="s">
        <v>3</v>
      </c>
      <c r="BZ553">
        <v>0</v>
      </c>
      <c r="CA553">
        <v>0</v>
      </c>
      <c r="CF553">
        <v>0</v>
      </c>
      <c r="CG553">
        <v>0</v>
      </c>
      <c r="CM553">
        <v>0</v>
      </c>
      <c r="CN553" t="s">
        <v>3</v>
      </c>
      <c r="CO553">
        <v>0</v>
      </c>
      <c r="CP553">
        <f t="shared" si="484"/>
        <v>44533.52</v>
      </c>
      <c r="CQ553">
        <f t="shared" si="485"/>
        <v>44533.514999999999</v>
      </c>
      <c r="CR553">
        <f t="shared" si="486"/>
        <v>0</v>
      </c>
      <c r="CS553">
        <f t="shared" si="487"/>
        <v>0</v>
      </c>
      <c r="CT553">
        <f t="shared" si="488"/>
        <v>0</v>
      </c>
      <c r="CU553">
        <f t="shared" si="489"/>
        <v>0</v>
      </c>
      <c r="CV553">
        <f t="shared" si="490"/>
        <v>0</v>
      </c>
      <c r="CW553">
        <f t="shared" si="491"/>
        <v>0</v>
      </c>
      <c r="CX553">
        <f t="shared" si="492"/>
        <v>0</v>
      </c>
      <c r="CY553">
        <f t="shared" si="493"/>
        <v>0</v>
      </c>
      <c r="CZ553">
        <f t="shared" si="494"/>
        <v>0</v>
      </c>
      <c r="DC553" t="s">
        <v>3</v>
      </c>
      <c r="DD553" t="s">
        <v>3</v>
      </c>
      <c r="DE553" t="s">
        <v>3</v>
      </c>
      <c r="DF553" t="s">
        <v>3</v>
      </c>
      <c r="DG553" t="s">
        <v>3</v>
      </c>
      <c r="DH553" t="s">
        <v>3</v>
      </c>
      <c r="DI553" t="s">
        <v>3</v>
      </c>
      <c r="DJ553" t="s">
        <v>3</v>
      </c>
      <c r="DK553" t="s">
        <v>3</v>
      </c>
      <c r="DL553" t="s">
        <v>3</v>
      </c>
      <c r="DM553" t="s">
        <v>3</v>
      </c>
      <c r="DN553">
        <v>0</v>
      </c>
      <c r="DO553">
        <v>0</v>
      </c>
      <c r="DP553">
        <v>1</v>
      </c>
      <c r="DQ553">
        <v>1</v>
      </c>
      <c r="DU553">
        <v>1010</v>
      </c>
      <c r="DV553" t="s">
        <v>304</v>
      </c>
      <c r="DW553" t="s">
        <v>304</v>
      </c>
      <c r="DX553">
        <v>1</v>
      </c>
      <c r="EE553">
        <v>44847253</v>
      </c>
      <c r="EF553">
        <v>130</v>
      </c>
      <c r="EG553" t="s">
        <v>578</v>
      </c>
      <c r="EH553">
        <v>0</v>
      </c>
      <c r="EI553" t="s">
        <v>3</v>
      </c>
      <c r="EJ553">
        <v>3</v>
      </c>
      <c r="EK553">
        <v>746</v>
      </c>
      <c r="EL553" t="s">
        <v>579</v>
      </c>
      <c r="EM553" t="s">
        <v>580</v>
      </c>
      <c r="EO553" t="s">
        <v>3</v>
      </c>
      <c r="EQ553">
        <v>131072</v>
      </c>
      <c r="ER553">
        <v>10915.08</v>
      </c>
      <c r="ES553">
        <v>10679.5</v>
      </c>
      <c r="ET553">
        <v>0</v>
      </c>
      <c r="EU553">
        <v>0</v>
      </c>
      <c r="EV553">
        <v>0</v>
      </c>
      <c r="EW553">
        <v>0</v>
      </c>
      <c r="EX553">
        <v>0</v>
      </c>
      <c r="EY553">
        <v>0</v>
      </c>
      <c r="EZ553">
        <v>5</v>
      </c>
      <c r="FC553">
        <v>1</v>
      </c>
      <c r="FD553">
        <v>18</v>
      </c>
      <c r="FF553">
        <v>50414</v>
      </c>
      <c r="FQ553">
        <v>0</v>
      </c>
      <c r="FR553">
        <f t="shared" si="495"/>
        <v>44533.52</v>
      </c>
      <c r="FS553">
        <v>0</v>
      </c>
      <c r="FX553">
        <v>0</v>
      </c>
      <c r="FY553">
        <v>0</v>
      </c>
      <c r="GA553" t="s">
        <v>593</v>
      </c>
      <c r="GD553">
        <v>0</v>
      </c>
      <c r="GF553">
        <v>-499424729</v>
      </c>
      <c r="GG553">
        <v>2</v>
      </c>
      <c r="GH553">
        <v>3</v>
      </c>
      <c r="GI553">
        <v>3</v>
      </c>
      <c r="GJ553">
        <v>0</v>
      </c>
      <c r="GK553">
        <f>ROUND(R553*(S12)/100,2)</f>
        <v>0</v>
      </c>
      <c r="GL553">
        <f t="shared" si="496"/>
        <v>0</v>
      </c>
      <c r="GM553">
        <f t="shared" si="497"/>
        <v>44533.52</v>
      </c>
      <c r="GN553">
        <f t="shared" si="498"/>
        <v>0</v>
      </c>
      <c r="GO553">
        <f t="shared" si="499"/>
        <v>0</v>
      </c>
      <c r="GP553">
        <f t="shared" si="500"/>
        <v>0</v>
      </c>
      <c r="GR553">
        <v>1</v>
      </c>
      <c r="GS553">
        <v>1</v>
      </c>
      <c r="GT553">
        <v>0</v>
      </c>
      <c r="GU553" t="s">
        <v>3</v>
      </c>
      <c r="GV553">
        <f t="shared" si="501"/>
        <v>0</v>
      </c>
      <c r="GW553">
        <v>1</v>
      </c>
      <c r="GX553">
        <f t="shared" si="502"/>
        <v>0</v>
      </c>
      <c r="HA553">
        <v>0</v>
      </c>
      <c r="HB553">
        <v>0</v>
      </c>
      <c r="IK553">
        <v>0</v>
      </c>
    </row>
    <row r="555" spans="1:255" x14ac:dyDescent="0.2">
      <c r="A555" s="3">
        <v>51</v>
      </c>
      <c r="B555" s="3">
        <f>B540</f>
        <v>1</v>
      </c>
      <c r="C555" s="3">
        <f>A540</f>
        <v>4</v>
      </c>
      <c r="D555" s="3">
        <f>ROW(A540)</f>
        <v>540</v>
      </c>
      <c r="E555" s="3"/>
      <c r="F555" s="3" t="str">
        <f>IF(F540&lt;&gt;"",F540,"")</f>
        <v>Новый раздел</v>
      </c>
      <c r="G555" s="3" t="str">
        <f>IF(G540&lt;&gt;"",G540,"")</f>
        <v>Оборудование</v>
      </c>
      <c r="H555" s="3">
        <v>0</v>
      </c>
      <c r="I555" s="3"/>
      <c r="J555" s="3"/>
      <c r="K555" s="3"/>
      <c r="L555" s="3"/>
      <c r="M555" s="3"/>
      <c r="N555" s="3"/>
      <c r="O555" s="3">
        <f t="shared" ref="O555:T555" si="503">ROUND(AB555,2)</f>
        <v>59400.61</v>
      </c>
      <c r="P555" s="3">
        <f t="shared" si="503"/>
        <v>59400.61</v>
      </c>
      <c r="Q555" s="3">
        <f t="shared" si="503"/>
        <v>0</v>
      </c>
      <c r="R555" s="3">
        <f t="shared" si="503"/>
        <v>0</v>
      </c>
      <c r="S555" s="3">
        <f t="shared" si="503"/>
        <v>0</v>
      </c>
      <c r="T555" s="3">
        <f t="shared" si="503"/>
        <v>0</v>
      </c>
      <c r="U555" s="3">
        <f>AH555</f>
        <v>0</v>
      </c>
      <c r="V555" s="3">
        <f>AI555</f>
        <v>0</v>
      </c>
      <c r="W555" s="3">
        <f>ROUND(AJ555,2)</f>
        <v>0</v>
      </c>
      <c r="X555" s="3">
        <f>ROUND(AK555,2)</f>
        <v>0</v>
      </c>
      <c r="Y555" s="3">
        <f>ROUND(AL555,2)</f>
        <v>0</v>
      </c>
      <c r="Z555" s="3"/>
      <c r="AA555" s="3"/>
      <c r="AB555" s="3">
        <f>ROUND(SUMIF(AA544:AA553,"=45037306",O544:O553),2)</f>
        <v>59400.61</v>
      </c>
      <c r="AC555" s="3">
        <f>ROUND(SUMIF(AA544:AA553,"=45037306",P544:P553),2)</f>
        <v>59400.61</v>
      </c>
      <c r="AD555" s="3">
        <f>ROUND(SUMIF(AA544:AA553,"=45037306",Q544:Q553),2)</f>
        <v>0</v>
      </c>
      <c r="AE555" s="3">
        <f>ROUND(SUMIF(AA544:AA553,"=45037306",R544:R553),2)</f>
        <v>0</v>
      </c>
      <c r="AF555" s="3">
        <f>ROUND(SUMIF(AA544:AA553,"=45037306",S544:S553),2)</f>
        <v>0</v>
      </c>
      <c r="AG555" s="3">
        <f>ROUND(SUMIF(AA544:AA553,"=45037306",T544:T553),2)</f>
        <v>0</v>
      </c>
      <c r="AH555" s="3">
        <f>SUMIF(AA544:AA553,"=45037306",U544:U553)</f>
        <v>0</v>
      </c>
      <c r="AI555" s="3">
        <f>SUMIF(AA544:AA553,"=45037306",V544:V553)</f>
        <v>0</v>
      </c>
      <c r="AJ555" s="3">
        <f>ROUND(SUMIF(AA544:AA553,"=45037306",W544:W553),2)</f>
        <v>0</v>
      </c>
      <c r="AK555" s="3">
        <f>ROUND(SUMIF(AA544:AA553,"=45037306",X544:X553),2)</f>
        <v>0</v>
      </c>
      <c r="AL555" s="3">
        <f>ROUND(SUMIF(AA544:AA553,"=45037306",Y544:Y553),2)</f>
        <v>0</v>
      </c>
      <c r="AM555" s="3"/>
      <c r="AN555" s="3"/>
      <c r="AO555" s="3">
        <f t="shared" ref="AO555:BC555" si="504">ROUND(BX555,2)</f>
        <v>0</v>
      </c>
      <c r="AP555" s="3">
        <f t="shared" si="504"/>
        <v>59400.61</v>
      </c>
      <c r="AQ555" s="3">
        <f t="shared" si="504"/>
        <v>0</v>
      </c>
      <c r="AR555" s="3">
        <f t="shared" si="504"/>
        <v>59400.61</v>
      </c>
      <c r="AS555" s="3">
        <f t="shared" si="504"/>
        <v>0</v>
      </c>
      <c r="AT555" s="3">
        <f t="shared" si="504"/>
        <v>0</v>
      </c>
      <c r="AU555" s="3">
        <f t="shared" si="504"/>
        <v>0</v>
      </c>
      <c r="AV555" s="3">
        <f t="shared" si="504"/>
        <v>59400.61</v>
      </c>
      <c r="AW555" s="3">
        <f t="shared" si="504"/>
        <v>0</v>
      </c>
      <c r="AX555" s="3">
        <f t="shared" si="504"/>
        <v>0</v>
      </c>
      <c r="AY555" s="3">
        <f t="shared" si="504"/>
        <v>0</v>
      </c>
      <c r="AZ555" s="3">
        <f t="shared" si="504"/>
        <v>59400.61</v>
      </c>
      <c r="BA555" s="3">
        <f t="shared" si="504"/>
        <v>0</v>
      </c>
      <c r="BB555" s="3">
        <f t="shared" si="504"/>
        <v>0</v>
      </c>
      <c r="BC555" s="3">
        <f t="shared" si="504"/>
        <v>0</v>
      </c>
      <c r="BD555" s="3"/>
      <c r="BE555" s="3"/>
      <c r="BF555" s="3"/>
      <c r="BG555" s="3"/>
      <c r="BH555" s="3"/>
      <c r="BI555" s="3"/>
      <c r="BJ555" s="3"/>
      <c r="BK555" s="3"/>
      <c r="BL555" s="3"/>
      <c r="BM555" s="3"/>
      <c r="BN555" s="3"/>
      <c r="BO555" s="3"/>
      <c r="BP555" s="3"/>
      <c r="BQ555" s="3"/>
      <c r="BR555" s="3"/>
      <c r="BS555" s="3"/>
      <c r="BT555" s="3"/>
      <c r="BU555" s="3"/>
      <c r="BV555" s="3"/>
      <c r="BW555" s="3"/>
      <c r="BX555" s="3">
        <f>ROUND(SUMIF(AA544:AA553,"=45037306",FQ544:FQ553),2)</f>
        <v>0</v>
      </c>
      <c r="BY555" s="3">
        <f>ROUND(SUMIF(AA544:AA553,"=45037306",FR544:FR553),2)</f>
        <v>59400.61</v>
      </c>
      <c r="BZ555" s="3">
        <f>ROUND(SUMIF(AA544:AA553,"=45037306",GL544:GL553),2)</f>
        <v>0</v>
      </c>
      <c r="CA555" s="3">
        <f>ROUND(SUMIF(AA544:AA553,"=45037306",GM544:GM553),2)</f>
        <v>59400.61</v>
      </c>
      <c r="CB555" s="3">
        <f>ROUND(SUMIF(AA544:AA553,"=45037306",GN544:GN553),2)</f>
        <v>0</v>
      </c>
      <c r="CC555" s="3">
        <f>ROUND(SUMIF(AA544:AA553,"=45037306",GO544:GO553),2)</f>
        <v>0</v>
      </c>
      <c r="CD555" s="3">
        <f>ROUND(SUMIF(AA544:AA553,"=45037306",GP544:GP553),2)</f>
        <v>0</v>
      </c>
      <c r="CE555" s="3">
        <f>AC555-BX555</f>
        <v>59400.61</v>
      </c>
      <c r="CF555" s="3">
        <f>AC555-BY555</f>
        <v>0</v>
      </c>
      <c r="CG555" s="3">
        <f>BX555-BZ555</f>
        <v>0</v>
      </c>
      <c r="CH555" s="3">
        <f>AC555-BX555-BY555+BZ555</f>
        <v>0</v>
      </c>
      <c r="CI555" s="3">
        <f>BY555-BZ555</f>
        <v>59400.61</v>
      </c>
      <c r="CJ555" s="3">
        <f>ROUND(SUMIF(AA544:AA553,"=45037306",GX544:GX553),2)</f>
        <v>0</v>
      </c>
      <c r="CK555" s="3">
        <f>ROUND(SUMIF(AA544:AA553,"=45037306",GY544:GY553),2)</f>
        <v>0</v>
      </c>
      <c r="CL555" s="3">
        <f>ROUND(SUMIF(AA544:AA553,"=45037306",GZ544:GZ553),2)</f>
        <v>0</v>
      </c>
      <c r="CM555" s="3"/>
      <c r="CN555" s="3"/>
      <c r="CO555" s="3"/>
      <c r="CP555" s="3"/>
      <c r="CQ555" s="3"/>
      <c r="CR555" s="3"/>
      <c r="CS555" s="3"/>
      <c r="CT555" s="3"/>
      <c r="CU555" s="3"/>
      <c r="CV555" s="3"/>
      <c r="CW555" s="3"/>
      <c r="CX555" s="3"/>
      <c r="CY555" s="3"/>
      <c r="CZ555" s="3"/>
      <c r="DA555" s="3"/>
      <c r="DB555" s="3"/>
      <c r="DC555" s="3"/>
      <c r="DD555" s="3"/>
      <c r="DE555" s="3"/>
      <c r="DF555" s="3"/>
      <c r="DG555" s="4">
        <f t="shared" ref="DG555:DL555" si="505">ROUND(DT555,2)</f>
        <v>247700.55</v>
      </c>
      <c r="DH555" s="4">
        <f t="shared" si="505"/>
        <v>247700.55</v>
      </c>
      <c r="DI555" s="4">
        <f t="shared" si="505"/>
        <v>0</v>
      </c>
      <c r="DJ555" s="4">
        <f t="shared" si="505"/>
        <v>0</v>
      </c>
      <c r="DK555" s="4">
        <f t="shared" si="505"/>
        <v>0</v>
      </c>
      <c r="DL555" s="4">
        <f t="shared" si="505"/>
        <v>0</v>
      </c>
      <c r="DM555" s="4">
        <f>DZ555</f>
        <v>0</v>
      </c>
      <c r="DN555" s="4">
        <f>EA555</f>
        <v>0</v>
      </c>
      <c r="DO555" s="4">
        <f>ROUND(EB555,2)</f>
        <v>0</v>
      </c>
      <c r="DP555" s="4">
        <f>ROUND(EC555,2)</f>
        <v>0</v>
      </c>
      <c r="DQ555" s="4">
        <f>ROUND(ED555,2)</f>
        <v>0</v>
      </c>
      <c r="DR555" s="4"/>
      <c r="DS555" s="4"/>
      <c r="DT555" s="4">
        <f>ROUND(SUMIF(AA544:AA553,"=45037307",O544:O553),2)</f>
        <v>247700.55</v>
      </c>
      <c r="DU555" s="4">
        <f>ROUND(SUMIF(AA544:AA553,"=45037307",P544:P553),2)</f>
        <v>247700.55</v>
      </c>
      <c r="DV555" s="4">
        <f>ROUND(SUMIF(AA544:AA553,"=45037307",Q544:Q553),2)</f>
        <v>0</v>
      </c>
      <c r="DW555" s="4">
        <f>ROUND(SUMIF(AA544:AA553,"=45037307",R544:R553),2)</f>
        <v>0</v>
      </c>
      <c r="DX555" s="4">
        <f>ROUND(SUMIF(AA544:AA553,"=45037307",S544:S553),2)</f>
        <v>0</v>
      </c>
      <c r="DY555" s="4">
        <f>ROUND(SUMIF(AA544:AA553,"=45037307",T544:T553),2)</f>
        <v>0</v>
      </c>
      <c r="DZ555" s="4">
        <f>SUMIF(AA544:AA553,"=45037307",U544:U553)</f>
        <v>0</v>
      </c>
      <c r="EA555" s="4">
        <f>SUMIF(AA544:AA553,"=45037307",V544:V553)</f>
        <v>0</v>
      </c>
      <c r="EB555" s="4">
        <f>ROUND(SUMIF(AA544:AA553,"=45037307",W544:W553),2)</f>
        <v>0</v>
      </c>
      <c r="EC555" s="4">
        <f>ROUND(SUMIF(AA544:AA553,"=45037307",X544:X553),2)</f>
        <v>0</v>
      </c>
      <c r="ED555" s="4">
        <f>ROUND(SUMIF(AA544:AA553,"=45037307",Y544:Y553),2)</f>
        <v>0</v>
      </c>
      <c r="EE555" s="4"/>
      <c r="EF555" s="4"/>
      <c r="EG555" s="4">
        <f t="shared" ref="EG555:EU555" si="506">ROUND(FP555,2)</f>
        <v>0</v>
      </c>
      <c r="EH555" s="4">
        <f t="shared" si="506"/>
        <v>247700.55</v>
      </c>
      <c r="EI555" s="4">
        <f t="shared" si="506"/>
        <v>0</v>
      </c>
      <c r="EJ555" s="4">
        <f t="shared" si="506"/>
        <v>247700.55</v>
      </c>
      <c r="EK555" s="4">
        <f t="shared" si="506"/>
        <v>0</v>
      </c>
      <c r="EL555" s="4">
        <f t="shared" si="506"/>
        <v>0</v>
      </c>
      <c r="EM555" s="4">
        <f t="shared" si="506"/>
        <v>0</v>
      </c>
      <c r="EN555" s="4">
        <f t="shared" si="506"/>
        <v>247700.55</v>
      </c>
      <c r="EO555" s="4">
        <f t="shared" si="506"/>
        <v>0</v>
      </c>
      <c r="EP555" s="4">
        <f t="shared" si="506"/>
        <v>0</v>
      </c>
      <c r="EQ555" s="4">
        <f t="shared" si="506"/>
        <v>0</v>
      </c>
      <c r="ER555" s="4">
        <f t="shared" si="506"/>
        <v>247700.55</v>
      </c>
      <c r="ES555" s="4">
        <f t="shared" si="506"/>
        <v>0</v>
      </c>
      <c r="ET555" s="4">
        <f t="shared" si="506"/>
        <v>0</v>
      </c>
      <c r="EU555" s="4">
        <f t="shared" si="506"/>
        <v>0</v>
      </c>
      <c r="EV555" s="4"/>
      <c r="EW555" s="4"/>
      <c r="EX555" s="4"/>
      <c r="EY555" s="4"/>
      <c r="EZ555" s="4"/>
      <c r="FA555" s="4"/>
      <c r="FB555" s="4"/>
      <c r="FC555" s="4"/>
      <c r="FD555" s="4"/>
      <c r="FE555" s="4"/>
      <c r="FF555" s="4"/>
      <c r="FG555" s="4"/>
      <c r="FH555" s="4"/>
      <c r="FI555" s="4"/>
      <c r="FJ555" s="4"/>
      <c r="FK555" s="4"/>
      <c r="FL555" s="4"/>
      <c r="FM555" s="4"/>
      <c r="FN555" s="4"/>
      <c r="FO555" s="4"/>
      <c r="FP555" s="4">
        <f>ROUND(SUMIF(AA544:AA553,"=45037307",FQ544:FQ553),2)</f>
        <v>0</v>
      </c>
      <c r="FQ555" s="4">
        <f>ROUND(SUMIF(AA544:AA553,"=45037307",FR544:FR553),2)</f>
        <v>247700.55</v>
      </c>
      <c r="FR555" s="4">
        <f>ROUND(SUMIF(AA544:AA553,"=45037307",GL544:GL553),2)</f>
        <v>0</v>
      </c>
      <c r="FS555" s="4">
        <f>ROUND(SUMIF(AA544:AA553,"=45037307",GM544:GM553),2)</f>
        <v>247700.55</v>
      </c>
      <c r="FT555" s="4">
        <f>ROUND(SUMIF(AA544:AA553,"=45037307",GN544:GN553),2)</f>
        <v>0</v>
      </c>
      <c r="FU555" s="4">
        <f>ROUND(SUMIF(AA544:AA553,"=45037307",GO544:GO553),2)</f>
        <v>0</v>
      </c>
      <c r="FV555" s="4">
        <f>ROUND(SUMIF(AA544:AA553,"=45037307",GP544:GP553),2)</f>
        <v>0</v>
      </c>
      <c r="FW555" s="4">
        <f>DU555-FP555</f>
        <v>247700.55</v>
      </c>
      <c r="FX555" s="4">
        <f>DU555-FQ555</f>
        <v>0</v>
      </c>
      <c r="FY555" s="4">
        <f>FP555-FR555</f>
        <v>0</v>
      </c>
      <c r="FZ555" s="4">
        <f>DU555-FP555-FQ555+FR555</f>
        <v>0</v>
      </c>
      <c r="GA555" s="4">
        <f>FQ555-FR555</f>
        <v>247700.55</v>
      </c>
      <c r="GB555" s="4">
        <f>ROUND(SUMIF(AA544:AA553,"=45037307",GX544:GX553),2)</f>
        <v>0</v>
      </c>
      <c r="GC555" s="4">
        <f>ROUND(SUMIF(AA544:AA553,"=45037307",GY544:GY553),2)</f>
        <v>0</v>
      </c>
      <c r="GD555" s="4">
        <f>ROUND(SUMIF(AA544:AA553,"=45037307",GZ544:GZ553),2)</f>
        <v>0</v>
      </c>
      <c r="GE555" s="4"/>
      <c r="GF555" s="4"/>
      <c r="GG555" s="4"/>
      <c r="GH555" s="4"/>
      <c r="GI555" s="4"/>
      <c r="GJ555" s="4"/>
      <c r="GK555" s="4"/>
      <c r="GL555" s="4"/>
      <c r="GM555" s="4"/>
      <c r="GN555" s="4"/>
      <c r="GO555" s="4"/>
      <c r="GP555" s="4"/>
      <c r="GQ555" s="4"/>
      <c r="GR555" s="4"/>
      <c r="GS555" s="4"/>
      <c r="GT555" s="4"/>
      <c r="GU555" s="4"/>
      <c r="GV555" s="4"/>
      <c r="GW555" s="4"/>
      <c r="GX555" s="4">
        <v>0</v>
      </c>
    </row>
    <row r="557" spans="1:255" x14ac:dyDescent="0.2">
      <c r="A557" s="5">
        <v>50</v>
      </c>
      <c r="B557" s="5">
        <v>0</v>
      </c>
      <c r="C557" s="5">
        <v>0</v>
      </c>
      <c r="D557" s="5">
        <v>1</v>
      </c>
      <c r="E557" s="5">
        <v>201</v>
      </c>
      <c r="F557" s="5">
        <f>ROUND(Source!O555,O557)</f>
        <v>59400.61</v>
      </c>
      <c r="G557" s="5" t="s">
        <v>117</v>
      </c>
      <c r="H557" s="5" t="s">
        <v>118</v>
      </c>
      <c r="I557" s="5"/>
      <c r="J557" s="5"/>
      <c r="K557" s="5">
        <v>201</v>
      </c>
      <c r="L557" s="5">
        <v>1</v>
      </c>
      <c r="M557" s="5">
        <v>3</v>
      </c>
      <c r="N557" s="5" t="s">
        <v>3</v>
      </c>
      <c r="O557" s="5">
        <v>2</v>
      </c>
      <c r="P557" s="5">
        <f>ROUND(Source!DG555,O557)</f>
        <v>247700.55</v>
      </c>
      <c r="Q557" s="5"/>
      <c r="R557" s="5"/>
      <c r="S557" s="5"/>
      <c r="T557" s="5"/>
      <c r="U557" s="5"/>
      <c r="V557" s="5"/>
      <c r="W557" s="5"/>
    </row>
    <row r="558" spans="1:255" x14ac:dyDescent="0.2">
      <c r="A558" s="5">
        <v>50</v>
      </c>
      <c r="B558" s="5">
        <v>0</v>
      </c>
      <c r="C558" s="5">
        <v>0</v>
      </c>
      <c r="D558" s="5">
        <v>1</v>
      </c>
      <c r="E558" s="5">
        <v>202</v>
      </c>
      <c r="F558" s="5">
        <f>ROUND(Source!P555,O558)</f>
        <v>59400.61</v>
      </c>
      <c r="G558" s="5" t="s">
        <v>119</v>
      </c>
      <c r="H558" s="5" t="s">
        <v>120</v>
      </c>
      <c r="I558" s="5"/>
      <c r="J558" s="5"/>
      <c r="K558" s="5">
        <v>202</v>
      </c>
      <c r="L558" s="5">
        <v>2</v>
      </c>
      <c r="M558" s="5">
        <v>3</v>
      </c>
      <c r="N558" s="5" t="s">
        <v>3</v>
      </c>
      <c r="O558" s="5">
        <v>2</v>
      </c>
      <c r="P558" s="5">
        <f>ROUND(Source!DH555,O558)</f>
        <v>247700.55</v>
      </c>
      <c r="Q558" s="5"/>
      <c r="R558" s="5"/>
      <c r="S558" s="5"/>
      <c r="T558" s="5"/>
      <c r="U558" s="5"/>
      <c r="V558" s="5"/>
      <c r="W558" s="5"/>
    </row>
    <row r="559" spans="1:255" x14ac:dyDescent="0.2">
      <c r="A559" s="5">
        <v>50</v>
      </c>
      <c r="B559" s="5">
        <v>0</v>
      </c>
      <c r="C559" s="5">
        <v>0</v>
      </c>
      <c r="D559" s="5">
        <v>1</v>
      </c>
      <c r="E559" s="5">
        <v>227</v>
      </c>
      <c r="F559" s="5">
        <f>ROUND(Source!AO555,O559)</f>
        <v>0</v>
      </c>
      <c r="G559" s="5" t="s">
        <v>121</v>
      </c>
      <c r="H559" s="5" t="s">
        <v>122</v>
      </c>
      <c r="I559" s="5"/>
      <c r="J559" s="5"/>
      <c r="K559" s="5">
        <v>222</v>
      </c>
      <c r="L559" s="5">
        <v>3</v>
      </c>
      <c r="M559" s="5">
        <v>3</v>
      </c>
      <c r="N559" s="5" t="s">
        <v>3</v>
      </c>
      <c r="O559" s="5">
        <v>2</v>
      </c>
      <c r="P559" s="5">
        <f>ROUND(Source!EG555,O559)</f>
        <v>0</v>
      </c>
      <c r="Q559" s="5"/>
      <c r="R559" s="5"/>
      <c r="S559" s="5"/>
      <c r="T559" s="5"/>
      <c r="U559" s="5"/>
      <c r="V559" s="5"/>
      <c r="W559" s="5"/>
    </row>
    <row r="560" spans="1:255" x14ac:dyDescent="0.2">
      <c r="A560" s="5">
        <v>50</v>
      </c>
      <c r="B560" s="5">
        <v>0</v>
      </c>
      <c r="C560" s="5">
        <v>0</v>
      </c>
      <c r="D560" s="5">
        <v>1</v>
      </c>
      <c r="E560" s="5">
        <v>225</v>
      </c>
      <c r="F560" s="5">
        <f>ROUND(Source!AV555,O560)</f>
        <v>59400.61</v>
      </c>
      <c r="G560" s="5" t="s">
        <v>123</v>
      </c>
      <c r="H560" s="5" t="s">
        <v>124</v>
      </c>
      <c r="I560" s="5"/>
      <c r="J560" s="5"/>
      <c r="K560" s="5">
        <v>225</v>
      </c>
      <c r="L560" s="5">
        <v>4</v>
      </c>
      <c r="M560" s="5">
        <v>3</v>
      </c>
      <c r="N560" s="5" t="s">
        <v>3</v>
      </c>
      <c r="O560" s="5">
        <v>2</v>
      </c>
      <c r="P560" s="5">
        <f>ROUND(Source!EN555,O560)</f>
        <v>247700.55</v>
      </c>
      <c r="Q560" s="5"/>
      <c r="R560" s="5"/>
      <c r="S560" s="5"/>
      <c r="T560" s="5"/>
      <c r="U560" s="5"/>
      <c r="V560" s="5"/>
      <c r="W560" s="5"/>
    </row>
    <row r="561" spans="1:23" x14ac:dyDescent="0.2">
      <c r="A561" s="5">
        <v>50</v>
      </c>
      <c r="B561" s="5">
        <v>0</v>
      </c>
      <c r="C561" s="5">
        <v>0</v>
      </c>
      <c r="D561" s="5">
        <v>1</v>
      </c>
      <c r="E561" s="5">
        <v>226</v>
      </c>
      <c r="F561" s="5">
        <f>ROUND(Source!AW555,O561)</f>
        <v>0</v>
      </c>
      <c r="G561" s="5" t="s">
        <v>125</v>
      </c>
      <c r="H561" s="5" t="s">
        <v>126</v>
      </c>
      <c r="I561" s="5"/>
      <c r="J561" s="5"/>
      <c r="K561" s="5">
        <v>226</v>
      </c>
      <c r="L561" s="5">
        <v>5</v>
      </c>
      <c r="M561" s="5">
        <v>3</v>
      </c>
      <c r="N561" s="5" t="s">
        <v>3</v>
      </c>
      <c r="O561" s="5">
        <v>2</v>
      </c>
      <c r="P561" s="5">
        <f>ROUND(Source!EO555,O561)</f>
        <v>0</v>
      </c>
      <c r="Q561" s="5"/>
      <c r="R561" s="5"/>
      <c r="S561" s="5"/>
      <c r="T561" s="5"/>
      <c r="U561" s="5"/>
      <c r="V561" s="5"/>
      <c r="W561" s="5"/>
    </row>
    <row r="562" spans="1:23" x14ac:dyDescent="0.2">
      <c r="A562" s="5">
        <v>50</v>
      </c>
      <c r="B562" s="5">
        <v>0</v>
      </c>
      <c r="C562" s="5">
        <v>0</v>
      </c>
      <c r="D562" s="5">
        <v>1</v>
      </c>
      <c r="E562" s="5">
        <v>0</v>
      </c>
      <c r="F562" s="5">
        <f>ROUND(Source!AX555,O562)</f>
        <v>0</v>
      </c>
      <c r="G562" s="5" t="s">
        <v>127</v>
      </c>
      <c r="H562" s="5" t="s">
        <v>128</v>
      </c>
      <c r="I562" s="5"/>
      <c r="J562" s="5"/>
      <c r="K562" s="5">
        <v>227</v>
      </c>
      <c r="L562" s="5">
        <v>6</v>
      </c>
      <c r="M562" s="5">
        <v>3</v>
      </c>
      <c r="N562" s="5" t="s">
        <v>3</v>
      </c>
      <c r="O562" s="5">
        <v>2</v>
      </c>
      <c r="P562" s="5">
        <f>ROUND(Source!EP555,O562)</f>
        <v>0</v>
      </c>
      <c r="Q562" s="5"/>
      <c r="R562" s="5"/>
      <c r="S562" s="5"/>
      <c r="T562" s="5"/>
      <c r="U562" s="5"/>
      <c r="V562" s="5"/>
      <c r="W562" s="5"/>
    </row>
    <row r="563" spans="1:23" x14ac:dyDescent="0.2">
      <c r="A563" s="5">
        <v>50</v>
      </c>
      <c r="B563" s="5">
        <v>0</v>
      </c>
      <c r="C563" s="5">
        <v>0</v>
      </c>
      <c r="D563" s="5">
        <v>1</v>
      </c>
      <c r="E563" s="5">
        <v>228</v>
      </c>
      <c r="F563" s="5">
        <f>ROUND(Source!AY555,O563)</f>
        <v>0</v>
      </c>
      <c r="G563" s="5" t="s">
        <v>129</v>
      </c>
      <c r="H563" s="5" t="s">
        <v>130</v>
      </c>
      <c r="I563" s="5"/>
      <c r="J563" s="5"/>
      <c r="K563" s="5">
        <v>228</v>
      </c>
      <c r="L563" s="5">
        <v>7</v>
      </c>
      <c r="M563" s="5">
        <v>3</v>
      </c>
      <c r="N563" s="5" t="s">
        <v>3</v>
      </c>
      <c r="O563" s="5">
        <v>2</v>
      </c>
      <c r="P563" s="5">
        <f>ROUND(Source!EQ555,O563)</f>
        <v>0</v>
      </c>
      <c r="Q563" s="5"/>
      <c r="R563" s="5"/>
      <c r="S563" s="5"/>
      <c r="T563" s="5"/>
      <c r="U563" s="5"/>
      <c r="V563" s="5"/>
      <c r="W563" s="5"/>
    </row>
    <row r="564" spans="1:23" x14ac:dyDescent="0.2">
      <c r="A564" s="5">
        <v>50</v>
      </c>
      <c r="B564" s="5">
        <v>0</v>
      </c>
      <c r="C564" s="5">
        <v>0</v>
      </c>
      <c r="D564" s="5">
        <v>1</v>
      </c>
      <c r="E564" s="5">
        <v>216</v>
      </c>
      <c r="F564" s="5">
        <f>ROUND(Source!AP555,O564)</f>
        <v>59400.61</v>
      </c>
      <c r="G564" s="5" t="s">
        <v>131</v>
      </c>
      <c r="H564" s="5" t="s">
        <v>132</v>
      </c>
      <c r="I564" s="5"/>
      <c r="J564" s="5"/>
      <c r="K564" s="5">
        <v>216</v>
      </c>
      <c r="L564" s="5">
        <v>8</v>
      </c>
      <c r="M564" s="5">
        <v>3</v>
      </c>
      <c r="N564" s="5" t="s">
        <v>3</v>
      </c>
      <c r="O564" s="5">
        <v>2</v>
      </c>
      <c r="P564" s="5">
        <f>ROUND(Source!EH555,O564)</f>
        <v>247700.55</v>
      </c>
      <c r="Q564" s="5"/>
      <c r="R564" s="5"/>
      <c r="S564" s="5"/>
      <c r="T564" s="5"/>
      <c r="U564" s="5"/>
      <c r="V564" s="5"/>
      <c r="W564" s="5"/>
    </row>
    <row r="565" spans="1:23" x14ac:dyDescent="0.2">
      <c r="A565" s="5">
        <v>50</v>
      </c>
      <c r="B565" s="5">
        <v>0</v>
      </c>
      <c r="C565" s="5">
        <v>0</v>
      </c>
      <c r="D565" s="5">
        <v>1</v>
      </c>
      <c r="E565" s="5">
        <v>223</v>
      </c>
      <c r="F565" s="5">
        <f>ROUND(Source!AQ555,O565)</f>
        <v>0</v>
      </c>
      <c r="G565" s="5" t="s">
        <v>133</v>
      </c>
      <c r="H565" s="5" t="s">
        <v>134</v>
      </c>
      <c r="I565" s="5"/>
      <c r="J565" s="5"/>
      <c r="K565" s="5">
        <v>223</v>
      </c>
      <c r="L565" s="5">
        <v>9</v>
      </c>
      <c r="M565" s="5">
        <v>3</v>
      </c>
      <c r="N565" s="5" t="s">
        <v>3</v>
      </c>
      <c r="O565" s="5">
        <v>2</v>
      </c>
      <c r="P565" s="5">
        <f>ROUND(Source!EI555,O565)</f>
        <v>0</v>
      </c>
      <c r="Q565" s="5"/>
      <c r="R565" s="5"/>
      <c r="S565" s="5"/>
      <c r="T565" s="5"/>
      <c r="U565" s="5"/>
      <c r="V565" s="5"/>
      <c r="W565" s="5"/>
    </row>
    <row r="566" spans="1:23" x14ac:dyDescent="0.2">
      <c r="A566" s="5">
        <v>50</v>
      </c>
      <c r="B566" s="5">
        <v>0</v>
      </c>
      <c r="C566" s="5">
        <v>0</v>
      </c>
      <c r="D566" s="5">
        <v>1</v>
      </c>
      <c r="E566" s="5">
        <v>229</v>
      </c>
      <c r="F566" s="5">
        <f>ROUND(Source!AZ555,O566)</f>
        <v>59400.61</v>
      </c>
      <c r="G566" s="5" t="s">
        <v>135</v>
      </c>
      <c r="H566" s="5" t="s">
        <v>136</v>
      </c>
      <c r="I566" s="5"/>
      <c r="J566" s="5"/>
      <c r="K566" s="5">
        <v>229</v>
      </c>
      <c r="L566" s="5">
        <v>10</v>
      </c>
      <c r="M566" s="5">
        <v>3</v>
      </c>
      <c r="N566" s="5" t="s">
        <v>3</v>
      </c>
      <c r="O566" s="5">
        <v>2</v>
      </c>
      <c r="P566" s="5">
        <f>ROUND(Source!ER555,O566)</f>
        <v>247700.55</v>
      </c>
      <c r="Q566" s="5"/>
      <c r="R566" s="5"/>
      <c r="S566" s="5"/>
      <c r="T566" s="5"/>
      <c r="U566" s="5"/>
      <c r="V566" s="5"/>
      <c r="W566" s="5"/>
    </row>
    <row r="567" spans="1:23" x14ac:dyDescent="0.2">
      <c r="A567" s="5">
        <v>50</v>
      </c>
      <c r="B567" s="5">
        <v>0</v>
      </c>
      <c r="C567" s="5">
        <v>0</v>
      </c>
      <c r="D567" s="5">
        <v>1</v>
      </c>
      <c r="E567" s="5">
        <v>203</v>
      </c>
      <c r="F567" s="5">
        <f>ROUND(Source!Q555,O567)</f>
        <v>0</v>
      </c>
      <c r="G567" s="5" t="s">
        <v>137</v>
      </c>
      <c r="H567" s="5" t="s">
        <v>138</v>
      </c>
      <c r="I567" s="5"/>
      <c r="J567" s="5"/>
      <c r="K567" s="5">
        <v>203</v>
      </c>
      <c r="L567" s="5">
        <v>11</v>
      </c>
      <c r="M567" s="5">
        <v>3</v>
      </c>
      <c r="N567" s="5" t="s">
        <v>3</v>
      </c>
      <c r="O567" s="5">
        <v>2</v>
      </c>
      <c r="P567" s="5">
        <f>ROUND(Source!DI555,O567)</f>
        <v>0</v>
      </c>
      <c r="Q567" s="5"/>
      <c r="R567" s="5"/>
      <c r="S567" s="5"/>
      <c r="T567" s="5"/>
      <c r="U567" s="5"/>
      <c r="V567" s="5"/>
      <c r="W567" s="5"/>
    </row>
    <row r="568" spans="1:23" x14ac:dyDescent="0.2">
      <c r="A568" s="5">
        <v>50</v>
      </c>
      <c r="B568" s="5">
        <v>0</v>
      </c>
      <c r="C568" s="5">
        <v>0</v>
      </c>
      <c r="D568" s="5">
        <v>1</v>
      </c>
      <c r="E568" s="5">
        <v>231</v>
      </c>
      <c r="F568" s="5">
        <f>ROUND(Source!BB555,O568)</f>
        <v>0</v>
      </c>
      <c r="G568" s="5" t="s">
        <v>139</v>
      </c>
      <c r="H568" s="5" t="s">
        <v>140</v>
      </c>
      <c r="I568" s="5"/>
      <c r="J568" s="5"/>
      <c r="K568" s="5">
        <v>231</v>
      </c>
      <c r="L568" s="5">
        <v>12</v>
      </c>
      <c r="M568" s="5">
        <v>3</v>
      </c>
      <c r="N568" s="5" t="s">
        <v>3</v>
      </c>
      <c r="O568" s="5">
        <v>2</v>
      </c>
      <c r="P568" s="5">
        <f>ROUND(Source!ET555,O568)</f>
        <v>0</v>
      </c>
      <c r="Q568" s="5"/>
      <c r="R568" s="5"/>
      <c r="S568" s="5"/>
      <c r="T568" s="5"/>
      <c r="U568" s="5"/>
      <c r="V568" s="5"/>
      <c r="W568" s="5"/>
    </row>
    <row r="569" spans="1:23" x14ac:dyDescent="0.2">
      <c r="A569" s="5">
        <v>50</v>
      </c>
      <c r="B569" s="5">
        <v>0</v>
      </c>
      <c r="C569" s="5">
        <v>0</v>
      </c>
      <c r="D569" s="5">
        <v>1</v>
      </c>
      <c r="E569" s="5">
        <v>204</v>
      </c>
      <c r="F569" s="5">
        <f>ROUND(Source!R555,O569)</f>
        <v>0</v>
      </c>
      <c r="G569" s="5" t="s">
        <v>141</v>
      </c>
      <c r="H569" s="5" t="s">
        <v>142</v>
      </c>
      <c r="I569" s="5"/>
      <c r="J569" s="5"/>
      <c r="K569" s="5">
        <v>204</v>
      </c>
      <c r="L569" s="5">
        <v>13</v>
      </c>
      <c r="M569" s="5">
        <v>3</v>
      </c>
      <c r="N569" s="5" t="s">
        <v>3</v>
      </c>
      <c r="O569" s="5">
        <v>2</v>
      </c>
      <c r="P569" s="5">
        <f>ROUND(Source!DJ555,O569)</f>
        <v>0</v>
      </c>
      <c r="Q569" s="5"/>
      <c r="R569" s="5"/>
      <c r="S569" s="5"/>
      <c r="T569" s="5"/>
      <c r="U569" s="5"/>
      <c r="V569" s="5"/>
      <c r="W569" s="5"/>
    </row>
    <row r="570" spans="1:23" x14ac:dyDescent="0.2">
      <c r="A570" s="5">
        <v>50</v>
      </c>
      <c r="B570" s="5">
        <v>0</v>
      </c>
      <c r="C570" s="5">
        <v>0</v>
      </c>
      <c r="D570" s="5">
        <v>1</v>
      </c>
      <c r="E570" s="5">
        <v>205</v>
      </c>
      <c r="F570" s="5">
        <f>ROUND(Source!S555,O570)</f>
        <v>0</v>
      </c>
      <c r="G570" s="5" t="s">
        <v>143</v>
      </c>
      <c r="H570" s="5" t="s">
        <v>144</v>
      </c>
      <c r="I570" s="5"/>
      <c r="J570" s="5"/>
      <c r="K570" s="5">
        <v>205</v>
      </c>
      <c r="L570" s="5">
        <v>14</v>
      </c>
      <c r="M570" s="5">
        <v>3</v>
      </c>
      <c r="N570" s="5" t="s">
        <v>3</v>
      </c>
      <c r="O570" s="5">
        <v>2</v>
      </c>
      <c r="P570" s="5">
        <f>ROUND(Source!DK555,O570)</f>
        <v>0</v>
      </c>
      <c r="Q570" s="5"/>
      <c r="R570" s="5"/>
      <c r="S570" s="5"/>
      <c r="T570" s="5"/>
      <c r="U570" s="5"/>
      <c r="V570" s="5"/>
      <c r="W570" s="5"/>
    </row>
    <row r="571" spans="1:23" x14ac:dyDescent="0.2">
      <c r="A571" s="5">
        <v>50</v>
      </c>
      <c r="B571" s="5">
        <v>0</v>
      </c>
      <c r="C571" s="5">
        <v>0</v>
      </c>
      <c r="D571" s="5">
        <v>1</v>
      </c>
      <c r="E571" s="5">
        <v>232</v>
      </c>
      <c r="F571" s="5">
        <f>ROUND(Source!BC555,O571)</f>
        <v>0</v>
      </c>
      <c r="G571" s="5" t="s">
        <v>145</v>
      </c>
      <c r="H571" s="5" t="s">
        <v>146</v>
      </c>
      <c r="I571" s="5"/>
      <c r="J571" s="5"/>
      <c r="K571" s="5">
        <v>232</v>
      </c>
      <c r="L571" s="5">
        <v>15</v>
      </c>
      <c r="M571" s="5">
        <v>3</v>
      </c>
      <c r="N571" s="5" t="s">
        <v>3</v>
      </c>
      <c r="O571" s="5">
        <v>2</v>
      </c>
      <c r="P571" s="5">
        <f>ROUND(Source!EU555,O571)</f>
        <v>0</v>
      </c>
      <c r="Q571" s="5"/>
      <c r="R571" s="5"/>
      <c r="S571" s="5"/>
      <c r="T571" s="5"/>
      <c r="U571" s="5"/>
      <c r="V571" s="5"/>
      <c r="W571" s="5"/>
    </row>
    <row r="572" spans="1:23" x14ac:dyDescent="0.2">
      <c r="A572" s="5">
        <v>50</v>
      </c>
      <c r="B572" s="5">
        <v>0</v>
      </c>
      <c r="C572" s="5">
        <v>0</v>
      </c>
      <c r="D572" s="5">
        <v>1</v>
      </c>
      <c r="E572" s="5">
        <v>214</v>
      </c>
      <c r="F572" s="5">
        <f>ROUND(Source!AS555,O572)</f>
        <v>0</v>
      </c>
      <c r="G572" s="5" t="s">
        <v>147</v>
      </c>
      <c r="H572" s="5" t="s">
        <v>148</v>
      </c>
      <c r="I572" s="5"/>
      <c r="J572" s="5"/>
      <c r="K572" s="5">
        <v>214</v>
      </c>
      <c r="L572" s="5">
        <v>16</v>
      </c>
      <c r="M572" s="5">
        <v>3</v>
      </c>
      <c r="N572" s="5" t="s">
        <v>3</v>
      </c>
      <c r="O572" s="5">
        <v>2</v>
      </c>
      <c r="P572" s="5">
        <f>ROUND(Source!EK555,O572)</f>
        <v>0</v>
      </c>
      <c r="Q572" s="5"/>
      <c r="R572" s="5"/>
      <c r="S572" s="5"/>
      <c r="T572" s="5"/>
      <c r="U572" s="5"/>
      <c r="V572" s="5"/>
      <c r="W572" s="5"/>
    </row>
    <row r="573" spans="1:23" x14ac:dyDescent="0.2">
      <c r="A573" s="5">
        <v>50</v>
      </c>
      <c r="B573" s="5">
        <v>0</v>
      </c>
      <c r="C573" s="5">
        <v>0</v>
      </c>
      <c r="D573" s="5">
        <v>1</v>
      </c>
      <c r="E573" s="5">
        <v>215</v>
      </c>
      <c r="F573" s="5">
        <f>ROUND(Source!AT555,O573)</f>
        <v>0</v>
      </c>
      <c r="G573" s="5" t="s">
        <v>149</v>
      </c>
      <c r="H573" s="5" t="s">
        <v>150</v>
      </c>
      <c r="I573" s="5"/>
      <c r="J573" s="5"/>
      <c r="K573" s="5">
        <v>215</v>
      </c>
      <c r="L573" s="5">
        <v>17</v>
      </c>
      <c r="M573" s="5">
        <v>3</v>
      </c>
      <c r="N573" s="5" t="s">
        <v>3</v>
      </c>
      <c r="O573" s="5">
        <v>2</v>
      </c>
      <c r="P573" s="5">
        <f>ROUND(Source!EL555,O573)</f>
        <v>0</v>
      </c>
      <c r="Q573" s="5"/>
      <c r="R573" s="5"/>
      <c r="S573" s="5"/>
      <c r="T573" s="5"/>
      <c r="U573" s="5"/>
      <c r="V573" s="5"/>
      <c r="W573" s="5"/>
    </row>
    <row r="574" spans="1:23" x14ac:dyDescent="0.2">
      <c r="A574" s="5">
        <v>50</v>
      </c>
      <c r="B574" s="5">
        <v>0</v>
      </c>
      <c r="C574" s="5">
        <v>0</v>
      </c>
      <c r="D574" s="5">
        <v>1</v>
      </c>
      <c r="E574" s="5">
        <v>217</v>
      </c>
      <c r="F574" s="5">
        <f>ROUND(Source!AU555,O574)</f>
        <v>0</v>
      </c>
      <c r="G574" s="5" t="s">
        <v>151</v>
      </c>
      <c r="H574" s="5" t="s">
        <v>152</v>
      </c>
      <c r="I574" s="5"/>
      <c r="J574" s="5"/>
      <c r="K574" s="5">
        <v>217</v>
      </c>
      <c r="L574" s="5">
        <v>18</v>
      </c>
      <c r="M574" s="5">
        <v>3</v>
      </c>
      <c r="N574" s="5" t="s">
        <v>3</v>
      </c>
      <c r="O574" s="5">
        <v>2</v>
      </c>
      <c r="P574" s="5">
        <f>ROUND(Source!EM555,O574)</f>
        <v>0</v>
      </c>
      <c r="Q574" s="5"/>
      <c r="R574" s="5"/>
      <c r="S574" s="5"/>
      <c r="T574" s="5"/>
      <c r="U574" s="5"/>
      <c r="V574" s="5"/>
      <c r="W574" s="5"/>
    </row>
    <row r="575" spans="1:23" x14ac:dyDescent="0.2">
      <c r="A575" s="5">
        <v>50</v>
      </c>
      <c r="B575" s="5">
        <v>0</v>
      </c>
      <c r="C575" s="5">
        <v>0</v>
      </c>
      <c r="D575" s="5">
        <v>1</v>
      </c>
      <c r="E575" s="5">
        <v>230</v>
      </c>
      <c r="F575" s="5">
        <f>ROUND(Source!BA555,O575)</f>
        <v>0</v>
      </c>
      <c r="G575" s="5" t="s">
        <v>153</v>
      </c>
      <c r="H575" s="5" t="s">
        <v>154</v>
      </c>
      <c r="I575" s="5"/>
      <c r="J575" s="5"/>
      <c r="K575" s="5">
        <v>230</v>
      </c>
      <c r="L575" s="5">
        <v>19</v>
      </c>
      <c r="M575" s="5">
        <v>3</v>
      </c>
      <c r="N575" s="5" t="s">
        <v>3</v>
      </c>
      <c r="O575" s="5">
        <v>2</v>
      </c>
      <c r="P575" s="5">
        <f>ROUND(Source!ES555,O575)</f>
        <v>0</v>
      </c>
      <c r="Q575" s="5"/>
      <c r="R575" s="5"/>
      <c r="S575" s="5"/>
      <c r="T575" s="5"/>
      <c r="U575" s="5"/>
      <c r="V575" s="5"/>
      <c r="W575" s="5"/>
    </row>
    <row r="576" spans="1:23" x14ac:dyDescent="0.2">
      <c r="A576" s="5">
        <v>50</v>
      </c>
      <c r="B576" s="5">
        <v>0</v>
      </c>
      <c r="C576" s="5">
        <v>0</v>
      </c>
      <c r="D576" s="5">
        <v>1</v>
      </c>
      <c r="E576" s="5">
        <v>206</v>
      </c>
      <c r="F576" s="5">
        <f>ROUND(Source!T555,O576)</f>
        <v>0</v>
      </c>
      <c r="G576" s="5" t="s">
        <v>155</v>
      </c>
      <c r="H576" s="5" t="s">
        <v>156</v>
      </c>
      <c r="I576" s="5"/>
      <c r="J576" s="5"/>
      <c r="K576" s="5">
        <v>206</v>
      </c>
      <c r="L576" s="5">
        <v>20</v>
      </c>
      <c r="M576" s="5">
        <v>3</v>
      </c>
      <c r="N576" s="5" t="s">
        <v>3</v>
      </c>
      <c r="O576" s="5">
        <v>2</v>
      </c>
      <c r="P576" s="5">
        <f>ROUND(Source!DL555,O576)</f>
        <v>0</v>
      </c>
      <c r="Q576" s="5"/>
      <c r="R576" s="5"/>
      <c r="S576" s="5"/>
      <c r="T576" s="5"/>
      <c r="U576" s="5"/>
      <c r="V576" s="5"/>
      <c r="W576" s="5"/>
    </row>
    <row r="577" spans="1:255" x14ac:dyDescent="0.2">
      <c r="A577" s="5">
        <v>50</v>
      </c>
      <c r="B577" s="5">
        <v>0</v>
      </c>
      <c r="C577" s="5">
        <v>0</v>
      </c>
      <c r="D577" s="5">
        <v>1</v>
      </c>
      <c r="E577" s="5">
        <v>207</v>
      </c>
      <c r="F577" s="5">
        <f>Source!U555</f>
        <v>0</v>
      </c>
      <c r="G577" s="5" t="s">
        <v>157</v>
      </c>
      <c r="H577" s="5" t="s">
        <v>158</v>
      </c>
      <c r="I577" s="5"/>
      <c r="J577" s="5"/>
      <c r="K577" s="5">
        <v>207</v>
      </c>
      <c r="L577" s="5">
        <v>21</v>
      </c>
      <c r="M577" s="5">
        <v>3</v>
      </c>
      <c r="N577" s="5" t="s">
        <v>3</v>
      </c>
      <c r="O577" s="5">
        <v>-1</v>
      </c>
      <c r="P577" s="5">
        <f>Source!DM555</f>
        <v>0</v>
      </c>
      <c r="Q577" s="5"/>
      <c r="R577" s="5"/>
      <c r="S577" s="5"/>
      <c r="T577" s="5"/>
      <c r="U577" s="5"/>
      <c r="V577" s="5"/>
      <c r="W577" s="5"/>
    </row>
    <row r="578" spans="1:255" x14ac:dyDescent="0.2">
      <c r="A578" s="5">
        <v>50</v>
      </c>
      <c r="B578" s="5">
        <v>0</v>
      </c>
      <c r="C578" s="5">
        <v>0</v>
      </c>
      <c r="D578" s="5">
        <v>1</v>
      </c>
      <c r="E578" s="5">
        <v>208</v>
      </c>
      <c r="F578" s="5">
        <f>Source!V555</f>
        <v>0</v>
      </c>
      <c r="G578" s="5" t="s">
        <v>159</v>
      </c>
      <c r="H578" s="5" t="s">
        <v>160</v>
      </c>
      <c r="I578" s="5"/>
      <c r="J578" s="5"/>
      <c r="K578" s="5">
        <v>208</v>
      </c>
      <c r="L578" s="5">
        <v>22</v>
      </c>
      <c r="M578" s="5">
        <v>3</v>
      </c>
      <c r="N578" s="5" t="s">
        <v>3</v>
      </c>
      <c r="O578" s="5">
        <v>-1</v>
      </c>
      <c r="P578" s="5">
        <f>Source!DN555</f>
        <v>0</v>
      </c>
      <c r="Q578" s="5"/>
      <c r="R578" s="5"/>
      <c r="S578" s="5"/>
      <c r="T578" s="5"/>
      <c r="U578" s="5"/>
      <c r="V578" s="5"/>
      <c r="W578" s="5"/>
    </row>
    <row r="579" spans="1:255" x14ac:dyDescent="0.2">
      <c r="A579" s="5">
        <v>50</v>
      </c>
      <c r="B579" s="5">
        <v>0</v>
      </c>
      <c r="C579" s="5">
        <v>0</v>
      </c>
      <c r="D579" s="5">
        <v>1</v>
      </c>
      <c r="E579" s="5">
        <v>209</v>
      </c>
      <c r="F579" s="5">
        <f>ROUND(Source!W555,O579)</f>
        <v>0</v>
      </c>
      <c r="G579" s="5" t="s">
        <v>161</v>
      </c>
      <c r="H579" s="5" t="s">
        <v>162</v>
      </c>
      <c r="I579" s="5"/>
      <c r="J579" s="5"/>
      <c r="K579" s="5">
        <v>209</v>
      </c>
      <c r="L579" s="5">
        <v>23</v>
      </c>
      <c r="M579" s="5">
        <v>3</v>
      </c>
      <c r="N579" s="5" t="s">
        <v>3</v>
      </c>
      <c r="O579" s="5">
        <v>2</v>
      </c>
      <c r="P579" s="5">
        <f>ROUND(Source!DO555,O579)</f>
        <v>0</v>
      </c>
      <c r="Q579" s="5"/>
      <c r="R579" s="5"/>
      <c r="S579" s="5"/>
      <c r="T579" s="5"/>
      <c r="U579" s="5"/>
      <c r="V579" s="5"/>
      <c r="W579" s="5"/>
    </row>
    <row r="580" spans="1:255" x14ac:dyDescent="0.2">
      <c r="A580" s="5">
        <v>50</v>
      </c>
      <c r="B580" s="5">
        <v>0</v>
      </c>
      <c r="C580" s="5">
        <v>0</v>
      </c>
      <c r="D580" s="5">
        <v>1</v>
      </c>
      <c r="E580" s="5">
        <v>210</v>
      </c>
      <c r="F580" s="5">
        <f>ROUND(Source!X555,O580)</f>
        <v>0</v>
      </c>
      <c r="G580" s="5" t="s">
        <v>163</v>
      </c>
      <c r="H580" s="5" t="s">
        <v>164</v>
      </c>
      <c r="I580" s="5"/>
      <c r="J580" s="5"/>
      <c r="K580" s="5">
        <v>210</v>
      </c>
      <c r="L580" s="5">
        <v>24</v>
      </c>
      <c r="M580" s="5">
        <v>3</v>
      </c>
      <c r="N580" s="5" t="s">
        <v>3</v>
      </c>
      <c r="O580" s="5">
        <v>2</v>
      </c>
      <c r="P580" s="5">
        <f>ROUND(Source!DP555,O580)</f>
        <v>0</v>
      </c>
      <c r="Q580" s="5"/>
      <c r="R580" s="5"/>
      <c r="S580" s="5"/>
      <c r="T580" s="5"/>
      <c r="U580" s="5"/>
      <c r="V580" s="5"/>
      <c r="W580" s="5"/>
    </row>
    <row r="581" spans="1:255" x14ac:dyDescent="0.2">
      <c r="A581" s="5">
        <v>50</v>
      </c>
      <c r="B581" s="5">
        <v>0</v>
      </c>
      <c r="C581" s="5">
        <v>0</v>
      </c>
      <c r="D581" s="5">
        <v>1</v>
      </c>
      <c r="E581" s="5">
        <v>211</v>
      </c>
      <c r="F581" s="5">
        <f>ROUND(Source!Y555,O581)</f>
        <v>0</v>
      </c>
      <c r="G581" s="5" t="s">
        <v>165</v>
      </c>
      <c r="H581" s="5" t="s">
        <v>166</v>
      </c>
      <c r="I581" s="5"/>
      <c r="J581" s="5"/>
      <c r="K581" s="5">
        <v>211</v>
      </c>
      <c r="L581" s="5">
        <v>25</v>
      </c>
      <c r="M581" s="5">
        <v>3</v>
      </c>
      <c r="N581" s="5" t="s">
        <v>3</v>
      </c>
      <c r="O581" s="5">
        <v>2</v>
      </c>
      <c r="P581" s="5">
        <f>ROUND(Source!DQ555,O581)</f>
        <v>0</v>
      </c>
      <c r="Q581" s="5"/>
      <c r="R581" s="5"/>
      <c r="S581" s="5"/>
      <c r="T581" s="5"/>
      <c r="U581" s="5"/>
      <c r="V581" s="5"/>
      <c r="W581" s="5"/>
    </row>
    <row r="582" spans="1:255" x14ac:dyDescent="0.2">
      <c r="A582" s="5">
        <v>50</v>
      </c>
      <c r="B582" s="5">
        <v>0</v>
      </c>
      <c r="C582" s="5">
        <v>0</v>
      </c>
      <c r="D582" s="5">
        <v>1</v>
      </c>
      <c r="E582" s="5">
        <v>224</v>
      </c>
      <c r="F582" s="5">
        <f>ROUND(Source!AR555,O582)</f>
        <v>59400.61</v>
      </c>
      <c r="G582" s="5" t="s">
        <v>167</v>
      </c>
      <c r="H582" s="5" t="s">
        <v>168</v>
      </c>
      <c r="I582" s="5"/>
      <c r="J582" s="5"/>
      <c r="K582" s="5">
        <v>224</v>
      </c>
      <c r="L582" s="5">
        <v>26</v>
      </c>
      <c r="M582" s="5">
        <v>3</v>
      </c>
      <c r="N582" s="5" t="s">
        <v>3</v>
      </c>
      <c r="O582" s="5">
        <v>2</v>
      </c>
      <c r="P582" s="5">
        <f>ROUND(Source!EJ555,O582)</f>
        <v>247700.55</v>
      </c>
      <c r="Q582" s="5"/>
      <c r="R582" s="5"/>
      <c r="S582" s="5"/>
      <c r="T582" s="5"/>
      <c r="U582" s="5"/>
      <c r="V582" s="5"/>
      <c r="W582" s="5"/>
    </row>
    <row r="584" spans="1:255" x14ac:dyDescent="0.2">
      <c r="A584" s="1">
        <v>4</v>
      </c>
      <c r="B584" s="1">
        <v>1</v>
      </c>
      <c r="C584" s="1"/>
      <c r="D584" s="1">
        <f>ROW(A595)</f>
        <v>595</v>
      </c>
      <c r="E584" s="1"/>
      <c r="F584" s="1" t="s">
        <v>16</v>
      </c>
      <c r="G584" s="1" t="s">
        <v>594</v>
      </c>
      <c r="H584" s="1" t="s">
        <v>3</v>
      </c>
      <c r="I584" s="1">
        <v>0</v>
      </c>
      <c r="J584" s="1"/>
      <c r="K584" s="1">
        <v>0</v>
      </c>
      <c r="L584" s="1"/>
      <c r="M584" s="1"/>
      <c r="N584" s="1"/>
      <c r="O584" s="1"/>
      <c r="P584" s="1"/>
      <c r="Q584" s="1"/>
      <c r="R584" s="1"/>
      <c r="S584" s="1"/>
      <c r="T584" s="1"/>
      <c r="U584" s="1" t="s">
        <v>3</v>
      </c>
      <c r="V584" s="1">
        <v>0</v>
      </c>
      <c r="W584" s="1"/>
      <c r="X584" s="1"/>
      <c r="Y584" s="1"/>
      <c r="Z584" s="1"/>
      <c r="AA584" s="1"/>
      <c r="AB584" s="1" t="s">
        <v>3</v>
      </c>
      <c r="AC584" s="1" t="s">
        <v>3</v>
      </c>
      <c r="AD584" s="1" t="s">
        <v>3</v>
      </c>
      <c r="AE584" s="1" t="s">
        <v>3</v>
      </c>
      <c r="AF584" s="1" t="s">
        <v>3</v>
      </c>
      <c r="AG584" s="1" t="s">
        <v>3</v>
      </c>
      <c r="AH584" s="1"/>
      <c r="AI584" s="1"/>
      <c r="AJ584" s="1"/>
      <c r="AK584" s="1"/>
      <c r="AL584" s="1"/>
      <c r="AM584" s="1"/>
      <c r="AN584" s="1"/>
      <c r="AO584" s="1"/>
      <c r="AP584" s="1" t="s">
        <v>3</v>
      </c>
      <c r="AQ584" s="1" t="s">
        <v>3</v>
      </c>
      <c r="AR584" s="1" t="s">
        <v>3</v>
      </c>
      <c r="AS584" s="1"/>
      <c r="AT584" s="1"/>
      <c r="AU584" s="1"/>
      <c r="AV584" s="1"/>
      <c r="AW584" s="1"/>
      <c r="AX584" s="1"/>
      <c r="AY584" s="1"/>
      <c r="AZ584" s="1" t="s">
        <v>3</v>
      </c>
      <c r="BA584" s="1"/>
      <c r="BB584" s="1" t="s">
        <v>3</v>
      </c>
      <c r="BC584" s="1" t="s">
        <v>3</v>
      </c>
      <c r="BD584" s="1" t="s">
        <v>3</v>
      </c>
      <c r="BE584" s="1" t="s">
        <v>3</v>
      </c>
      <c r="BF584" s="1" t="s">
        <v>3</v>
      </c>
      <c r="BG584" s="1" t="s">
        <v>3</v>
      </c>
      <c r="BH584" s="1" t="s">
        <v>3</v>
      </c>
      <c r="BI584" s="1" t="s">
        <v>3</v>
      </c>
      <c r="BJ584" s="1" t="s">
        <v>3</v>
      </c>
      <c r="BK584" s="1" t="s">
        <v>3</v>
      </c>
      <c r="BL584" s="1" t="s">
        <v>3</v>
      </c>
      <c r="BM584" s="1" t="s">
        <v>3</v>
      </c>
      <c r="BN584" s="1" t="s">
        <v>3</v>
      </c>
      <c r="BO584" s="1" t="s">
        <v>3</v>
      </c>
      <c r="BP584" s="1" t="s">
        <v>3</v>
      </c>
      <c r="BQ584" s="1"/>
      <c r="BR584" s="1"/>
      <c r="BS584" s="1"/>
      <c r="BT584" s="1"/>
      <c r="BU584" s="1"/>
      <c r="BV584" s="1"/>
      <c r="BW584" s="1"/>
      <c r="BX584" s="1">
        <v>0</v>
      </c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>
        <v>0</v>
      </c>
    </row>
    <row r="586" spans="1:255" x14ac:dyDescent="0.2">
      <c r="A586" s="3">
        <v>52</v>
      </c>
      <c r="B586" s="3">
        <f t="shared" ref="B586:G586" si="507">B595</f>
        <v>1</v>
      </c>
      <c r="C586" s="3">
        <f t="shared" si="507"/>
        <v>4</v>
      </c>
      <c r="D586" s="3">
        <f t="shared" si="507"/>
        <v>584</v>
      </c>
      <c r="E586" s="3">
        <f t="shared" si="507"/>
        <v>0</v>
      </c>
      <c r="F586" s="3" t="str">
        <f t="shared" si="507"/>
        <v>Новый раздел</v>
      </c>
      <c r="G586" s="3" t="str">
        <f t="shared" si="507"/>
        <v>Прочие работы</v>
      </c>
      <c r="H586" s="3"/>
      <c r="I586" s="3"/>
      <c r="J586" s="3"/>
      <c r="K586" s="3"/>
      <c r="L586" s="3"/>
      <c r="M586" s="3"/>
      <c r="N586" s="3"/>
      <c r="O586" s="3">
        <f t="shared" ref="O586:AT586" si="508">O595</f>
        <v>36.64</v>
      </c>
      <c r="P586" s="3">
        <f t="shared" si="508"/>
        <v>0</v>
      </c>
      <c r="Q586" s="3">
        <f t="shared" si="508"/>
        <v>36.64</v>
      </c>
      <c r="R586" s="3">
        <f t="shared" si="508"/>
        <v>0.38</v>
      </c>
      <c r="S586" s="3">
        <f t="shared" si="508"/>
        <v>0</v>
      </c>
      <c r="T586" s="3">
        <f t="shared" si="508"/>
        <v>0</v>
      </c>
      <c r="U586" s="3">
        <f t="shared" si="508"/>
        <v>0</v>
      </c>
      <c r="V586" s="3">
        <f t="shared" si="508"/>
        <v>0</v>
      </c>
      <c r="W586" s="3">
        <f t="shared" si="508"/>
        <v>0</v>
      </c>
      <c r="X586" s="3">
        <f t="shared" si="508"/>
        <v>0</v>
      </c>
      <c r="Y586" s="3">
        <f t="shared" si="508"/>
        <v>0</v>
      </c>
      <c r="Z586" s="3">
        <f t="shared" si="508"/>
        <v>0</v>
      </c>
      <c r="AA586" s="3">
        <f t="shared" si="508"/>
        <v>0</v>
      </c>
      <c r="AB586" s="3">
        <f t="shared" si="508"/>
        <v>36.64</v>
      </c>
      <c r="AC586" s="3">
        <f t="shared" si="508"/>
        <v>0</v>
      </c>
      <c r="AD586" s="3">
        <f t="shared" si="508"/>
        <v>36.64</v>
      </c>
      <c r="AE586" s="3">
        <f t="shared" si="508"/>
        <v>0.38</v>
      </c>
      <c r="AF586" s="3">
        <f t="shared" si="508"/>
        <v>0</v>
      </c>
      <c r="AG586" s="3">
        <f t="shared" si="508"/>
        <v>0</v>
      </c>
      <c r="AH586" s="3">
        <f t="shared" si="508"/>
        <v>0</v>
      </c>
      <c r="AI586" s="3">
        <f t="shared" si="508"/>
        <v>0</v>
      </c>
      <c r="AJ586" s="3">
        <f t="shared" si="508"/>
        <v>0</v>
      </c>
      <c r="AK586" s="3">
        <f t="shared" si="508"/>
        <v>0</v>
      </c>
      <c r="AL586" s="3">
        <f t="shared" si="508"/>
        <v>0</v>
      </c>
      <c r="AM586" s="3">
        <f t="shared" si="508"/>
        <v>0</v>
      </c>
      <c r="AN586" s="3">
        <f t="shared" si="508"/>
        <v>0</v>
      </c>
      <c r="AO586" s="3">
        <f t="shared" si="508"/>
        <v>0</v>
      </c>
      <c r="AP586" s="3">
        <f t="shared" si="508"/>
        <v>0</v>
      </c>
      <c r="AQ586" s="3">
        <f t="shared" si="508"/>
        <v>0</v>
      </c>
      <c r="AR586" s="3">
        <f t="shared" si="508"/>
        <v>37.32</v>
      </c>
      <c r="AS586" s="3">
        <f t="shared" si="508"/>
        <v>2.97</v>
      </c>
      <c r="AT586" s="3">
        <f t="shared" si="508"/>
        <v>0</v>
      </c>
      <c r="AU586" s="3">
        <f t="shared" ref="AU586:BZ586" si="509">AU595</f>
        <v>34.35</v>
      </c>
      <c r="AV586" s="3">
        <f t="shared" si="509"/>
        <v>0</v>
      </c>
      <c r="AW586" s="3">
        <f t="shared" si="509"/>
        <v>0</v>
      </c>
      <c r="AX586" s="3">
        <f t="shared" si="509"/>
        <v>0</v>
      </c>
      <c r="AY586" s="3">
        <f t="shared" si="509"/>
        <v>0</v>
      </c>
      <c r="AZ586" s="3">
        <f t="shared" si="509"/>
        <v>0</v>
      </c>
      <c r="BA586" s="3">
        <f t="shared" si="509"/>
        <v>0</v>
      </c>
      <c r="BB586" s="3">
        <f t="shared" si="509"/>
        <v>0</v>
      </c>
      <c r="BC586" s="3">
        <f t="shared" si="509"/>
        <v>0</v>
      </c>
      <c r="BD586" s="3">
        <f t="shared" si="509"/>
        <v>0</v>
      </c>
      <c r="BE586" s="3">
        <f t="shared" si="509"/>
        <v>0</v>
      </c>
      <c r="BF586" s="3">
        <f t="shared" si="509"/>
        <v>0</v>
      </c>
      <c r="BG586" s="3">
        <f t="shared" si="509"/>
        <v>0</v>
      </c>
      <c r="BH586" s="3">
        <f t="shared" si="509"/>
        <v>0</v>
      </c>
      <c r="BI586" s="3">
        <f t="shared" si="509"/>
        <v>0</v>
      </c>
      <c r="BJ586" s="3">
        <f t="shared" si="509"/>
        <v>0</v>
      </c>
      <c r="BK586" s="3">
        <f t="shared" si="509"/>
        <v>0</v>
      </c>
      <c r="BL586" s="3">
        <f t="shared" si="509"/>
        <v>0</v>
      </c>
      <c r="BM586" s="3">
        <f t="shared" si="509"/>
        <v>0</v>
      </c>
      <c r="BN586" s="3">
        <f t="shared" si="509"/>
        <v>0</v>
      </c>
      <c r="BO586" s="3">
        <f t="shared" si="509"/>
        <v>0</v>
      </c>
      <c r="BP586" s="3">
        <f t="shared" si="509"/>
        <v>0</v>
      </c>
      <c r="BQ586" s="3">
        <f t="shared" si="509"/>
        <v>0</v>
      </c>
      <c r="BR586" s="3">
        <f t="shared" si="509"/>
        <v>0</v>
      </c>
      <c r="BS586" s="3">
        <f t="shared" si="509"/>
        <v>0</v>
      </c>
      <c r="BT586" s="3">
        <f t="shared" si="509"/>
        <v>0</v>
      </c>
      <c r="BU586" s="3">
        <f t="shared" si="509"/>
        <v>0</v>
      </c>
      <c r="BV586" s="3">
        <f t="shared" si="509"/>
        <v>0</v>
      </c>
      <c r="BW586" s="3">
        <f t="shared" si="509"/>
        <v>0</v>
      </c>
      <c r="BX586" s="3">
        <f t="shared" si="509"/>
        <v>0</v>
      </c>
      <c r="BY586" s="3">
        <f t="shared" si="509"/>
        <v>0</v>
      </c>
      <c r="BZ586" s="3">
        <f t="shared" si="509"/>
        <v>0</v>
      </c>
      <c r="CA586" s="3">
        <f t="shared" ref="CA586:DF586" si="510">CA595</f>
        <v>37.32</v>
      </c>
      <c r="CB586" s="3">
        <f t="shared" si="510"/>
        <v>2.97</v>
      </c>
      <c r="CC586" s="3">
        <f t="shared" si="510"/>
        <v>0</v>
      </c>
      <c r="CD586" s="3">
        <f t="shared" si="510"/>
        <v>34.35</v>
      </c>
      <c r="CE586" s="3">
        <f t="shared" si="510"/>
        <v>0</v>
      </c>
      <c r="CF586" s="3">
        <f t="shared" si="510"/>
        <v>0</v>
      </c>
      <c r="CG586" s="3">
        <f t="shared" si="510"/>
        <v>0</v>
      </c>
      <c r="CH586" s="3">
        <f t="shared" si="510"/>
        <v>0</v>
      </c>
      <c r="CI586" s="3">
        <f t="shared" si="510"/>
        <v>0</v>
      </c>
      <c r="CJ586" s="3">
        <f t="shared" si="510"/>
        <v>0</v>
      </c>
      <c r="CK586" s="3">
        <f t="shared" si="510"/>
        <v>0</v>
      </c>
      <c r="CL586" s="3">
        <f t="shared" si="510"/>
        <v>0</v>
      </c>
      <c r="CM586" s="3">
        <f t="shared" si="510"/>
        <v>0</v>
      </c>
      <c r="CN586" s="3">
        <f t="shared" si="510"/>
        <v>0</v>
      </c>
      <c r="CO586" s="3">
        <f t="shared" si="510"/>
        <v>0</v>
      </c>
      <c r="CP586" s="3">
        <f t="shared" si="510"/>
        <v>0</v>
      </c>
      <c r="CQ586" s="3">
        <f t="shared" si="510"/>
        <v>0</v>
      </c>
      <c r="CR586" s="3">
        <f t="shared" si="510"/>
        <v>0</v>
      </c>
      <c r="CS586" s="3">
        <f t="shared" si="510"/>
        <v>0</v>
      </c>
      <c r="CT586" s="3">
        <f t="shared" si="510"/>
        <v>0</v>
      </c>
      <c r="CU586" s="3">
        <f t="shared" si="510"/>
        <v>0</v>
      </c>
      <c r="CV586" s="3">
        <f t="shared" si="510"/>
        <v>0</v>
      </c>
      <c r="CW586" s="3">
        <f t="shared" si="510"/>
        <v>0</v>
      </c>
      <c r="CX586" s="3">
        <f t="shared" si="510"/>
        <v>0</v>
      </c>
      <c r="CY586" s="3">
        <f t="shared" si="510"/>
        <v>0</v>
      </c>
      <c r="CZ586" s="3">
        <f t="shared" si="510"/>
        <v>0</v>
      </c>
      <c r="DA586" s="3">
        <f t="shared" si="510"/>
        <v>0</v>
      </c>
      <c r="DB586" s="3">
        <f t="shared" si="510"/>
        <v>0</v>
      </c>
      <c r="DC586" s="3">
        <f t="shared" si="510"/>
        <v>0</v>
      </c>
      <c r="DD586" s="3">
        <f t="shared" si="510"/>
        <v>0</v>
      </c>
      <c r="DE586" s="3">
        <f t="shared" si="510"/>
        <v>0</v>
      </c>
      <c r="DF586" s="3">
        <f t="shared" si="510"/>
        <v>0</v>
      </c>
      <c r="DG586" s="4">
        <f t="shared" ref="DG586:EL586" si="511">DG595</f>
        <v>151.31</v>
      </c>
      <c r="DH586" s="4">
        <f t="shared" si="511"/>
        <v>0</v>
      </c>
      <c r="DI586" s="4">
        <f t="shared" si="511"/>
        <v>151.31</v>
      </c>
      <c r="DJ586" s="4">
        <f t="shared" si="511"/>
        <v>7.79</v>
      </c>
      <c r="DK586" s="4">
        <f t="shared" si="511"/>
        <v>0</v>
      </c>
      <c r="DL586" s="4">
        <f t="shared" si="511"/>
        <v>0</v>
      </c>
      <c r="DM586" s="4">
        <f t="shared" si="511"/>
        <v>0</v>
      </c>
      <c r="DN586" s="4">
        <f t="shared" si="511"/>
        <v>0</v>
      </c>
      <c r="DO586" s="4">
        <f t="shared" si="511"/>
        <v>0</v>
      </c>
      <c r="DP586" s="4">
        <f t="shared" si="511"/>
        <v>0</v>
      </c>
      <c r="DQ586" s="4">
        <f t="shared" si="511"/>
        <v>0</v>
      </c>
      <c r="DR586" s="4">
        <f t="shared" si="511"/>
        <v>0</v>
      </c>
      <c r="DS586" s="4">
        <f t="shared" si="511"/>
        <v>0</v>
      </c>
      <c r="DT586" s="4">
        <f t="shared" si="511"/>
        <v>151.31</v>
      </c>
      <c r="DU586" s="4">
        <f t="shared" si="511"/>
        <v>0</v>
      </c>
      <c r="DV586" s="4">
        <f t="shared" si="511"/>
        <v>151.31</v>
      </c>
      <c r="DW586" s="4">
        <f t="shared" si="511"/>
        <v>7.79</v>
      </c>
      <c r="DX586" s="4">
        <f t="shared" si="511"/>
        <v>0</v>
      </c>
      <c r="DY586" s="4">
        <f t="shared" si="511"/>
        <v>0</v>
      </c>
      <c r="DZ586" s="4">
        <f t="shared" si="511"/>
        <v>0</v>
      </c>
      <c r="EA586" s="4">
        <f t="shared" si="511"/>
        <v>0</v>
      </c>
      <c r="EB586" s="4">
        <f t="shared" si="511"/>
        <v>0</v>
      </c>
      <c r="EC586" s="4">
        <f t="shared" si="511"/>
        <v>0</v>
      </c>
      <c r="ED586" s="4">
        <f t="shared" si="511"/>
        <v>0</v>
      </c>
      <c r="EE586" s="4">
        <f t="shared" si="511"/>
        <v>0</v>
      </c>
      <c r="EF586" s="4">
        <f t="shared" si="511"/>
        <v>0</v>
      </c>
      <c r="EG586" s="4">
        <f t="shared" si="511"/>
        <v>0</v>
      </c>
      <c r="EH586" s="4">
        <f t="shared" si="511"/>
        <v>0</v>
      </c>
      <c r="EI586" s="4">
        <f t="shared" si="511"/>
        <v>0</v>
      </c>
      <c r="EJ586" s="4">
        <f t="shared" si="511"/>
        <v>164.4</v>
      </c>
      <c r="EK586" s="4">
        <f t="shared" si="511"/>
        <v>31.17</v>
      </c>
      <c r="EL586" s="4">
        <f t="shared" si="511"/>
        <v>0</v>
      </c>
      <c r="EM586" s="4">
        <f t="shared" ref="EM586:FR586" si="512">EM595</f>
        <v>133.22999999999999</v>
      </c>
      <c r="EN586" s="4">
        <f t="shared" si="512"/>
        <v>0</v>
      </c>
      <c r="EO586" s="4">
        <f t="shared" si="512"/>
        <v>0</v>
      </c>
      <c r="EP586" s="4">
        <f t="shared" si="512"/>
        <v>0</v>
      </c>
      <c r="EQ586" s="4">
        <f t="shared" si="512"/>
        <v>0</v>
      </c>
      <c r="ER586" s="4">
        <f t="shared" si="512"/>
        <v>0</v>
      </c>
      <c r="ES586" s="4">
        <f t="shared" si="512"/>
        <v>0</v>
      </c>
      <c r="ET586" s="4">
        <f t="shared" si="512"/>
        <v>0</v>
      </c>
      <c r="EU586" s="4">
        <f t="shared" si="512"/>
        <v>0</v>
      </c>
      <c r="EV586" s="4">
        <f t="shared" si="512"/>
        <v>0</v>
      </c>
      <c r="EW586" s="4">
        <f t="shared" si="512"/>
        <v>0</v>
      </c>
      <c r="EX586" s="4">
        <f t="shared" si="512"/>
        <v>0</v>
      </c>
      <c r="EY586" s="4">
        <f t="shared" si="512"/>
        <v>0</v>
      </c>
      <c r="EZ586" s="4">
        <f t="shared" si="512"/>
        <v>0</v>
      </c>
      <c r="FA586" s="4">
        <f t="shared" si="512"/>
        <v>0</v>
      </c>
      <c r="FB586" s="4">
        <f t="shared" si="512"/>
        <v>0</v>
      </c>
      <c r="FC586" s="4">
        <f t="shared" si="512"/>
        <v>0</v>
      </c>
      <c r="FD586" s="4">
        <f t="shared" si="512"/>
        <v>0</v>
      </c>
      <c r="FE586" s="4">
        <f t="shared" si="512"/>
        <v>0</v>
      </c>
      <c r="FF586" s="4">
        <f t="shared" si="512"/>
        <v>0</v>
      </c>
      <c r="FG586" s="4">
        <f t="shared" si="512"/>
        <v>0</v>
      </c>
      <c r="FH586" s="4">
        <f t="shared" si="512"/>
        <v>0</v>
      </c>
      <c r="FI586" s="4">
        <f t="shared" si="512"/>
        <v>0</v>
      </c>
      <c r="FJ586" s="4">
        <f t="shared" si="512"/>
        <v>0</v>
      </c>
      <c r="FK586" s="4">
        <f t="shared" si="512"/>
        <v>0</v>
      </c>
      <c r="FL586" s="4">
        <f t="shared" si="512"/>
        <v>0</v>
      </c>
      <c r="FM586" s="4">
        <f t="shared" si="512"/>
        <v>0</v>
      </c>
      <c r="FN586" s="4">
        <f t="shared" si="512"/>
        <v>0</v>
      </c>
      <c r="FO586" s="4">
        <f t="shared" si="512"/>
        <v>0</v>
      </c>
      <c r="FP586" s="4">
        <f t="shared" si="512"/>
        <v>0</v>
      </c>
      <c r="FQ586" s="4">
        <f t="shared" si="512"/>
        <v>0</v>
      </c>
      <c r="FR586" s="4">
        <f t="shared" si="512"/>
        <v>0</v>
      </c>
      <c r="FS586" s="4">
        <f t="shared" ref="FS586:GX586" si="513">FS595</f>
        <v>164.4</v>
      </c>
      <c r="FT586" s="4">
        <f t="shared" si="513"/>
        <v>31.17</v>
      </c>
      <c r="FU586" s="4">
        <f t="shared" si="513"/>
        <v>0</v>
      </c>
      <c r="FV586" s="4">
        <f t="shared" si="513"/>
        <v>133.22999999999999</v>
      </c>
      <c r="FW586" s="4">
        <f t="shared" si="513"/>
        <v>0</v>
      </c>
      <c r="FX586" s="4">
        <f t="shared" si="513"/>
        <v>0</v>
      </c>
      <c r="FY586" s="4">
        <f t="shared" si="513"/>
        <v>0</v>
      </c>
      <c r="FZ586" s="4">
        <f t="shared" si="513"/>
        <v>0</v>
      </c>
      <c r="GA586" s="4">
        <f t="shared" si="513"/>
        <v>0</v>
      </c>
      <c r="GB586" s="4">
        <f t="shared" si="513"/>
        <v>0</v>
      </c>
      <c r="GC586" s="4">
        <f t="shared" si="513"/>
        <v>0</v>
      </c>
      <c r="GD586" s="4">
        <f t="shared" si="513"/>
        <v>0</v>
      </c>
      <c r="GE586" s="4">
        <f t="shared" si="513"/>
        <v>0</v>
      </c>
      <c r="GF586" s="4">
        <f t="shared" si="513"/>
        <v>0</v>
      </c>
      <c r="GG586" s="4">
        <f t="shared" si="513"/>
        <v>0</v>
      </c>
      <c r="GH586" s="4">
        <f t="shared" si="513"/>
        <v>0</v>
      </c>
      <c r="GI586" s="4">
        <f t="shared" si="513"/>
        <v>0</v>
      </c>
      <c r="GJ586" s="4">
        <f t="shared" si="513"/>
        <v>0</v>
      </c>
      <c r="GK586" s="4">
        <f t="shared" si="513"/>
        <v>0</v>
      </c>
      <c r="GL586" s="4">
        <f t="shared" si="513"/>
        <v>0</v>
      </c>
      <c r="GM586" s="4">
        <f t="shared" si="513"/>
        <v>0</v>
      </c>
      <c r="GN586" s="4">
        <f t="shared" si="513"/>
        <v>0</v>
      </c>
      <c r="GO586" s="4">
        <f t="shared" si="513"/>
        <v>0</v>
      </c>
      <c r="GP586" s="4">
        <f t="shared" si="513"/>
        <v>0</v>
      </c>
      <c r="GQ586" s="4">
        <f t="shared" si="513"/>
        <v>0</v>
      </c>
      <c r="GR586" s="4">
        <f t="shared" si="513"/>
        <v>0</v>
      </c>
      <c r="GS586" s="4">
        <f t="shared" si="513"/>
        <v>0</v>
      </c>
      <c r="GT586" s="4">
        <f t="shared" si="513"/>
        <v>0</v>
      </c>
      <c r="GU586" s="4">
        <f t="shared" si="513"/>
        <v>0</v>
      </c>
      <c r="GV586" s="4">
        <f t="shared" si="513"/>
        <v>0</v>
      </c>
      <c r="GW586" s="4">
        <f t="shared" si="513"/>
        <v>0</v>
      </c>
      <c r="GX586" s="4">
        <f t="shared" si="513"/>
        <v>0</v>
      </c>
    </row>
    <row r="588" spans="1:255" x14ac:dyDescent="0.2">
      <c r="A588" s="2">
        <v>17</v>
      </c>
      <c r="B588" s="2">
        <v>1</v>
      </c>
      <c r="C588" s="2">
        <f>ROW(SmtRes!A423)</f>
        <v>423</v>
      </c>
      <c r="D588" s="2">
        <f>ROW(EtalonRes!A399)</f>
        <v>399</v>
      </c>
      <c r="E588" s="2" t="s">
        <v>595</v>
      </c>
      <c r="F588" s="2" t="s">
        <v>596</v>
      </c>
      <c r="G588" s="2" t="s">
        <v>597</v>
      </c>
      <c r="H588" s="2" t="s">
        <v>598</v>
      </c>
      <c r="I588" s="2">
        <v>0.25800000000000001</v>
      </c>
      <c r="J588" s="2">
        <v>0</v>
      </c>
      <c r="K588" s="2"/>
      <c r="L588" s="2"/>
      <c r="M588" s="2"/>
      <c r="N588" s="2"/>
      <c r="O588" s="2">
        <f t="shared" ref="O588:O593" si="514">ROUND(CP588,2)</f>
        <v>2.29</v>
      </c>
      <c r="P588" s="2">
        <f t="shared" ref="P588:P593" si="515">ROUND(CQ588*I588,2)</f>
        <v>0</v>
      </c>
      <c r="Q588" s="2">
        <f t="shared" ref="Q588:Q593" si="516">ROUND(CR588*I588,2)</f>
        <v>2.29</v>
      </c>
      <c r="R588" s="2">
        <f t="shared" ref="R588:R593" si="517">ROUND(CS588*I588,2)</f>
        <v>0.38</v>
      </c>
      <c r="S588" s="2">
        <f t="shared" ref="S588:S593" si="518">ROUND(CT588*I588,2)</f>
        <v>0</v>
      </c>
      <c r="T588" s="2">
        <f t="shared" ref="T588:T593" si="519">ROUND(CU588*I588,2)</f>
        <v>0</v>
      </c>
      <c r="U588" s="2">
        <f t="shared" ref="U588:U593" si="520">CV588*I588</f>
        <v>0</v>
      </c>
      <c r="V588" s="2">
        <f t="shared" ref="V588:V593" si="521">CW588*I588</f>
        <v>0</v>
      </c>
      <c r="W588" s="2">
        <f t="shared" ref="W588:W593" si="522">ROUND(CX588*I588,2)</f>
        <v>0</v>
      </c>
      <c r="X588" s="2">
        <f t="shared" ref="X588:Y593" si="523">ROUND(CY588,2)</f>
        <v>0</v>
      </c>
      <c r="Y588" s="2">
        <f t="shared" si="523"/>
        <v>0</v>
      </c>
      <c r="Z588" s="2"/>
      <c r="AA588" s="2">
        <v>45037306</v>
      </c>
      <c r="AB588" s="2">
        <f t="shared" ref="AB588:AB593" si="524">ROUND((AC588+AD588+AF588),6)</f>
        <v>8.86</v>
      </c>
      <c r="AC588" s="2">
        <f t="shared" ref="AC588:AF593" si="525">ROUND((ES588),6)</f>
        <v>0</v>
      </c>
      <c r="AD588" s="2">
        <f t="shared" si="525"/>
        <v>8.86</v>
      </c>
      <c r="AE588" s="2">
        <f t="shared" si="525"/>
        <v>1.48</v>
      </c>
      <c r="AF588" s="2">
        <f t="shared" si="525"/>
        <v>0</v>
      </c>
      <c r="AG588" s="2">
        <f t="shared" ref="AG588:AG593" si="526">ROUND((AP588),6)</f>
        <v>0</v>
      </c>
      <c r="AH588" s="2">
        <f t="shared" ref="AH588:AI593" si="527">(EW588)</f>
        <v>0</v>
      </c>
      <c r="AI588" s="2">
        <f t="shared" si="527"/>
        <v>0</v>
      </c>
      <c r="AJ588" s="2">
        <f t="shared" ref="AJ588:AJ593" si="528">ROUND((AS588),6)</f>
        <v>0</v>
      </c>
      <c r="AK588" s="2">
        <v>8.86</v>
      </c>
      <c r="AL588" s="2">
        <v>0</v>
      </c>
      <c r="AM588" s="2">
        <v>8.86</v>
      </c>
      <c r="AN588" s="2">
        <v>1.48</v>
      </c>
      <c r="AO588" s="2">
        <v>0</v>
      </c>
      <c r="AP588" s="2">
        <v>0</v>
      </c>
      <c r="AQ588" s="2">
        <v>0</v>
      </c>
      <c r="AR588" s="2">
        <v>0</v>
      </c>
      <c r="AS588" s="2">
        <v>0</v>
      </c>
      <c r="AT588" s="2">
        <v>0</v>
      </c>
      <c r="AU588" s="2">
        <v>0</v>
      </c>
      <c r="AV588" s="2">
        <v>1</v>
      </c>
      <c r="AW588" s="2">
        <v>1</v>
      </c>
      <c r="AX588" s="2"/>
      <c r="AY588" s="2"/>
      <c r="AZ588" s="2">
        <v>1</v>
      </c>
      <c r="BA588" s="2">
        <v>1</v>
      </c>
      <c r="BB588" s="2">
        <v>1</v>
      </c>
      <c r="BC588" s="2">
        <v>1</v>
      </c>
      <c r="BD588" s="2" t="s">
        <v>3</v>
      </c>
      <c r="BE588" s="2" t="s">
        <v>3</v>
      </c>
      <c r="BF588" s="2" t="s">
        <v>3</v>
      </c>
      <c r="BG588" s="2" t="s">
        <v>3</v>
      </c>
      <c r="BH588" s="2">
        <v>0</v>
      </c>
      <c r="BI588" s="2">
        <v>1</v>
      </c>
      <c r="BJ588" s="2" t="s">
        <v>599</v>
      </c>
      <c r="BK588" s="2"/>
      <c r="BL588" s="2"/>
      <c r="BM588" s="2">
        <v>658</v>
      </c>
      <c r="BN588" s="2">
        <v>7156650</v>
      </c>
      <c r="BO588" s="2" t="s">
        <v>3</v>
      </c>
      <c r="BP588" s="2">
        <v>0</v>
      </c>
      <c r="BQ588" s="2">
        <v>60</v>
      </c>
      <c r="BR588" s="2">
        <v>0</v>
      </c>
      <c r="BS588" s="2">
        <v>1</v>
      </c>
      <c r="BT588" s="2">
        <v>1</v>
      </c>
      <c r="BU588" s="2">
        <v>1</v>
      </c>
      <c r="BV588" s="2">
        <v>1</v>
      </c>
      <c r="BW588" s="2">
        <v>1</v>
      </c>
      <c r="BX588" s="2">
        <v>1</v>
      </c>
      <c r="BY588" s="2" t="s">
        <v>3</v>
      </c>
      <c r="BZ588" s="2">
        <v>0</v>
      </c>
      <c r="CA588" s="2">
        <v>0</v>
      </c>
      <c r="CB588" s="2"/>
      <c r="CC588" s="2"/>
      <c r="CD588" s="2"/>
      <c r="CE588" s="2"/>
      <c r="CF588" s="2">
        <v>0</v>
      </c>
      <c r="CG588" s="2">
        <v>0</v>
      </c>
      <c r="CH588" s="2"/>
      <c r="CI588" s="2"/>
      <c r="CJ588" s="2"/>
      <c r="CK588" s="2"/>
      <c r="CL588" s="2"/>
      <c r="CM588" s="2">
        <v>0</v>
      </c>
      <c r="CN588" s="2" t="s">
        <v>3</v>
      </c>
      <c r="CO588" s="2">
        <v>0</v>
      </c>
      <c r="CP588" s="2">
        <f t="shared" ref="CP588:CP593" si="529">(P588+Q588+S588)</f>
        <v>2.29</v>
      </c>
      <c r="CQ588" s="2">
        <f t="shared" ref="CQ588:CQ593" si="530">(AC588*BC588*AW588)</f>
        <v>0</v>
      </c>
      <c r="CR588" s="2">
        <f t="shared" ref="CR588:CR593" si="531">(AD588*BB588*AV588)</f>
        <v>8.86</v>
      </c>
      <c r="CS588" s="2">
        <f t="shared" ref="CS588:CS593" si="532">(AE588*BS588*AV588)</f>
        <v>1.48</v>
      </c>
      <c r="CT588" s="2">
        <f t="shared" ref="CT588:CT593" si="533">(AF588*BA588*AV588)</f>
        <v>0</v>
      </c>
      <c r="CU588" s="2">
        <f t="shared" ref="CU588:CU593" si="534">AG588</f>
        <v>0</v>
      </c>
      <c r="CV588" s="2">
        <f t="shared" ref="CV588:CV593" si="535">(AH588*AV588)</f>
        <v>0</v>
      </c>
      <c r="CW588" s="2">
        <f t="shared" ref="CW588:CX593" si="536">AI588</f>
        <v>0</v>
      </c>
      <c r="CX588" s="2">
        <f t="shared" si="536"/>
        <v>0</v>
      </c>
      <c r="CY588" s="2">
        <f t="shared" ref="CY588:CY593" si="537">S588*(BZ588/100)</f>
        <v>0</v>
      </c>
      <c r="CZ588" s="2">
        <f t="shared" ref="CZ588:CZ593" si="538">S588*(CA588/100)</f>
        <v>0</v>
      </c>
      <c r="DA588" s="2"/>
      <c r="DB588" s="2"/>
      <c r="DC588" s="2" t="s">
        <v>3</v>
      </c>
      <c r="DD588" s="2" t="s">
        <v>3</v>
      </c>
      <c r="DE588" s="2" t="s">
        <v>3</v>
      </c>
      <c r="DF588" s="2" t="s">
        <v>3</v>
      </c>
      <c r="DG588" s="2" t="s">
        <v>3</v>
      </c>
      <c r="DH588" s="2" t="s">
        <v>3</v>
      </c>
      <c r="DI588" s="2" t="s">
        <v>3</v>
      </c>
      <c r="DJ588" s="2" t="s">
        <v>3</v>
      </c>
      <c r="DK588" s="2" t="s">
        <v>3</v>
      </c>
      <c r="DL588" s="2" t="s">
        <v>3</v>
      </c>
      <c r="DM588" s="2" t="s">
        <v>3</v>
      </c>
      <c r="DN588" s="2">
        <v>91</v>
      </c>
      <c r="DO588" s="2">
        <v>70</v>
      </c>
      <c r="DP588" s="2">
        <v>1.0469999999999999</v>
      </c>
      <c r="DQ588" s="2">
        <v>1.002</v>
      </c>
      <c r="DR588" s="2"/>
      <c r="DS588" s="2"/>
      <c r="DT588" s="2"/>
      <c r="DU588" s="2">
        <v>1013</v>
      </c>
      <c r="DV588" s="2" t="s">
        <v>598</v>
      </c>
      <c r="DW588" s="2" t="s">
        <v>598</v>
      </c>
      <c r="DX588" s="2">
        <v>1</v>
      </c>
      <c r="DY588" s="2"/>
      <c r="DZ588" s="2"/>
      <c r="EA588" s="2"/>
      <c r="EB588" s="2"/>
      <c r="EC588" s="2"/>
      <c r="ED588" s="2"/>
      <c r="EE588" s="2">
        <v>44847165</v>
      </c>
      <c r="EF588" s="2">
        <v>60</v>
      </c>
      <c r="EG588" s="2" t="s">
        <v>23</v>
      </c>
      <c r="EH588" s="2">
        <v>0</v>
      </c>
      <c r="EI588" s="2" t="s">
        <v>3</v>
      </c>
      <c r="EJ588" s="2">
        <v>1</v>
      </c>
      <c r="EK588" s="2">
        <v>658</v>
      </c>
      <c r="EL588" s="2" t="s">
        <v>600</v>
      </c>
      <c r="EM588" s="2" t="s">
        <v>601</v>
      </c>
      <c r="EN588" s="2"/>
      <c r="EO588" s="2" t="s">
        <v>3</v>
      </c>
      <c r="EP588" s="2"/>
      <c r="EQ588" s="2">
        <v>131072</v>
      </c>
      <c r="ER588" s="2">
        <v>8.86</v>
      </c>
      <c r="ES588" s="2">
        <v>0</v>
      </c>
      <c r="ET588" s="2">
        <v>8.86</v>
      </c>
      <c r="EU588" s="2">
        <v>1.48</v>
      </c>
      <c r="EV588" s="2">
        <v>0</v>
      </c>
      <c r="EW588" s="2">
        <v>0</v>
      </c>
      <c r="EX588" s="2">
        <v>0</v>
      </c>
      <c r="EY588" s="2">
        <v>0</v>
      </c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>
        <v>0</v>
      </c>
      <c r="FR588" s="2">
        <f t="shared" ref="FR588:FR593" si="539">ROUND(IF(AND(BH588=3,BI588=3),P588,0),2)</f>
        <v>0</v>
      </c>
      <c r="FS588" s="2">
        <v>0</v>
      </c>
      <c r="FT588" s="2"/>
      <c r="FU588" s="2"/>
      <c r="FV588" s="2"/>
      <c r="FW588" s="2"/>
      <c r="FX588" s="2">
        <v>91</v>
      </c>
      <c r="FY588" s="2">
        <v>70</v>
      </c>
      <c r="FZ588" s="2"/>
      <c r="GA588" s="2" t="s">
        <v>3</v>
      </c>
      <c r="GB588" s="2"/>
      <c r="GC588" s="2"/>
      <c r="GD588" s="2">
        <v>0</v>
      </c>
      <c r="GE588" s="2"/>
      <c r="GF588" s="2">
        <v>-1983005167</v>
      </c>
      <c r="GG588" s="2">
        <v>2</v>
      </c>
      <c r="GH588" s="2">
        <v>1</v>
      </c>
      <c r="GI588" s="2">
        <v>3</v>
      </c>
      <c r="GJ588" s="2">
        <v>0</v>
      </c>
      <c r="GK588" s="2">
        <f>ROUND(R588*(R12)/100,2)</f>
        <v>0.68</v>
      </c>
      <c r="GL588" s="2">
        <f t="shared" ref="GL588:GL593" si="540">ROUND(IF(AND(BH588=3,BI588=3,FS588&lt;&gt;0),P588,0),2)</f>
        <v>0</v>
      </c>
      <c r="GM588" s="2">
        <f t="shared" ref="GM588:GM593" si="541">ROUND(O588+X588+Y588+GK588,2)+GX588</f>
        <v>2.97</v>
      </c>
      <c r="GN588" s="2">
        <f t="shared" ref="GN588:GN593" si="542">IF(OR(BI588=0,BI588=1),ROUND(O588+X588+Y588+GK588,2),0)</f>
        <v>2.97</v>
      </c>
      <c r="GO588" s="2">
        <f t="shared" ref="GO588:GO593" si="543">IF(BI588=2,ROUND(O588+X588+Y588+GK588,2),0)</f>
        <v>0</v>
      </c>
      <c r="GP588" s="2">
        <f t="shared" ref="GP588:GP593" si="544">IF(BI588=4,ROUND(O588+X588+Y588+GK588,2)+GX588,0)</f>
        <v>0</v>
      </c>
      <c r="GQ588" s="2"/>
      <c r="GR588" s="2">
        <v>0</v>
      </c>
      <c r="GS588" s="2">
        <v>3</v>
      </c>
      <c r="GT588" s="2">
        <v>0</v>
      </c>
      <c r="GU588" s="2" t="s">
        <v>3</v>
      </c>
      <c r="GV588" s="2">
        <f t="shared" ref="GV588:GV593" si="545">ROUND(GT588,6)</f>
        <v>0</v>
      </c>
      <c r="GW588" s="2">
        <v>1</v>
      </c>
      <c r="GX588" s="2">
        <f t="shared" ref="GX588:GX593" si="546">ROUND(GV588*GW588*I588,2)</f>
        <v>0</v>
      </c>
      <c r="GY588" s="2"/>
      <c r="GZ588" s="2"/>
      <c r="HA588" s="2">
        <v>0</v>
      </c>
      <c r="HB588" s="2">
        <v>0</v>
      </c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>
        <v>0</v>
      </c>
      <c r="IL588" s="2"/>
      <c r="IM588" s="2"/>
      <c r="IN588" s="2"/>
      <c r="IO588" s="2"/>
      <c r="IP588" s="2"/>
      <c r="IQ588" s="2"/>
      <c r="IR588" s="2"/>
      <c r="IS588" s="2"/>
      <c r="IT588" s="2"/>
      <c r="IU588" s="2"/>
    </row>
    <row r="589" spans="1:255" x14ac:dyDescent="0.2">
      <c r="A589">
        <v>17</v>
      </c>
      <c r="B589">
        <v>1</v>
      </c>
      <c r="C589">
        <f>ROW(SmtRes!A424)</f>
        <v>424</v>
      </c>
      <c r="D589">
        <f>ROW(EtalonRes!A400)</f>
        <v>400</v>
      </c>
      <c r="E589" t="s">
        <v>595</v>
      </c>
      <c r="F589" t="s">
        <v>596</v>
      </c>
      <c r="G589" t="s">
        <v>597</v>
      </c>
      <c r="H589" t="s">
        <v>598</v>
      </c>
      <c r="I589">
        <v>0.25800000000000001</v>
      </c>
      <c r="J589">
        <v>0</v>
      </c>
      <c r="O589">
        <f t="shared" si="514"/>
        <v>18.079999999999998</v>
      </c>
      <c r="P589">
        <f t="shared" si="515"/>
        <v>0</v>
      </c>
      <c r="Q589">
        <f t="shared" si="516"/>
        <v>18.079999999999998</v>
      </c>
      <c r="R589">
        <f t="shared" si="517"/>
        <v>7.79</v>
      </c>
      <c r="S589">
        <f t="shared" si="518"/>
        <v>0</v>
      </c>
      <c r="T589">
        <f t="shared" si="519"/>
        <v>0</v>
      </c>
      <c r="U589">
        <f t="shared" si="520"/>
        <v>0</v>
      </c>
      <c r="V589">
        <f t="shared" si="521"/>
        <v>0</v>
      </c>
      <c r="W589">
        <f t="shared" si="522"/>
        <v>0</v>
      </c>
      <c r="X589">
        <f t="shared" si="523"/>
        <v>0</v>
      </c>
      <c r="Y589">
        <f t="shared" si="523"/>
        <v>0</v>
      </c>
      <c r="AA589">
        <v>45037307</v>
      </c>
      <c r="AB589">
        <f t="shared" si="524"/>
        <v>8.86</v>
      </c>
      <c r="AC589">
        <f t="shared" si="525"/>
        <v>0</v>
      </c>
      <c r="AD589">
        <f t="shared" si="525"/>
        <v>8.86</v>
      </c>
      <c r="AE589">
        <f t="shared" si="525"/>
        <v>1.48</v>
      </c>
      <c r="AF589">
        <f t="shared" si="525"/>
        <v>0</v>
      </c>
      <c r="AG589">
        <f t="shared" si="526"/>
        <v>0</v>
      </c>
      <c r="AH589">
        <f t="shared" si="527"/>
        <v>0</v>
      </c>
      <c r="AI589">
        <f t="shared" si="527"/>
        <v>0</v>
      </c>
      <c r="AJ589">
        <f t="shared" si="528"/>
        <v>0</v>
      </c>
      <c r="AK589">
        <v>8.86</v>
      </c>
      <c r="AL589">
        <v>0</v>
      </c>
      <c r="AM589">
        <v>8.86</v>
      </c>
      <c r="AN589">
        <v>1.48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73</v>
      </c>
      <c r="AU589">
        <v>41</v>
      </c>
      <c r="AV589">
        <v>1</v>
      </c>
      <c r="AW589">
        <v>1</v>
      </c>
      <c r="AZ589">
        <v>1</v>
      </c>
      <c r="BA589">
        <v>20.399999999999999</v>
      </c>
      <c r="BB589">
        <v>7.91</v>
      </c>
      <c r="BC589">
        <v>1</v>
      </c>
      <c r="BD589" t="s">
        <v>3</v>
      </c>
      <c r="BE589" t="s">
        <v>3</v>
      </c>
      <c r="BF589" t="s">
        <v>3</v>
      </c>
      <c r="BG589" t="s">
        <v>3</v>
      </c>
      <c r="BH589">
        <v>0</v>
      </c>
      <c r="BI589">
        <v>1</v>
      </c>
      <c r="BJ589" t="s">
        <v>599</v>
      </c>
      <c r="BM589">
        <v>658</v>
      </c>
      <c r="BN589">
        <v>7156650</v>
      </c>
      <c r="BO589" t="s">
        <v>596</v>
      </c>
      <c r="BP589">
        <v>1</v>
      </c>
      <c r="BQ589">
        <v>60</v>
      </c>
      <c r="BR589">
        <v>0</v>
      </c>
      <c r="BS589">
        <v>20.399999999999999</v>
      </c>
      <c r="BT589">
        <v>1</v>
      </c>
      <c r="BU589">
        <v>1</v>
      </c>
      <c r="BV589">
        <v>1</v>
      </c>
      <c r="BW589">
        <v>1</v>
      </c>
      <c r="BX589">
        <v>1</v>
      </c>
      <c r="BY589" t="s">
        <v>3</v>
      </c>
      <c r="BZ589">
        <v>73</v>
      </c>
      <c r="CA589">
        <v>41</v>
      </c>
      <c r="CF589">
        <v>0</v>
      </c>
      <c r="CG589">
        <v>0</v>
      </c>
      <c r="CM589">
        <v>0</v>
      </c>
      <c r="CN589" t="s">
        <v>3</v>
      </c>
      <c r="CO589">
        <v>0</v>
      </c>
      <c r="CP589">
        <f t="shared" si="529"/>
        <v>18.079999999999998</v>
      </c>
      <c r="CQ589">
        <f t="shared" si="530"/>
        <v>0</v>
      </c>
      <c r="CR589">
        <f t="shared" si="531"/>
        <v>70.082599999999999</v>
      </c>
      <c r="CS589">
        <f t="shared" si="532"/>
        <v>30.191999999999997</v>
      </c>
      <c r="CT589">
        <f t="shared" si="533"/>
        <v>0</v>
      </c>
      <c r="CU589">
        <f t="shared" si="534"/>
        <v>0</v>
      </c>
      <c r="CV589">
        <f t="shared" si="535"/>
        <v>0</v>
      </c>
      <c r="CW589">
        <f t="shared" si="536"/>
        <v>0</v>
      </c>
      <c r="CX589">
        <f t="shared" si="536"/>
        <v>0</v>
      </c>
      <c r="CY589">
        <f t="shared" si="537"/>
        <v>0</v>
      </c>
      <c r="CZ589">
        <f t="shared" si="538"/>
        <v>0</v>
      </c>
      <c r="DC589" t="s">
        <v>3</v>
      </c>
      <c r="DD589" t="s">
        <v>3</v>
      </c>
      <c r="DE589" t="s">
        <v>3</v>
      </c>
      <c r="DF589" t="s">
        <v>3</v>
      </c>
      <c r="DG589" t="s">
        <v>3</v>
      </c>
      <c r="DH589" t="s">
        <v>3</v>
      </c>
      <c r="DI589" t="s">
        <v>3</v>
      </c>
      <c r="DJ589" t="s">
        <v>3</v>
      </c>
      <c r="DK589" t="s">
        <v>3</v>
      </c>
      <c r="DL589" t="s">
        <v>3</v>
      </c>
      <c r="DM589" t="s">
        <v>3</v>
      </c>
      <c r="DN589">
        <v>91</v>
      </c>
      <c r="DO589">
        <v>70</v>
      </c>
      <c r="DP589">
        <v>1.0469999999999999</v>
      </c>
      <c r="DQ589">
        <v>1.002</v>
      </c>
      <c r="DU589">
        <v>1013</v>
      </c>
      <c r="DV589" t="s">
        <v>598</v>
      </c>
      <c r="DW589" t="s">
        <v>598</v>
      </c>
      <c r="DX589">
        <v>1</v>
      </c>
      <c r="EE589">
        <v>44847165</v>
      </c>
      <c r="EF589">
        <v>60</v>
      </c>
      <c r="EG589" t="s">
        <v>23</v>
      </c>
      <c r="EH589">
        <v>0</v>
      </c>
      <c r="EI589" t="s">
        <v>3</v>
      </c>
      <c r="EJ589">
        <v>1</v>
      </c>
      <c r="EK589">
        <v>658</v>
      </c>
      <c r="EL589" t="s">
        <v>600</v>
      </c>
      <c r="EM589" t="s">
        <v>601</v>
      </c>
      <c r="EO589" t="s">
        <v>3</v>
      </c>
      <c r="EQ589">
        <v>131072</v>
      </c>
      <c r="ER589">
        <v>8.86</v>
      </c>
      <c r="ES589">
        <v>0</v>
      </c>
      <c r="ET589">
        <v>8.86</v>
      </c>
      <c r="EU589">
        <v>1.48</v>
      </c>
      <c r="EV589">
        <v>0</v>
      </c>
      <c r="EW589">
        <v>0</v>
      </c>
      <c r="EX589">
        <v>0</v>
      </c>
      <c r="EY589">
        <v>0</v>
      </c>
      <c r="FQ589">
        <v>0</v>
      </c>
      <c r="FR589">
        <f t="shared" si="539"/>
        <v>0</v>
      </c>
      <c r="FS589">
        <v>0</v>
      </c>
      <c r="FX589">
        <v>91</v>
      </c>
      <c r="FY589">
        <v>70</v>
      </c>
      <c r="GA589" t="s">
        <v>3</v>
      </c>
      <c r="GD589">
        <v>0</v>
      </c>
      <c r="GF589">
        <v>-1983005167</v>
      </c>
      <c r="GG589">
        <v>2</v>
      </c>
      <c r="GH589">
        <v>1</v>
      </c>
      <c r="GI589">
        <v>3</v>
      </c>
      <c r="GJ589">
        <v>0</v>
      </c>
      <c r="GK589">
        <f>ROUND(R589*(S12)/100,2)</f>
        <v>13.09</v>
      </c>
      <c r="GL589">
        <f t="shared" si="540"/>
        <v>0</v>
      </c>
      <c r="GM589">
        <f t="shared" si="541"/>
        <v>31.17</v>
      </c>
      <c r="GN589">
        <f t="shared" si="542"/>
        <v>31.17</v>
      </c>
      <c r="GO589">
        <f t="shared" si="543"/>
        <v>0</v>
      </c>
      <c r="GP589">
        <f t="shared" si="544"/>
        <v>0</v>
      </c>
      <c r="GR589">
        <v>0</v>
      </c>
      <c r="GS589">
        <v>3</v>
      </c>
      <c r="GT589">
        <v>0</v>
      </c>
      <c r="GU589" t="s">
        <v>3</v>
      </c>
      <c r="GV589">
        <f t="shared" si="545"/>
        <v>0</v>
      </c>
      <c r="GW589">
        <v>1</v>
      </c>
      <c r="GX589">
        <f t="shared" si="546"/>
        <v>0</v>
      </c>
      <c r="HA589">
        <v>0</v>
      </c>
      <c r="HB589">
        <v>0</v>
      </c>
      <c r="IK589">
        <v>0</v>
      </c>
    </row>
    <row r="590" spans="1:255" x14ac:dyDescent="0.2">
      <c r="A590" s="2">
        <v>17</v>
      </c>
      <c r="B590" s="2">
        <v>1</v>
      </c>
      <c r="C590" s="2">
        <f>ROW(SmtRes!A425)</f>
        <v>425</v>
      </c>
      <c r="D590" s="2">
        <f>ROW(EtalonRes!A401)</f>
        <v>401</v>
      </c>
      <c r="E590" s="2" t="s">
        <v>602</v>
      </c>
      <c r="F590" s="2" t="s">
        <v>603</v>
      </c>
      <c r="G590" s="2" t="s">
        <v>604</v>
      </c>
      <c r="H590" s="2" t="s">
        <v>598</v>
      </c>
      <c r="I590" s="2">
        <v>0.25800000000000001</v>
      </c>
      <c r="J590" s="2">
        <v>0</v>
      </c>
      <c r="K590" s="2"/>
      <c r="L590" s="2"/>
      <c r="M590" s="2"/>
      <c r="N590" s="2"/>
      <c r="O590" s="2">
        <f t="shared" si="514"/>
        <v>8.2899999999999991</v>
      </c>
      <c r="P590" s="2">
        <f t="shared" si="515"/>
        <v>0</v>
      </c>
      <c r="Q590" s="2">
        <f t="shared" si="516"/>
        <v>8.2899999999999991</v>
      </c>
      <c r="R590" s="2">
        <f t="shared" si="517"/>
        <v>0</v>
      </c>
      <c r="S590" s="2">
        <f t="shared" si="518"/>
        <v>0</v>
      </c>
      <c r="T590" s="2">
        <f t="shared" si="519"/>
        <v>0</v>
      </c>
      <c r="U590" s="2">
        <f t="shared" si="520"/>
        <v>0</v>
      </c>
      <c r="V590" s="2">
        <f t="shared" si="521"/>
        <v>0</v>
      </c>
      <c r="W590" s="2">
        <f t="shared" si="522"/>
        <v>0</v>
      </c>
      <c r="X590" s="2">
        <f t="shared" si="523"/>
        <v>0</v>
      </c>
      <c r="Y590" s="2">
        <f t="shared" si="523"/>
        <v>0</v>
      </c>
      <c r="Z590" s="2"/>
      <c r="AA590" s="2">
        <v>45037306</v>
      </c>
      <c r="AB590" s="2">
        <f t="shared" si="524"/>
        <v>32.14</v>
      </c>
      <c r="AC590" s="2">
        <f t="shared" si="525"/>
        <v>0</v>
      </c>
      <c r="AD590" s="2">
        <f t="shared" si="525"/>
        <v>32.14</v>
      </c>
      <c r="AE590" s="2">
        <f t="shared" si="525"/>
        <v>0</v>
      </c>
      <c r="AF590" s="2">
        <f t="shared" si="525"/>
        <v>0</v>
      </c>
      <c r="AG590" s="2">
        <f t="shared" si="526"/>
        <v>0</v>
      </c>
      <c r="AH590" s="2">
        <f t="shared" si="527"/>
        <v>0</v>
      </c>
      <c r="AI590" s="2">
        <f t="shared" si="527"/>
        <v>0</v>
      </c>
      <c r="AJ590" s="2">
        <f t="shared" si="528"/>
        <v>0</v>
      </c>
      <c r="AK590" s="2">
        <v>32.14</v>
      </c>
      <c r="AL590" s="2">
        <v>0</v>
      </c>
      <c r="AM590" s="2">
        <v>32.14</v>
      </c>
      <c r="AN590" s="2">
        <v>0</v>
      </c>
      <c r="AO590" s="2">
        <v>0</v>
      </c>
      <c r="AP590" s="2">
        <v>0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1</v>
      </c>
      <c r="AW590" s="2">
        <v>1</v>
      </c>
      <c r="AX590" s="2"/>
      <c r="AY590" s="2"/>
      <c r="AZ590" s="2">
        <v>1</v>
      </c>
      <c r="BA590" s="2">
        <v>1</v>
      </c>
      <c r="BB590" s="2">
        <v>1</v>
      </c>
      <c r="BC590" s="2">
        <v>1</v>
      </c>
      <c r="BD590" s="2" t="s">
        <v>3</v>
      </c>
      <c r="BE590" s="2" t="s">
        <v>3</v>
      </c>
      <c r="BF590" s="2" t="s">
        <v>3</v>
      </c>
      <c r="BG590" s="2" t="s">
        <v>3</v>
      </c>
      <c r="BH590" s="2">
        <v>0</v>
      </c>
      <c r="BI590" s="2">
        <v>4</v>
      </c>
      <c r="BJ590" s="2" t="s">
        <v>605</v>
      </c>
      <c r="BK590" s="2"/>
      <c r="BL590" s="2"/>
      <c r="BM590" s="2">
        <v>1110</v>
      </c>
      <c r="BN590" s="2">
        <v>7156650</v>
      </c>
      <c r="BO590" s="2" t="s">
        <v>3</v>
      </c>
      <c r="BP590" s="2">
        <v>0</v>
      </c>
      <c r="BQ590" s="2">
        <v>150</v>
      </c>
      <c r="BR590" s="2">
        <v>0</v>
      </c>
      <c r="BS590" s="2">
        <v>1</v>
      </c>
      <c r="BT590" s="2">
        <v>1</v>
      </c>
      <c r="BU590" s="2">
        <v>1</v>
      </c>
      <c r="BV590" s="2">
        <v>1</v>
      </c>
      <c r="BW590" s="2">
        <v>1</v>
      </c>
      <c r="BX590" s="2">
        <v>1</v>
      </c>
      <c r="BY590" s="2" t="s">
        <v>3</v>
      </c>
      <c r="BZ590" s="2">
        <v>0</v>
      </c>
      <c r="CA590" s="2">
        <v>0</v>
      </c>
      <c r="CB590" s="2"/>
      <c r="CC590" s="2"/>
      <c r="CD590" s="2"/>
      <c r="CE590" s="2"/>
      <c r="CF590" s="2">
        <v>0</v>
      </c>
      <c r="CG590" s="2">
        <v>0</v>
      </c>
      <c r="CH590" s="2"/>
      <c r="CI590" s="2"/>
      <c r="CJ590" s="2"/>
      <c r="CK590" s="2"/>
      <c r="CL590" s="2"/>
      <c r="CM590" s="2">
        <v>0</v>
      </c>
      <c r="CN590" s="2" t="s">
        <v>3</v>
      </c>
      <c r="CO590" s="2">
        <v>0</v>
      </c>
      <c r="CP590" s="2">
        <f t="shared" si="529"/>
        <v>8.2899999999999991</v>
      </c>
      <c r="CQ590" s="2">
        <f t="shared" si="530"/>
        <v>0</v>
      </c>
      <c r="CR590" s="2">
        <f t="shared" si="531"/>
        <v>32.14</v>
      </c>
      <c r="CS590" s="2">
        <f t="shared" si="532"/>
        <v>0</v>
      </c>
      <c r="CT590" s="2">
        <f t="shared" si="533"/>
        <v>0</v>
      </c>
      <c r="CU590" s="2">
        <f t="shared" si="534"/>
        <v>0</v>
      </c>
      <c r="CV590" s="2">
        <f t="shared" si="535"/>
        <v>0</v>
      </c>
      <c r="CW590" s="2">
        <f t="shared" si="536"/>
        <v>0</v>
      </c>
      <c r="CX590" s="2">
        <f t="shared" si="536"/>
        <v>0</v>
      </c>
      <c r="CY590" s="2">
        <f t="shared" si="537"/>
        <v>0</v>
      </c>
      <c r="CZ590" s="2">
        <f t="shared" si="538"/>
        <v>0</v>
      </c>
      <c r="DA590" s="2"/>
      <c r="DB590" s="2"/>
      <c r="DC590" s="2" t="s">
        <v>3</v>
      </c>
      <c r="DD590" s="2" t="s">
        <v>3</v>
      </c>
      <c r="DE590" s="2" t="s">
        <v>3</v>
      </c>
      <c r="DF590" s="2" t="s">
        <v>3</v>
      </c>
      <c r="DG590" s="2" t="s">
        <v>3</v>
      </c>
      <c r="DH590" s="2" t="s">
        <v>3</v>
      </c>
      <c r="DI590" s="2" t="s">
        <v>3</v>
      </c>
      <c r="DJ590" s="2" t="s">
        <v>3</v>
      </c>
      <c r="DK590" s="2" t="s">
        <v>3</v>
      </c>
      <c r="DL590" s="2" t="s">
        <v>3</v>
      </c>
      <c r="DM590" s="2" t="s">
        <v>3</v>
      </c>
      <c r="DN590" s="2">
        <v>0</v>
      </c>
      <c r="DO590" s="2">
        <v>0</v>
      </c>
      <c r="DP590" s="2">
        <v>1</v>
      </c>
      <c r="DQ590" s="2">
        <v>1</v>
      </c>
      <c r="DR590" s="2"/>
      <c r="DS590" s="2"/>
      <c r="DT590" s="2"/>
      <c r="DU590" s="2">
        <v>1013</v>
      </c>
      <c r="DV590" s="2" t="s">
        <v>598</v>
      </c>
      <c r="DW590" s="2" t="s">
        <v>598</v>
      </c>
      <c r="DX590" s="2">
        <v>1</v>
      </c>
      <c r="DY590" s="2"/>
      <c r="DZ590" s="2"/>
      <c r="EA590" s="2"/>
      <c r="EB590" s="2"/>
      <c r="EC590" s="2"/>
      <c r="ED590" s="2"/>
      <c r="EE590" s="2">
        <v>44847617</v>
      </c>
      <c r="EF590" s="2">
        <v>150</v>
      </c>
      <c r="EG590" s="2" t="s">
        <v>114</v>
      </c>
      <c r="EH590" s="2">
        <v>0</v>
      </c>
      <c r="EI590" s="2" t="s">
        <v>3</v>
      </c>
      <c r="EJ590" s="2">
        <v>4</v>
      </c>
      <c r="EK590" s="2">
        <v>1110</v>
      </c>
      <c r="EL590" s="2" t="s">
        <v>115</v>
      </c>
      <c r="EM590" s="2" t="s">
        <v>116</v>
      </c>
      <c r="EN590" s="2"/>
      <c r="EO590" s="2" t="s">
        <v>3</v>
      </c>
      <c r="EP590" s="2"/>
      <c r="EQ590" s="2">
        <v>131072</v>
      </c>
      <c r="ER590" s="2">
        <v>32.14</v>
      </c>
      <c r="ES590" s="2">
        <v>0</v>
      </c>
      <c r="ET590" s="2">
        <v>32.14</v>
      </c>
      <c r="EU590" s="2">
        <v>0</v>
      </c>
      <c r="EV590" s="2">
        <v>0</v>
      </c>
      <c r="EW590" s="2">
        <v>0</v>
      </c>
      <c r="EX590" s="2">
        <v>0</v>
      </c>
      <c r="EY590" s="2">
        <v>0</v>
      </c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>
        <v>0</v>
      </c>
      <c r="FR590" s="2">
        <f t="shared" si="539"/>
        <v>0</v>
      </c>
      <c r="FS590" s="2">
        <v>0</v>
      </c>
      <c r="FT590" s="2"/>
      <c r="FU590" s="2"/>
      <c r="FV590" s="2"/>
      <c r="FW590" s="2"/>
      <c r="FX590" s="2">
        <v>0</v>
      </c>
      <c r="FY590" s="2">
        <v>0</v>
      </c>
      <c r="FZ590" s="2"/>
      <c r="GA590" s="2" t="s">
        <v>3</v>
      </c>
      <c r="GB590" s="2"/>
      <c r="GC590" s="2"/>
      <c r="GD590" s="2">
        <v>0</v>
      </c>
      <c r="GE590" s="2"/>
      <c r="GF590" s="2">
        <v>-900127425</v>
      </c>
      <c r="GG590" s="2">
        <v>2</v>
      </c>
      <c r="GH590" s="2">
        <v>1</v>
      </c>
      <c r="GI590" s="2">
        <v>3</v>
      </c>
      <c r="GJ590" s="2">
        <v>0</v>
      </c>
      <c r="GK590" s="2">
        <f>ROUND(R590*(R12)/100,2)</f>
        <v>0</v>
      </c>
      <c r="GL590" s="2">
        <f t="shared" si="540"/>
        <v>0</v>
      </c>
      <c r="GM590" s="2">
        <f t="shared" si="541"/>
        <v>8.2899999999999991</v>
      </c>
      <c r="GN590" s="2">
        <f t="shared" si="542"/>
        <v>0</v>
      </c>
      <c r="GO590" s="2">
        <f t="shared" si="543"/>
        <v>0</v>
      </c>
      <c r="GP590" s="2">
        <f t="shared" si="544"/>
        <v>8.2899999999999991</v>
      </c>
      <c r="GQ590" s="2"/>
      <c r="GR590" s="2">
        <v>0</v>
      </c>
      <c r="GS590" s="2">
        <v>3</v>
      </c>
      <c r="GT590" s="2">
        <v>0</v>
      </c>
      <c r="GU590" s="2" t="s">
        <v>3</v>
      </c>
      <c r="GV590" s="2">
        <f t="shared" si="545"/>
        <v>0</v>
      </c>
      <c r="GW590" s="2">
        <v>1</v>
      </c>
      <c r="GX590" s="2">
        <f t="shared" si="546"/>
        <v>0</v>
      </c>
      <c r="GY590" s="2"/>
      <c r="GZ590" s="2"/>
      <c r="HA590" s="2">
        <v>0</v>
      </c>
      <c r="HB590" s="2">
        <v>0</v>
      </c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>
        <v>0</v>
      </c>
      <c r="IL590" s="2"/>
      <c r="IM590" s="2"/>
      <c r="IN590" s="2"/>
      <c r="IO590" s="2"/>
      <c r="IP590" s="2"/>
      <c r="IQ590" s="2"/>
      <c r="IR590" s="2"/>
      <c r="IS590" s="2"/>
      <c r="IT590" s="2"/>
      <c r="IU590" s="2"/>
    </row>
    <row r="591" spans="1:255" x14ac:dyDescent="0.2">
      <c r="A591">
        <v>17</v>
      </c>
      <c r="B591">
        <v>1</v>
      </c>
      <c r="C591">
        <f>ROW(SmtRes!A426)</f>
        <v>426</v>
      </c>
      <c r="D591">
        <f>ROW(EtalonRes!A402)</f>
        <v>402</v>
      </c>
      <c r="E591" t="s">
        <v>602</v>
      </c>
      <c r="F591" t="s">
        <v>603</v>
      </c>
      <c r="G591" t="s">
        <v>604</v>
      </c>
      <c r="H591" t="s">
        <v>598</v>
      </c>
      <c r="I591">
        <v>0.25800000000000001</v>
      </c>
      <c r="J591">
        <v>0</v>
      </c>
      <c r="O591">
        <f t="shared" si="514"/>
        <v>80.849999999999994</v>
      </c>
      <c r="P591">
        <f t="shared" si="515"/>
        <v>0</v>
      </c>
      <c r="Q591">
        <f t="shared" si="516"/>
        <v>80.849999999999994</v>
      </c>
      <c r="R591">
        <f t="shared" si="517"/>
        <v>0</v>
      </c>
      <c r="S591">
        <f t="shared" si="518"/>
        <v>0</v>
      </c>
      <c r="T591">
        <f t="shared" si="519"/>
        <v>0</v>
      </c>
      <c r="U591">
        <f t="shared" si="520"/>
        <v>0</v>
      </c>
      <c r="V591">
        <f t="shared" si="521"/>
        <v>0</v>
      </c>
      <c r="W591">
        <f t="shared" si="522"/>
        <v>0</v>
      </c>
      <c r="X591">
        <f t="shared" si="523"/>
        <v>0</v>
      </c>
      <c r="Y591">
        <f t="shared" si="523"/>
        <v>0</v>
      </c>
      <c r="AA591">
        <v>45037307</v>
      </c>
      <c r="AB591">
        <f t="shared" si="524"/>
        <v>32.14</v>
      </c>
      <c r="AC591">
        <f t="shared" si="525"/>
        <v>0</v>
      </c>
      <c r="AD591">
        <f t="shared" si="525"/>
        <v>32.14</v>
      </c>
      <c r="AE591">
        <f t="shared" si="525"/>
        <v>0</v>
      </c>
      <c r="AF591">
        <f t="shared" si="525"/>
        <v>0</v>
      </c>
      <c r="AG591">
        <f t="shared" si="526"/>
        <v>0</v>
      </c>
      <c r="AH591">
        <f t="shared" si="527"/>
        <v>0</v>
      </c>
      <c r="AI591">
        <f t="shared" si="527"/>
        <v>0</v>
      </c>
      <c r="AJ591">
        <f t="shared" si="528"/>
        <v>0</v>
      </c>
      <c r="AK591">
        <v>32.14</v>
      </c>
      <c r="AL591">
        <v>0</v>
      </c>
      <c r="AM591">
        <v>32.14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0</v>
      </c>
      <c r="AU591">
        <v>0</v>
      </c>
      <c r="AV591">
        <v>1</v>
      </c>
      <c r="AW591">
        <v>1</v>
      </c>
      <c r="AZ591">
        <v>1</v>
      </c>
      <c r="BA591">
        <v>20.399999999999999</v>
      </c>
      <c r="BB591">
        <v>9.75</v>
      </c>
      <c r="BC591">
        <v>1</v>
      </c>
      <c r="BD591" t="s">
        <v>3</v>
      </c>
      <c r="BE591" t="s">
        <v>3</v>
      </c>
      <c r="BF591" t="s">
        <v>3</v>
      </c>
      <c r="BG591" t="s">
        <v>3</v>
      </c>
      <c r="BH591">
        <v>0</v>
      </c>
      <c r="BI591">
        <v>4</v>
      </c>
      <c r="BJ591" t="s">
        <v>605</v>
      </c>
      <c r="BM591">
        <v>1110</v>
      </c>
      <c r="BN591">
        <v>7156650</v>
      </c>
      <c r="BO591" t="s">
        <v>603</v>
      </c>
      <c r="BP591">
        <v>1</v>
      </c>
      <c r="BQ591">
        <v>150</v>
      </c>
      <c r="BR591">
        <v>0</v>
      </c>
      <c r="BS591">
        <v>20.399999999999999</v>
      </c>
      <c r="BT591">
        <v>1</v>
      </c>
      <c r="BU591">
        <v>1</v>
      </c>
      <c r="BV591">
        <v>1</v>
      </c>
      <c r="BW591">
        <v>1</v>
      </c>
      <c r="BX591">
        <v>1</v>
      </c>
      <c r="BY591" t="s">
        <v>3</v>
      </c>
      <c r="BZ591">
        <v>0</v>
      </c>
      <c r="CA591">
        <v>0</v>
      </c>
      <c r="CF591">
        <v>0</v>
      </c>
      <c r="CG591">
        <v>0</v>
      </c>
      <c r="CM591">
        <v>0</v>
      </c>
      <c r="CN591" t="s">
        <v>3</v>
      </c>
      <c r="CO591">
        <v>0</v>
      </c>
      <c r="CP591">
        <f t="shared" si="529"/>
        <v>80.849999999999994</v>
      </c>
      <c r="CQ591">
        <f t="shared" si="530"/>
        <v>0</v>
      </c>
      <c r="CR591">
        <f t="shared" si="531"/>
        <v>313.36500000000001</v>
      </c>
      <c r="CS591">
        <f t="shared" si="532"/>
        <v>0</v>
      </c>
      <c r="CT591">
        <f t="shared" si="533"/>
        <v>0</v>
      </c>
      <c r="CU591">
        <f t="shared" si="534"/>
        <v>0</v>
      </c>
      <c r="CV591">
        <f t="shared" si="535"/>
        <v>0</v>
      </c>
      <c r="CW591">
        <f t="shared" si="536"/>
        <v>0</v>
      </c>
      <c r="CX591">
        <f t="shared" si="536"/>
        <v>0</v>
      </c>
      <c r="CY591">
        <f t="shared" si="537"/>
        <v>0</v>
      </c>
      <c r="CZ591">
        <f t="shared" si="538"/>
        <v>0</v>
      </c>
      <c r="DC591" t="s">
        <v>3</v>
      </c>
      <c r="DD591" t="s">
        <v>3</v>
      </c>
      <c r="DE591" t="s">
        <v>3</v>
      </c>
      <c r="DF591" t="s">
        <v>3</v>
      </c>
      <c r="DG591" t="s">
        <v>3</v>
      </c>
      <c r="DH591" t="s">
        <v>3</v>
      </c>
      <c r="DI591" t="s">
        <v>3</v>
      </c>
      <c r="DJ591" t="s">
        <v>3</v>
      </c>
      <c r="DK591" t="s">
        <v>3</v>
      </c>
      <c r="DL591" t="s">
        <v>3</v>
      </c>
      <c r="DM591" t="s">
        <v>3</v>
      </c>
      <c r="DN591">
        <v>0</v>
      </c>
      <c r="DO591">
        <v>0</v>
      </c>
      <c r="DP591">
        <v>1</v>
      </c>
      <c r="DQ591">
        <v>1</v>
      </c>
      <c r="DU591">
        <v>1013</v>
      </c>
      <c r="DV591" t="s">
        <v>598</v>
      </c>
      <c r="DW591" t="s">
        <v>598</v>
      </c>
      <c r="DX591">
        <v>1</v>
      </c>
      <c r="EE591">
        <v>44847617</v>
      </c>
      <c r="EF591">
        <v>150</v>
      </c>
      <c r="EG591" t="s">
        <v>114</v>
      </c>
      <c r="EH591">
        <v>0</v>
      </c>
      <c r="EI591" t="s">
        <v>3</v>
      </c>
      <c r="EJ591">
        <v>4</v>
      </c>
      <c r="EK591">
        <v>1110</v>
      </c>
      <c r="EL591" t="s">
        <v>115</v>
      </c>
      <c r="EM591" t="s">
        <v>116</v>
      </c>
      <c r="EO591" t="s">
        <v>3</v>
      </c>
      <c r="EQ591">
        <v>131072</v>
      </c>
      <c r="ER591">
        <v>32.14</v>
      </c>
      <c r="ES591">
        <v>0</v>
      </c>
      <c r="ET591">
        <v>32.14</v>
      </c>
      <c r="EU591">
        <v>0</v>
      </c>
      <c r="EV591">
        <v>0</v>
      </c>
      <c r="EW591">
        <v>0</v>
      </c>
      <c r="EX591">
        <v>0</v>
      </c>
      <c r="EY591">
        <v>0</v>
      </c>
      <c r="FQ591">
        <v>0</v>
      </c>
      <c r="FR591">
        <f t="shared" si="539"/>
        <v>0</v>
      </c>
      <c r="FS591">
        <v>0</v>
      </c>
      <c r="FX591">
        <v>0</v>
      </c>
      <c r="FY591">
        <v>0</v>
      </c>
      <c r="GA591" t="s">
        <v>3</v>
      </c>
      <c r="GD591">
        <v>0</v>
      </c>
      <c r="GF591">
        <v>-900127425</v>
      </c>
      <c r="GG591">
        <v>2</v>
      </c>
      <c r="GH591">
        <v>1</v>
      </c>
      <c r="GI591">
        <v>3</v>
      </c>
      <c r="GJ591">
        <v>0</v>
      </c>
      <c r="GK591">
        <f>ROUND(R591*(S12)/100,2)</f>
        <v>0</v>
      </c>
      <c r="GL591">
        <f t="shared" si="540"/>
        <v>0</v>
      </c>
      <c r="GM591">
        <f t="shared" si="541"/>
        <v>80.849999999999994</v>
      </c>
      <c r="GN591">
        <f t="shared" si="542"/>
        <v>0</v>
      </c>
      <c r="GO591">
        <f t="shared" si="543"/>
        <v>0</v>
      </c>
      <c r="GP591">
        <f t="shared" si="544"/>
        <v>80.849999999999994</v>
      </c>
      <c r="GR591">
        <v>0</v>
      </c>
      <c r="GS591">
        <v>3</v>
      </c>
      <c r="GT591">
        <v>0</v>
      </c>
      <c r="GU591" t="s">
        <v>3</v>
      </c>
      <c r="GV591">
        <f t="shared" si="545"/>
        <v>0</v>
      </c>
      <c r="GW591">
        <v>1</v>
      </c>
      <c r="GX591">
        <f t="shared" si="546"/>
        <v>0</v>
      </c>
      <c r="HA591">
        <v>0</v>
      </c>
      <c r="HB591">
        <v>0</v>
      </c>
      <c r="IK591">
        <v>0</v>
      </c>
    </row>
    <row r="592" spans="1:255" x14ac:dyDescent="0.2">
      <c r="A592" s="2">
        <v>17</v>
      </c>
      <c r="B592" s="2">
        <v>1</v>
      </c>
      <c r="C592" s="2">
        <f>ROW(SmtRes!A427)</f>
        <v>427</v>
      </c>
      <c r="D592" s="2">
        <f>ROW(EtalonRes!A403)</f>
        <v>403</v>
      </c>
      <c r="E592" s="2" t="s">
        <v>606</v>
      </c>
      <c r="F592" s="2" t="s">
        <v>607</v>
      </c>
      <c r="G592" s="2" t="s">
        <v>608</v>
      </c>
      <c r="H592" s="2" t="s">
        <v>598</v>
      </c>
      <c r="I592" s="2">
        <v>0.25800000000000001</v>
      </c>
      <c r="J592" s="2">
        <v>0</v>
      </c>
      <c r="K592" s="2"/>
      <c r="L592" s="2"/>
      <c r="M592" s="2"/>
      <c r="N592" s="2"/>
      <c r="O592" s="2">
        <f t="shared" si="514"/>
        <v>26.06</v>
      </c>
      <c r="P592" s="2">
        <f t="shared" si="515"/>
        <v>0</v>
      </c>
      <c r="Q592" s="2">
        <f t="shared" si="516"/>
        <v>26.06</v>
      </c>
      <c r="R592" s="2">
        <f t="shared" si="517"/>
        <v>0</v>
      </c>
      <c r="S592" s="2">
        <f t="shared" si="518"/>
        <v>0</v>
      </c>
      <c r="T592" s="2">
        <f t="shared" si="519"/>
        <v>0</v>
      </c>
      <c r="U592" s="2">
        <f t="shared" si="520"/>
        <v>0</v>
      </c>
      <c r="V592" s="2">
        <f t="shared" si="521"/>
        <v>0</v>
      </c>
      <c r="W592" s="2">
        <f t="shared" si="522"/>
        <v>0</v>
      </c>
      <c r="X592" s="2">
        <f t="shared" si="523"/>
        <v>0</v>
      </c>
      <c r="Y592" s="2">
        <f t="shared" si="523"/>
        <v>0</v>
      </c>
      <c r="Z592" s="2"/>
      <c r="AA592" s="2">
        <v>45037306</v>
      </c>
      <c r="AB592" s="2">
        <f t="shared" si="524"/>
        <v>101</v>
      </c>
      <c r="AC592" s="2">
        <f t="shared" si="525"/>
        <v>0</v>
      </c>
      <c r="AD592" s="2">
        <f t="shared" si="525"/>
        <v>101</v>
      </c>
      <c r="AE592" s="2">
        <f t="shared" si="525"/>
        <v>0</v>
      </c>
      <c r="AF592" s="2">
        <f t="shared" si="525"/>
        <v>0</v>
      </c>
      <c r="AG592" s="2">
        <f t="shared" si="526"/>
        <v>0</v>
      </c>
      <c r="AH592" s="2">
        <f t="shared" si="527"/>
        <v>0</v>
      </c>
      <c r="AI592" s="2">
        <f t="shared" si="527"/>
        <v>0</v>
      </c>
      <c r="AJ592" s="2">
        <f t="shared" si="528"/>
        <v>0</v>
      </c>
      <c r="AK592" s="2">
        <v>101</v>
      </c>
      <c r="AL592" s="2">
        <v>0</v>
      </c>
      <c r="AM592" s="2">
        <v>101</v>
      </c>
      <c r="AN592" s="2">
        <v>0</v>
      </c>
      <c r="AO592" s="2">
        <v>0</v>
      </c>
      <c r="AP592" s="2">
        <v>0</v>
      </c>
      <c r="AQ592" s="2">
        <v>0</v>
      </c>
      <c r="AR592" s="2">
        <v>0</v>
      </c>
      <c r="AS592" s="2">
        <v>0</v>
      </c>
      <c r="AT592" s="2">
        <v>0</v>
      </c>
      <c r="AU592" s="2">
        <v>0</v>
      </c>
      <c r="AV592" s="2">
        <v>1</v>
      </c>
      <c r="AW592" s="2">
        <v>1</v>
      </c>
      <c r="AX592" s="2"/>
      <c r="AY592" s="2"/>
      <c r="AZ592" s="2">
        <v>1</v>
      </c>
      <c r="BA592" s="2">
        <v>1</v>
      </c>
      <c r="BB592" s="2">
        <v>1</v>
      </c>
      <c r="BC592" s="2">
        <v>1</v>
      </c>
      <c r="BD592" s="2" t="s">
        <v>3</v>
      </c>
      <c r="BE592" s="2" t="s">
        <v>3</v>
      </c>
      <c r="BF592" s="2" t="s">
        <v>3</v>
      </c>
      <c r="BG592" s="2" t="s">
        <v>3</v>
      </c>
      <c r="BH592" s="2">
        <v>0</v>
      </c>
      <c r="BI592" s="2">
        <v>4</v>
      </c>
      <c r="BJ592" s="2" t="s">
        <v>609</v>
      </c>
      <c r="BK592" s="2"/>
      <c r="BL592" s="2"/>
      <c r="BM592" s="2">
        <v>1110</v>
      </c>
      <c r="BN592" s="2">
        <v>7156650</v>
      </c>
      <c r="BO592" s="2" t="s">
        <v>3</v>
      </c>
      <c r="BP592" s="2">
        <v>0</v>
      </c>
      <c r="BQ592" s="2">
        <v>150</v>
      </c>
      <c r="BR592" s="2">
        <v>0</v>
      </c>
      <c r="BS592" s="2">
        <v>1</v>
      </c>
      <c r="BT592" s="2">
        <v>1</v>
      </c>
      <c r="BU592" s="2">
        <v>1</v>
      </c>
      <c r="BV592" s="2">
        <v>1</v>
      </c>
      <c r="BW592" s="2">
        <v>1</v>
      </c>
      <c r="BX592" s="2">
        <v>1</v>
      </c>
      <c r="BY592" s="2" t="s">
        <v>3</v>
      </c>
      <c r="BZ592" s="2">
        <v>0</v>
      </c>
      <c r="CA592" s="2">
        <v>0</v>
      </c>
      <c r="CB592" s="2"/>
      <c r="CC592" s="2"/>
      <c r="CD592" s="2"/>
      <c r="CE592" s="2"/>
      <c r="CF592" s="2">
        <v>0</v>
      </c>
      <c r="CG592" s="2">
        <v>0</v>
      </c>
      <c r="CH592" s="2"/>
      <c r="CI592" s="2"/>
      <c r="CJ592" s="2"/>
      <c r="CK592" s="2"/>
      <c r="CL592" s="2"/>
      <c r="CM592" s="2">
        <v>0</v>
      </c>
      <c r="CN592" s="2" t="s">
        <v>3</v>
      </c>
      <c r="CO592" s="2">
        <v>0</v>
      </c>
      <c r="CP592" s="2">
        <f t="shared" si="529"/>
        <v>26.06</v>
      </c>
      <c r="CQ592" s="2">
        <f t="shared" si="530"/>
        <v>0</v>
      </c>
      <c r="CR592" s="2">
        <f t="shared" si="531"/>
        <v>101</v>
      </c>
      <c r="CS592" s="2">
        <f t="shared" si="532"/>
        <v>0</v>
      </c>
      <c r="CT592" s="2">
        <f t="shared" si="533"/>
        <v>0</v>
      </c>
      <c r="CU592" s="2">
        <f t="shared" si="534"/>
        <v>0</v>
      </c>
      <c r="CV592" s="2">
        <f t="shared" si="535"/>
        <v>0</v>
      </c>
      <c r="CW592" s="2">
        <f t="shared" si="536"/>
        <v>0</v>
      </c>
      <c r="CX592" s="2">
        <f t="shared" si="536"/>
        <v>0</v>
      </c>
      <c r="CY592" s="2">
        <f t="shared" si="537"/>
        <v>0</v>
      </c>
      <c r="CZ592" s="2">
        <f t="shared" si="538"/>
        <v>0</v>
      </c>
      <c r="DA592" s="2"/>
      <c r="DB592" s="2"/>
      <c r="DC592" s="2" t="s">
        <v>3</v>
      </c>
      <c r="DD592" s="2" t="s">
        <v>3</v>
      </c>
      <c r="DE592" s="2" t="s">
        <v>3</v>
      </c>
      <c r="DF592" s="2" t="s">
        <v>3</v>
      </c>
      <c r="DG592" s="2" t="s">
        <v>3</v>
      </c>
      <c r="DH592" s="2" t="s">
        <v>3</v>
      </c>
      <c r="DI592" s="2" t="s">
        <v>3</v>
      </c>
      <c r="DJ592" s="2" t="s">
        <v>3</v>
      </c>
      <c r="DK592" s="2" t="s">
        <v>3</v>
      </c>
      <c r="DL592" s="2" t="s">
        <v>3</v>
      </c>
      <c r="DM592" s="2" t="s">
        <v>3</v>
      </c>
      <c r="DN592" s="2">
        <v>0</v>
      </c>
      <c r="DO592" s="2">
        <v>0</v>
      </c>
      <c r="DP592" s="2">
        <v>1</v>
      </c>
      <c r="DQ592" s="2">
        <v>1</v>
      </c>
      <c r="DR592" s="2"/>
      <c r="DS592" s="2"/>
      <c r="DT592" s="2"/>
      <c r="DU592" s="2">
        <v>1013</v>
      </c>
      <c r="DV592" s="2" t="s">
        <v>598</v>
      </c>
      <c r="DW592" s="2" t="s">
        <v>598</v>
      </c>
      <c r="DX592" s="2">
        <v>1</v>
      </c>
      <c r="DY592" s="2"/>
      <c r="DZ592" s="2"/>
      <c r="EA592" s="2"/>
      <c r="EB592" s="2"/>
      <c r="EC592" s="2"/>
      <c r="ED592" s="2"/>
      <c r="EE592" s="2">
        <v>44847617</v>
      </c>
      <c r="EF592" s="2">
        <v>150</v>
      </c>
      <c r="EG592" s="2" t="s">
        <v>114</v>
      </c>
      <c r="EH592" s="2">
        <v>0</v>
      </c>
      <c r="EI592" s="2" t="s">
        <v>3</v>
      </c>
      <c r="EJ592" s="2">
        <v>4</v>
      </c>
      <c r="EK592" s="2">
        <v>1110</v>
      </c>
      <c r="EL592" s="2" t="s">
        <v>115</v>
      </c>
      <c r="EM592" s="2" t="s">
        <v>116</v>
      </c>
      <c r="EN592" s="2"/>
      <c r="EO592" s="2" t="s">
        <v>3</v>
      </c>
      <c r="EP592" s="2"/>
      <c r="EQ592" s="2">
        <v>131072</v>
      </c>
      <c r="ER592" s="2">
        <v>101</v>
      </c>
      <c r="ES592" s="2">
        <v>0</v>
      </c>
      <c r="ET592" s="2">
        <v>101</v>
      </c>
      <c r="EU592" s="2">
        <v>0</v>
      </c>
      <c r="EV592" s="2">
        <v>0</v>
      </c>
      <c r="EW592" s="2">
        <v>0</v>
      </c>
      <c r="EX592" s="2">
        <v>0</v>
      </c>
      <c r="EY592" s="2">
        <v>0</v>
      </c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>
        <v>0</v>
      </c>
      <c r="FR592" s="2">
        <f t="shared" si="539"/>
        <v>0</v>
      </c>
      <c r="FS592" s="2">
        <v>0</v>
      </c>
      <c r="FT592" s="2"/>
      <c r="FU592" s="2"/>
      <c r="FV592" s="2"/>
      <c r="FW592" s="2"/>
      <c r="FX592" s="2">
        <v>0</v>
      </c>
      <c r="FY592" s="2">
        <v>0</v>
      </c>
      <c r="FZ592" s="2"/>
      <c r="GA592" s="2" t="s">
        <v>3</v>
      </c>
      <c r="GB592" s="2"/>
      <c r="GC592" s="2"/>
      <c r="GD592" s="2">
        <v>0</v>
      </c>
      <c r="GE592" s="2"/>
      <c r="GF592" s="2">
        <v>1935715050</v>
      </c>
      <c r="GG592" s="2">
        <v>2</v>
      </c>
      <c r="GH592" s="2">
        <v>1</v>
      </c>
      <c r="GI592" s="2">
        <v>3</v>
      </c>
      <c r="GJ592" s="2">
        <v>0</v>
      </c>
      <c r="GK592" s="2">
        <f>ROUND(R592*(R12)/100,2)</f>
        <v>0</v>
      </c>
      <c r="GL592" s="2">
        <f t="shared" si="540"/>
        <v>0</v>
      </c>
      <c r="GM592" s="2">
        <f t="shared" si="541"/>
        <v>26.06</v>
      </c>
      <c r="GN592" s="2">
        <f t="shared" si="542"/>
        <v>0</v>
      </c>
      <c r="GO592" s="2">
        <f t="shared" si="543"/>
        <v>0</v>
      </c>
      <c r="GP592" s="2">
        <f t="shared" si="544"/>
        <v>26.06</v>
      </c>
      <c r="GQ592" s="2"/>
      <c r="GR592" s="2">
        <v>0</v>
      </c>
      <c r="GS592" s="2">
        <v>3</v>
      </c>
      <c r="GT592" s="2">
        <v>0</v>
      </c>
      <c r="GU592" s="2" t="s">
        <v>3</v>
      </c>
      <c r="GV592" s="2">
        <f t="shared" si="545"/>
        <v>0</v>
      </c>
      <c r="GW592" s="2">
        <v>1</v>
      </c>
      <c r="GX592" s="2">
        <f t="shared" si="546"/>
        <v>0</v>
      </c>
      <c r="GY592" s="2"/>
      <c r="GZ592" s="2"/>
      <c r="HA592" s="2">
        <v>0</v>
      </c>
      <c r="HB592" s="2">
        <v>0</v>
      </c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>
        <v>0</v>
      </c>
      <c r="IL592" s="2"/>
      <c r="IM592" s="2"/>
      <c r="IN592" s="2"/>
      <c r="IO592" s="2"/>
      <c r="IP592" s="2"/>
      <c r="IQ592" s="2"/>
      <c r="IR592" s="2"/>
      <c r="IS592" s="2"/>
      <c r="IT592" s="2"/>
      <c r="IU592" s="2"/>
    </row>
    <row r="593" spans="1:245" x14ac:dyDescent="0.2">
      <c r="A593">
        <v>17</v>
      </c>
      <c r="B593">
        <v>1</v>
      </c>
      <c r="C593">
        <f>ROW(SmtRes!A428)</f>
        <v>428</v>
      </c>
      <c r="D593">
        <f>ROW(EtalonRes!A404)</f>
        <v>404</v>
      </c>
      <c r="E593" t="s">
        <v>606</v>
      </c>
      <c r="F593" t="s">
        <v>607</v>
      </c>
      <c r="G593" t="s">
        <v>608</v>
      </c>
      <c r="H593" t="s">
        <v>598</v>
      </c>
      <c r="I593">
        <v>0.25800000000000001</v>
      </c>
      <c r="J593">
        <v>0</v>
      </c>
      <c r="O593">
        <f t="shared" si="514"/>
        <v>52.38</v>
      </c>
      <c r="P593">
        <f t="shared" si="515"/>
        <v>0</v>
      </c>
      <c r="Q593">
        <f t="shared" si="516"/>
        <v>52.38</v>
      </c>
      <c r="R593">
        <f t="shared" si="517"/>
        <v>0</v>
      </c>
      <c r="S593">
        <f t="shared" si="518"/>
        <v>0</v>
      </c>
      <c r="T593">
        <f t="shared" si="519"/>
        <v>0</v>
      </c>
      <c r="U593">
        <f t="shared" si="520"/>
        <v>0</v>
      </c>
      <c r="V593">
        <f t="shared" si="521"/>
        <v>0</v>
      </c>
      <c r="W593">
        <f t="shared" si="522"/>
        <v>0</v>
      </c>
      <c r="X593">
        <f t="shared" si="523"/>
        <v>0</v>
      </c>
      <c r="Y593">
        <f t="shared" si="523"/>
        <v>0</v>
      </c>
      <c r="AA593">
        <v>45037307</v>
      </c>
      <c r="AB593">
        <f t="shared" si="524"/>
        <v>101</v>
      </c>
      <c r="AC593">
        <f t="shared" si="525"/>
        <v>0</v>
      </c>
      <c r="AD593">
        <f t="shared" si="525"/>
        <v>101</v>
      </c>
      <c r="AE593">
        <f t="shared" si="525"/>
        <v>0</v>
      </c>
      <c r="AF593">
        <f t="shared" si="525"/>
        <v>0</v>
      </c>
      <c r="AG593">
        <f t="shared" si="526"/>
        <v>0</v>
      </c>
      <c r="AH593">
        <f t="shared" si="527"/>
        <v>0</v>
      </c>
      <c r="AI593">
        <f t="shared" si="527"/>
        <v>0</v>
      </c>
      <c r="AJ593">
        <f t="shared" si="528"/>
        <v>0</v>
      </c>
      <c r="AK593">
        <v>101</v>
      </c>
      <c r="AL593">
        <v>0</v>
      </c>
      <c r="AM593">
        <v>101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0</v>
      </c>
      <c r="AU593">
        <v>0</v>
      </c>
      <c r="AV593">
        <v>1</v>
      </c>
      <c r="AW593">
        <v>1</v>
      </c>
      <c r="AZ593">
        <v>1</v>
      </c>
      <c r="BA593">
        <v>20.399999999999999</v>
      </c>
      <c r="BB593">
        <v>2.0099999999999998</v>
      </c>
      <c r="BC593">
        <v>1</v>
      </c>
      <c r="BD593" t="s">
        <v>3</v>
      </c>
      <c r="BE593" t="s">
        <v>3</v>
      </c>
      <c r="BF593" t="s">
        <v>3</v>
      </c>
      <c r="BG593" t="s">
        <v>3</v>
      </c>
      <c r="BH593">
        <v>0</v>
      </c>
      <c r="BI593">
        <v>4</v>
      </c>
      <c r="BJ593" t="s">
        <v>609</v>
      </c>
      <c r="BM593">
        <v>1110</v>
      </c>
      <c r="BN593">
        <v>7156650</v>
      </c>
      <c r="BO593" t="s">
        <v>607</v>
      </c>
      <c r="BP593">
        <v>1</v>
      </c>
      <c r="BQ593">
        <v>150</v>
      </c>
      <c r="BR593">
        <v>0</v>
      </c>
      <c r="BS593">
        <v>20.399999999999999</v>
      </c>
      <c r="BT593">
        <v>1</v>
      </c>
      <c r="BU593">
        <v>1</v>
      </c>
      <c r="BV593">
        <v>1</v>
      </c>
      <c r="BW593">
        <v>1</v>
      </c>
      <c r="BX593">
        <v>1</v>
      </c>
      <c r="BY593" t="s">
        <v>3</v>
      </c>
      <c r="BZ593">
        <v>0</v>
      </c>
      <c r="CA593">
        <v>0</v>
      </c>
      <c r="CF593">
        <v>0</v>
      </c>
      <c r="CG593">
        <v>0</v>
      </c>
      <c r="CM593">
        <v>0</v>
      </c>
      <c r="CN593" t="s">
        <v>3</v>
      </c>
      <c r="CO593">
        <v>0</v>
      </c>
      <c r="CP593">
        <f t="shared" si="529"/>
        <v>52.38</v>
      </c>
      <c r="CQ593">
        <f t="shared" si="530"/>
        <v>0</v>
      </c>
      <c r="CR593">
        <f t="shared" si="531"/>
        <v>203.01</v>
      </c>
      <c r="CS593">
        <f t="shared" si="532"/>
        <v>0</v>
      </c>
      <c r="CT593">
        <f t="shared" si="533"/>
        <v>0</v>
      </c>
      <c r="CU593">
        <f t="shared" si="534"/>
        <v>0</v>
      </c>
      <c r="CV593">
        <f t="shared" si="535"/>
        <v>0</v>
      </c>
      <c r="CW593">
        <f t="shared" si="536"/>
        <v>0</v>
      </c>
      <c r="CX593">
        <f t="shared" si="536"/>
        <v>0</v>
      </c>
      <c r="CY593">
        <f t="shared" si="537"/>
        <v>0</v>
      </c>
      <c r="CZ593">
        <f t="shared" si="538"/>
        <v>0</v>
      </c>
      <c r="DC593" t="s">
        <v>3</v>
      </c>
      <c r="DD593" t="s">
        <v>3</v>
      </c>
      <c r="DE593" t="s">
        <v>3</v>
      </c>
      <c r="DF593" t="s">
        <v>3</v>
      </c>
      <c r="DG593" t="s">
        <v>3</v>
      </c>
      <c r="DH593" t="s">
        <v>3</v>
      </c>
      <c r="DI593" t="s">
        <v>3</v>
      </c>
      <c r="DJ593" t="s">
        <v>3</v>
      </c>
      <c r="DK593" t="s">
        <v>3</v>
      </c>
      <c r="DL593" t="s">
        <v>3</v>
      </c>
      <c r="DM593" t="s">
        <v>3</v>
      </c>
      <c r="DN593">
        <v>0</v>
      </c>
      <c r="DO593">
        <v>0</v>
      </c>
      <c r="DP593">
        <v>1</v>
      </c>
      <c r="DQ593">
        <v>1</v>
      </c>
      <c r="DU593">
        <v>1013</v>
      </c>
      <c r="DV593" t="s">
        <v>598</v>
      </c>
      <c r="DW593" t="s">
        <v>598</v>
      </c>
      <c r="DX593">
        <v>1</v>
      </c>
      <c r="EE593">
        <v>44847617</v>
      </c>
      <c r="EF593">
        <v>150</v>
      </c>
      <c r="EG593" t="s">
        <v>114</v>
      </c>
      <c r="EH593">
        <v>0</v>
      </c>
      <c r="EI593" t="s">
        <v>3</v>
      </c>
      <c r="EJ593">
        <v>4</v>
      </c>
      <c r="EK593">
        <v>1110</v>
      </c>
      <c r="EL593" t="s">
        <v>115</v>
      </c>
      <c r="EM593" t="s">
        <v>116</v>
      </c>
      <c r="EO593" t="s">
        <v>3</v>
      </c>
      <c r="EQ593">
        <v>131072</v>
      </c>
      <c r="ER593">
        <v>101</v>
      </c>
      <c r="ES593">
        <v>0</v>
      </c>
      <c r="ET593">
        <v>101</v>
      </c>
      <c r="EU593">
        <v>0</v>
      </c>
      <c r="EV593">
        <v>0</v>
      </c>
      <c r="EW593">
        <v>0</v>
      </c>
      <c r="EX593">
        <v>0</v>
      </c>
      <c r="EY593">
        <v>0</v>
      </c>
      <c r="FQ593">
        <v>0</v>
      </c>
      <c r="FR593">
        <f t="shared" si="539"/>
        <v>0</v>
      </c>
      <c r="FS593">
        <v>0</v>
      </c>
      <c r="FX593">
        <v>0</v>
      </c>
      <c r="FY593">
        <v>0</v>
      </c>
      <c r="GA593" t="s">
        <v>3</v>
      </c>
      <c r="GD593">
        <v>0</v>
      </c>
      <c r="GF593">
        <v>1935715050</v>
      </c>
      <c r="GG593">
        <v>2</v>
      </c>
      <c r="GH593">
        <v>1</v>
      </c>
      <c r="GI593">
        <v>3</v>
      </c>
      <c r="GJ593">
        <v>0</v>
      </c>
      <c r="GK593">
        <f>ROUND(R593*(S12)/100,2)</f>
        <v>0</v>
      </c>
      <c r="GL593">
        <f t="shared" si="540"/>
        <v>0</v>
      </c>
      <c r="GM593">
        <f t="shared" si="541"/>
        <v>52.38</v>
      </c>
      <c r="GN593">
        <f t="shared" si="542"/>
        <v>0</v>
      </c>
      <c r="GO593">
        <f t="shared" si="543"/>
        <v>0</v>
      </c>
      <c r="GP593">
        <f t="shared" si="544"/>
        <v>52.38</v>
      </c>
      <c r="GR593">
        <v>0</v>
      </c>
      <c r="GS593">
        <v>3</v>
      </c>
      <c r="GT593">
        <v>0</v>
      </c>
      <c r="GU593" t="s">
        <v>3</v>
      </c>
      <c r="GV593">
        <f t="shared" si="545"/>
        <v>0</v>
      </c>
      <c r="GW593">
        <v>1</v>
      </c>
      <c r="GX593">
        <f t="shared" si="546"/>
        <v>0</v>
      </c>
      <c r="HA593">
        <v>0</v>
      </c>
      <c r="HB593">
        <v>0</v>
      </c>
      <c r="IK593">
        <v>0</v>
      </c>
    </row>
    <row r="595" spans="1:245" x14ac:dyDescent="0.2">
      <c r="A595" s="3">
        <v>51</v>
      </c>
      <c r="B595" s="3">
        <f>B584</f>
        <v>1</v>
      </c>
      <c r="C595" s="3">
        <f>A584</f>
        <v>4</v>
      </c>
      <c r="D595" s="3">
        <f>ROW(A584)</f>
        <v>584</v>
      </c>
      <c r="E595" s="3"/>
      <c r="F595" s="3" t="str">
        <f>IF(F584&lt;&gt;"",F584,"")</f>
        <v>Новый раздел</v>
      </c>
      <c r="G595" s="3" t="str">
        <f>IF(G584&lt;&gt;"",G584,"")</f>
        <v>Прочие работы</v>
      </c>
      <c r="H595" s="3">
        <v>0</v>
      </c>
      <c r="I595" s="3"/>
      <c r="J595" s="3"/>
      <c r="K595" s="3"/>
      <c r="L595" s="3"/>
      <c r="M595" s="3"/>
      <c r="N595" s="3"/>
      <c r="O595" s="3">
        <f t="shared" ref="O595:T595" si="547">ROUND(AB595,2)</f>
        <v>36.64</v>
      </c>
      <c r="P595" s="3">
        <f t="shared" si="547"/>
        <v>0</v>
      </c>
      <c r="Q595" s="3">
        <f t="shared" si="547"/>
        <v>36.64</v>
      </c>
      <c r="R595" s="3">
        <f t="shared" si="547"/>
        <v>0.38</v>
      </c>
      <c r="S595" s="3">
        <f t="shared" si="547"/>
        <v>0</v>
      </c>
      <c r="T595" s="3">
        <f t="shared" si="547"/>
        <v>0</v>
      </c>
      <c r="U595" s="3">
        <f>AH595</f>
        <v>0</v>
      </c>
      <c r="V595" s="3">
        <f>AI595</f>
        <v>0</v>
      </c>
      <c r="W595" s="3">
        <f>ROUND(AJ595,2)</f>
        <v>0</v>
      </c>
      <c r="X595" s="3">
        <f>ROUND(AK595,2)</f>
        <v>0</v>
      </c>
      <c r="Y595" s="3">
        <f>ROUND(AL595,2)</f>
        <v>0</v>
      </c>
      <c r="Z595" s="3"/>
      <c r="AA595" s="3"/>
      <c r="AB595" s="3">
        <f>ROUND(SUMIF(AA588:AA593,"=45037306",O588:O593),2)</f>
        <v>36.64</v>
      </c>
      <c r="AC595" s="3">
        <f>ROUND(SUMIF(AA588:AA593,"=45037306",P588:P593),2)</f>
        <v>0</v>
      </c>
      <c r="AD595" s="3">
        <f>ROUND(SUMIF(AA588:AA593,"=45037306",Q588:Q593),2)</f>
        <v>36.64</v>
      </c>
      <c r="AE595" s="3">
        <f>ROUND(SUMIF(AA588:AA593,"=45037306",R588:R593),2)</f>
        <v>0.38</v>
      </c>
      <c r="AF595" s="3">
        <f>ROUND(SUMIF(AA588:AA593,"=45037306",S588:S593),2)</f>
        <v>0</v>
      </c>
      <c r="AG595" s="3">
        <f>ROUND(SUMIF(AA588:AA593,"=45037306",T588:T593),2)</f>
        <v>0</v>
      </c>
      <c r="AH595" s="3">
        <f>SUMIF(AA588:AA593,"=45037306",U588:U593)</f>
        <v>0</v>
      </c>
      <c r="AI595" s="3">
        <f>SUMIF(AA588:AA593,"=45037306",V588:V593)</f>
        <v>0</v>
      </c>
      <c r="AJ595" s="3">
        <f>ROUND(SUMIF(AA588:AA593,"=45037306",W588:W593),2)</f>
        <v>0</v>
      </c>
      <c r="AK595" s="3">
        <f>ROUND(SUMIF(AA588:AA593,"=45037306",X588:X593),2)</f>
        <v>0</v>
      </c>
      <c r="AL595" s="3">
        <f>ROUND(SUMIF(AA588:AA593,"=45037306",Y588:Y593),2)</f>
        <v>0</v>
      </c>
      <c r="AM595" s="3"/>
      <c r="AN595" s="3"/>
      <c r="AO595" s="3">
        <f t="shared" ref="AO595:BC595" si="548">ROUND(BX595,2)</f>
        <v>0</v>
      </c>
      <c r="AP595" s="3">
        <f t="shared" si="548"/>
        <v>0</v>
      </c>
      <c r="AQ595" s="3">
        <f t="shared" si="548"/>
        <v>0</v>
      </c>
      <c r="AR595" s="3">
        <f t="shared" si="548"/>
        <v>37.32</v>
      </c>
      <c r="AS595" s="3">
        <f t="shared" si="548"/>
        <v>2.97</v>
      </c>
      <c r="AT595" s="3">
        <f t="shared" si="548"/>
        <v>0</v>
      </c>
      <c r="AU595" s="3">
        <f t="shared" si="548"/>
        <v>34.35</v>
      </c>
      <c r="AV595" s="3">
        <f t="shared" si="548"/>
        <v>0</v>
      </c>
      <c r="AW595" s="3">
        <f t="shared" si="548"/>
        <v>0</v>
      </c>
      <c r="AX595" s="3">
        <f t="shared" si="548"/>
        <v>0</v>
      </c>
      <c r="AY595" s="3">
        <f t="shared" si="548"/>
        <v>0</v>
      </c>
      <c r="AZ595" s="3">
        <f t="shared" si="548"/>
        <v>0</v>
      </c>
      <c r="BA595" s="3">
        <f t="shared" si="548"/>
        <v>0</v>
      </c>
      <c r="BB595" s="3">
        <f t="shared" si="548"/>
        <v>0</v>
      </c>
      <c r="BC595" s="3">
        <f t="shared" si="548"/>
        <v>0</v>
      </c>
      <c r="BD595" s="3"/>
      <c r="BE595" s="3"/>
      <c r="BF595" s="3"/>
      <c r="BG595" s="3"/>
      <c r="BH595" s="3"/>
      <c r="BI595" s="3"/>
      <c r="BJ595" s="3"/>
      <c r="BK595" s="3"/>
      <c r="BL595" s="3"/>
      <c r="BM595" s="3"/>
      <c r="BN595" s="3"/>
      <c r="BO595" s="3"/>
      <c r="BP595" s="3"/>
      <c r="BQ595" s="3"/>
      <c r="BR595" s="3"/>
      <c r="BS595" s="3"/>
      <c r="BT595" s="3"/>
      <c r="BU595" s="3"/>
      <c r="BV595" s="3"/>
      <c r="BW595" s="3"/>
      <c r="BX595" s="3">
        <f>ROUND(SUMIF(AA588:AA593,"=45037306",FQ588:FQ593),2)</f>
        <v>0</v>
      </c>
      <c r="BY595" s="3">
        <f>ROUND(SUMIF(AA588:AA593,"=45037306",FR588:FR593),2)</f>
        <v>0</v>
      </c>
      <c r="BZ595" s="3">
        <f>ROUND(SUMIF(AA588:AA593,"=45037306",GL588:GL593),2)</f>
        <v>0</v>
      </c>
      <c r="CA595" s="3">
        <f>ROUND(SUMIF(AA588:AA593,"=45037306",GM588:GM593),2)</f>
        <v>37.32</v>
      </c>
      <c r="CB595" s="3">
        <f>ROUND(SUMIF(AA588:AA593,"=45037306",GN588:GN593),2)</f>
        <v>2.97</v>
      </c>
      <c r="CC595" s="3">
        <f>ROUND(SUMIF(AA588:AA593,"=45037306",GO588:GO593),2)</f>
        <v>0</v>
      </c>
      <c r="CD595" s="3">
        <f>ROUND(SUMIF(AA588:AA593,"=45037306",GP588:GP593),2)</f>
        <v>34.35</v>
      </c>
      <c r="CE595" s="3">
        <f>AC595-BX595</f>
        <v>0</v>
      </c>
      <c r="CF595" s="3">
        <f>AC595-BY595</f>
        <v>0</v>
      </c>
      <c r="CG595" s="3">
        <f>BX595-BZ595</f>
        <v>0</v>
      </c>
      <c r="CH595" s="3">
        <f>AC595-BX595-BY595+BZ595</f>
        <v>0</v>
      </c>
      <c r="CI595" s="3">
        <f>BY595-BZ595</f>
        <v>0</v>
      </c>
      <c r="CJ595" s="3">
        <f>ROUND(SUMIF(AA588:AA593,"=45037306",GX588:GX593),2)</f>
        <v>0</v>
      </c>
      <c r="CK595" s="3">
        <f>ROUND(SUMIF(AA588:AA593,"=45037306",GY588:GY593),2)</f>
        <v>0</v>
      </c>
      <c r="CL595" s="3">
        <f>ROUND(SUMIF(AA588:AA593,"=45037306",GZ588:GZ593),2)</f>
        <v>0</v>
      </c>
      <c r="CM595" s="3"/>
      <c r="CN595" s="3"/>
      <c r="CO595" s="3"/>
      <c r="CP595" s="3"/>
      <c r="CQ595" s="3"/>
      <c r="CR595" s="3"/>
      <c r="CS595" s="3"/>
      <c r="CT595" s="3"/>
      <c r="CU595" s="3"/>
      <c r="CV595" s="3"/>
      <c r="CW595" s="3"/>
      <c r="CX595" s="3"/>
      <c r="CY595" s="3"/>
      <c r="CZ595" s="3"/>
      <c r="DA595" s="3"/>
      <c r="DB595" s="3"/>
      <c r="DC595" s="3"/>
      <c r="DD595" s="3"/>
      <c r="DE595" s="3"/>
      <c r="DF595" s="3"/>
      <c r="DG595" s="4">
        <f t="shared" ref="DG595:DL595" si="549">ROUND(DT595,2)</f>
        <v>151.31</v>
      </c>
      <c r="DH595" s="4">
        <f t="shared" si="549"/>
        <v>0</v>
      </c>
      <c r="DI595" s="4">
        <f t="shared" si="549"/>
        <v>151.31</v>
      </c>
      <c r="DJ595" s="4">
        <f t="shared" si="549"/>
        <v>7.79</v>
      </c>
      <c r="DK595" s="4">
        <f t="shared" si="549"/>
        <v>0</v>
      </c>
      <c r="DL595" s="4">
        <f t="shared" si="549"/>
        <v>0</v>
      </c>
      <c r="DM595" s="4">
        <f>DZ595</f>
        <v>0</v>
      </c>
      <c r="DN595" s="4">
        <f>EA595</f>
        <v>0</v>
      </c>
      <c r="DO595" s="4">
        <f>ROUND(EB595,2)</f>
        <v>0</v>
      </c>
      <c r="DP595" s="4">
        <f>ROUND(EC595,2)</f>
        <v>0</v>
      </c>
      <c r="DQ595" s="4">
        <f>ROUND(ED595,2)</f>
        <v>0</v>
      </c>
      <c r="DR595" s="4"/>
      <c r="DS595" s="4"/>
      <c r="DT595" s="4">
        <f>ROUND(SUMIF(AA588:AA593,"=45037307",O588:O593),2)</f>
        <v>151.31</v>
      </c>
      <c r="DU595" s="4">
        <f>ROUND(SUMIF(AA588:AA593,"=45037307",P588:P593),2)</f>
        <v>0</v>
      </c>
      <c r="DV595" s="4">
        <f>ROUND(SUMIF(AA588:AA593,"=45037307",Q588:Q593),2)</f>
        <v>151.31</v>
      </c>
      <c r="DW595" s="4">
        <f>ROUND(SUMIF(AA588:AA593,"=45037307",R588:R593),2)</f>
        <v>7.79</v>
      </c>
      <c r="DX595" s="4">
        <f>ROUND(SUMIF(AA588:AA593,"=45037307",S588:S593),2)</f>
        <v>0</v>
      </c>
      <c r="DY595" s="4">
        <f>ROUND(SUMIF(AA588:AA593,"=45037307",T588:T593),2)</f>
        <v>0</v>
      </c>
      <c r="DZ595" s="4">
        <f>SUMIF(AA588:AA593,"=45037307",U588:U593)</f>
        <v>0</v>
      </c>
      <c r="EA595" s="4">
        <f>SUMIF(AA588:AA593,"=45037307",V588:V593)</f>
        <v>0</v>
      </c>
      <c r="EB595" s="4">
        <f>ROUND(SUMIF(AA588:AA593,"=45037307",W588:W593),2)</f>
        <v>0</v>
      </c>
      <c r="EC595" s="4">
        <f>ROUND(SUMIF(AA588:AA593,"=45037307",X588:X593),2)</f>
        <v>0</v>
      </c>
      <c r="ED595" s="4">
        <f>ROUND(SUMIF(AA588:AA593,"=45037307",Y588:Y593),2)</f>
        <v>0</v>
      </c>
      <c r="EE595" s="4"/>
      <c r="EF595" s="4"/>
      <c r="EG595" s="4">
        <f t="shared" ref="EG595:EU595" si="550">ROUND(FP595,2)</f>
        <v>0</v>
      </c>
      <c r="EH595" s="4">
        <f t="shared" si="550"/>
        <v>0</v>
      </c>
      <c r="EI595" s="4">
        <f t="shared" si="550"/>
        <v>0</v>
      </c>
      <c r="EJ595" s="4">
        <f t="shared" si="550"/>
        <v>164.4</v>
      </c>
      <c r="EK595" s="4">
        <f t="shared" si="550"/>
        <v>31.17</v>
      </c>
      <c r="EL595" s="4">
        <f t="shared" si="550"/>
        <v>0</v>
      </c>
      <c r="EM595" s="4">
        <f t="shared" si="550"/>
        <v>133.22999999999999</v>
      </c>
      <c r="EN595" s="4">
        <f t="shared" si="550"/>
        <v>0</v>
      </c>
      <c r="EO595" s="4">
        <f t="shared" si="550"/>
        <v>0</v>
      </c>
      <c r="EP595" s="4">
        <f t="shared" si="550"/>
        <v>0</v>
      </c>
      <c r="EQ595" s="4">
        <f t="shared" si="550"/>
        <v>0</v>
      </c>
      <c r="ER595" s="4">
        <f t="shared" si="550"/>
        <v>0</v>
      </c>
      <c r="ES595" s="4">
        <f t="shared" si="550"/>
        <v>0</v>
      </c>
      <c r="ET595" s="4">
        <f t="shared" si="550"/>
        <v>0</v>
      </c>
      <c r="EU595" s="4">
        <f t="shared" si="550"/>
        <v>0</v>
      </c>
      <c r="EV595" s="4"/>
      <c r="EW595" s="4"/>
      <c r="EX595" s="4"/>
      <c r="EY595" s="4"/>
      <c r="EZ595" s="4"/>
      <c r="FA595" s="4"/>
      <c r="FB595" s="4"/>
      <c r="FC595" s="4"/>
      <c r="FD595" s="4"/>
      <c r="FE595" s="4"/>
      <c r="FF595" s="4"/>
      <c r="FG595" s="4"/>
      <c r="FH595" s="4"/>
      <c r="FI595" s="4"/>
      <c r="FJ595" s="4"/>
      <c r="FK595" s="4"/>
      <c r="FL595" s="4"/>
      <c r="FM595" s="4"/>
      <c r="FN595" s="4"/>
      <c r="FO595" s="4"/>
      <c r="FP595" s="4">
        <f>ROUND(SUMIF(AA588:AA593,"=45037307",FQ588:FQ593),2)</f>
        <v>0</v>
      </c>
      <c r="FQ595" s="4">
        <f>ROUND(SUMIF(AA588:AA593,"=45037307",FR588:FR593),2)</f>
        <v>0</v>
      </c>
      <c r="FR595" s="4">
        <f>ROUND(SUMIF(AA588:AA593,"=45037307",GL588:GL593),2)</f>
        <v>0</v>
      </c>
      <c r="FS595" s="4">
        <f>ROUND(SUMIF(AA588:AA593,"=45037307",GM588:GM593),2)</f>
        <v>164.4</v>
      </c>
      <c r="FT595" s="4">
        <f>ROUND(SUMIF(AA588:AA593,"=45037307",GN588:GN593),2)</f>
        <v>31.17</v>
      </c>
      <c r="FU595" s="4">
        <f>ROUND(SUMIF(AA588:AA593,"=45037307",GO588:GO593),2)</f>
        <v>0</v>
      </c>
      <c r="FV595" s="4">
        <f>ROUND(SUMIF(AA588:AA593,"=45037307",GP588:GP593),2)</f>
        <v>133.22999999999999</v>
      </c>
      <c r="FW595" s="4">
        <f>DU595-FP595</f>
        <v>0</v>
      </c>
      <c r="FX595" s="4">
        <f>DU595-FQ595</f>
        <v>0</v>
      </c>
      <c r="FY595" s="4">
        <f>FP595-FR595</f>
        <v>0</v>
      </c>
      <c r="FZ595" s="4">
        <f>DU595-FP595-FQ595+FR595</f>
        <v>0</v>
      </c>
      <c r="GA595" s="4">
        <f>FQ595-FR595</f>
        <v>0</v>
      </c>
      <c r="GB595" s="4">
        <f>ROUND(SUMIF(AA588:AA593,"=45037307",GX588:GX593),2)</f>
        <v>0</v>
      </c>
      <c r="GC595" s="4">
        <f>ROUND(SUMIF(AA588:AA593,"=45037307",GY588:GY593),2)</f>
        <v>0</v>
      </c>
      <c r="GD595" s="4">
        <f>ROUND(SUMIF(AA588:AA593,"=45037307",GZ588:GZ593),2)</f>
        <v>0</v>
      </c>
      <c r="GE595" s="4"/>
      <c r="GF595" s="4"/>
      <c r="GG595" s="4"/>
      <c r="GH595" s="4"/>
      <c r="GI595" s="4"/>
      <c r="GJ595" s="4"/>
      <c r="GK595" s="4"/>
      <c r="GL595" s="4"/>
      <c r="GM595" s="4"/>
      <c r="GN595" s="4"/>
      <c r="GO595" s="4"/>
      <c r="GP595" s="4"/>
      <c r="GQ595" s="4"/>
      <c r="GR595" s="4"/>
      <c r="GS595" s="4"/>
      <c r="GT595" s="4"/>
      <c r="GU595" s="4"/>
      <c r="GV595" s="4"/>
      <c r="GW595" s="4"/>
      <c r="GX595" s="4">
        <v>0</v>
      </c>
    </row>
    <row r="597" spans="1:245" x14ac:dyDescent="0.2">
      <c r="A597" s="5">
        <v>50</v>
      </c>
      <c r="B597" s="5">
        <v>0</v>
      </c>
      <c r="C597" s="5">
        <v>0</v>
      </c>
      <c r="D597" s="5">
        <v>1</v>
      </c>
      <c r="E597" s="5">
        <v>201</v>
      </c>
      <c r="F597" s="5">
        <f>ROUND(Source!O595,O597)</f>
        <v>36.64</v>
      </c>
      <c r="G597" s="5" t="s">
        <v>117</v>
      </c>
      <c r="H597" s="5" t="s">
        <v>118</v>
      </c>
      <c r="I597" s="5"/>
      <c r="J597" s="5"/>
      <c r="K597" s="5">
        <v>201</v>
      </c>
      <c r="L597" s="5">
        <v>1</v>
      </c>
      <c r="M597" s="5">
        <v>3</v>
      </c>
      <c r="N597" s="5" t="s">
        <v>3</v>
      </c>
      <c r="O597" s="5">
        <v>2</v>
      </c>
      <c r="P597" s="5">
        <f>ROUND(Source!DG595,O597)</f>
        <v>151.31</v>
      </c>
      <c r="Q597" s="5"/>
      <c r="R597" s="5"/>
      <c r="S597" s="5"/>
      <c r="T597" s="5"/>
      <c r="U597" s="5"/>
      <c r="V597" s="5"/>
      <c r="W597" s="5"/>
    </row>
    <row r="598" spans="1:245" x14ac:dyDescent="0.2">
      <c r="A598" s="5">
        <v>50</v>
      </c>
      <c r="B598" s="5">
        <v>0</v>
      </c>
      <c r="C598" s="5">
        <v>0</v>
      </c>
      <c r="D598" s="5">
        <v>1</v>
      </c>
      <c r="E598" s="5">
        <v>202</v>
      </c>
      <c r="F598" s="5">
        <f>ROUND(Source!P595,O598)</f>
        <v>0</v>
      </c>
      <c r="G598" s="5" t="s">
        <v>119</v>
      </c>
      <c r="H598" s="5" t="s">
        <v>120</v>
      </c>
      <c r="I598" s="5"/>
      <c r="J598" s="5"/>
      <c r="K598" s="5">
        <v>202</v>
      </c>
      <c r="L598" s="5">
        <v>2</v>
      </c>
      <c r="M598" s="5">
        <v>3</v>
      </c>
      <c r="N598" s="5" t="s">
        <v>3</v>
      </c>
      <c r="O598" s="5">
        <v>2</v>
      </c>
      <c r="P598" s="5">
        <f>ROUND(Source!DH595,O598)</f>
        <v>0</v>
      </c>
      <c r="Q598" s="5"/>
      <c r="R598" s="5"/>
      <c r="S598" s="5"/>
      <c r="T598" s="5"/>
      <c r="U598" s="5"/>
      <c r="V598" s="5"/>
      <c r="W598" s="5"/>
    </row>
    <row r="599" spans="1:245" x14ac:dyDescent="0.2">
      <c r="A599" s="5">
        <v>50</v>
      </c>
      <c r="B599" s="5">
        <v>0</v>
      </c>
      <c r="C599" s="5">
        <v>0</v>
      </c>
      <c r="D599" s="5">
        <v>1</v>
      </c>
      <c r="E599" s="5">
        <v>227</v>
      </c>
      <c r="F599" s="5">
        <f>ROUND(Source!AO595,O599)</f>
        <v>0</v>
      </c>
      <c r="G599" s="5" t="s">
        <v>121</v>
      </c>
      <c r="H599" s="5" t="s">
        <v>122</v>
      </c>
      <c r="I599" s="5"/>
      <c r="J599" s="5"/>
      <c r="K599" s="5">
        <v>222</v>
      </c>
      <c r="L599" s="5">
        <v>3</v>
      </c>
      <c r="M599" s="5">
        <v>3</v>
      </c>
      <c r="N599" s="5" t="s">
        <v>3</v>
      </c>
      <c r="O599" s="5">
        <v>2</v>
      </c>
      <c r="P599" s="5">
        <f>ROUND(Source!EG595,O599)</f>
        <v>0</v>
      </c>
      <c r="Q599" s="5"/>
      <c r="R599" s="5"/>
      <c r="S599" s="5"/>
      <c r="T599" s="5"/>
      <c r="U599" s="5"/>
      <c r="V599" s="5"/>
      <c r="W599" s="5"/>
    </row>
    <row r="600" spans="1:245" x14ac:dyDescent="0.2">
      <c r="A600" s="5">
        <v>50</v>
      </c>
      <c r="B600" s="5">
        <v>0</v>
      </c>
      <c r="C600" s="5">
        <v>0</v>
      </c>
      <c r="D600" s="5">
        <v>1</v>
      </c>
      <c r="E600" s="5">
        <v>225</v>
      </c>
      <c r="F600" s="5">
        <f>ROUND(Source!AV595,O600)</f>
        <v>0</v>
      </c>
      <c r="G600" s="5" t="s">
        <v>123</v>
      </c>
      <c r="H600" s="5" t="s">
        <v>124</v>
      </c>
      <c r="I600" s="5"/>
      <c r="J600" s="5"/>
      <c r="K600" s="5">
        <v>225</v>
      </c>
      <c r="L600" s="5">
        <v>4</v>
      </c>
      <c r="M600" s="5">
        <v>3</v>
      </c>
      <c r="N600" s="5" t="s">
        <v>3</v>
      </c>
      <c r="O600" s="5">
        <v>2</v>
      </c>
      <c r="P600" s="5">
        <f>ROUND(Source!EN595,O600)</f>
        <v>0</v>
      </c>
      <c r="Q600" s="5"/>
      <c r="R600" s="5"/>
      <c r="S600" s="5"/>
      <c r="T600" s="5"/>
      <c r="U600" s="5"/>
      <c r="V600" s="5"/>
      <c r="W600" s="5"/>
    </row>
    <row r="601" spans="1:245" x14ac:dyDescent="0.2">
      <c r="A601" s="5">
        <v>50</v>
      </c>
      <c r="B601" s="5">
        <v>0</v>
      </c>
      <c r="C601" s="5">
        <v>0</v>
      </c>
      <c r="D601" s="5">
        <v>1</v>
      </c>
      <c r="E601" s="5">
        <v>226</v>
      </c>
      <c r="F601" s="5">
        <f>ROUND(Source!AW595,O601)</f>
        <v>0</v>
      </c>
      <c r="G601" s="5" t="s">
        <v>125</v>
      </c>
      <c r="H601" s="5" t="s">
        <v>126</v>
      </c>
      <c r="I601" s="5"/>
      <c r="J601" s="5"/>
      <c r="K601" s="5">
        <v>226</v>
      </c>
      <c r="L601" s="5">
        <v>5</v>
      </c>
      <c r="M601" s="5">
        <v>3</v>
      </c>
      <c r="N601" s="5" t="s">
        <v>3</v>
      </c>
      <c r="O601" s="5">
        <v>2</v>
      </c>
      <c r="P601" s="5">
        <f>ROUND(Source!EO595,O601)</f>
        <v>0</v>
      </c>
      <c r="Q601" s="5"/>
      <c r="R601" s="5"/>
      <c r="S601" s="5"/>
      <c r="T601" s="5"/>
      <c r="U601" s="5"/>
      <c r="V601" s="5"/>
      <c r="W601" s="5"/>
    </row>
    <row r="602" spans="1:245" x14ac:dyDescent="0.2">
      <c r="A602" s="5">
        <v>50</v>
      </c>
      <c r="B602" s="5">
        <v>0</v>
      </c>
      <c r="C602" s="5">
        <v>0</v>
      </c>
      <c r="D602" s="5">
        <v>1</v>
      </c>
      <c r="E602" s="5">
        <v>0</v>
      </c>
      <c r="F602" s="5">
        <f>ROUND(Source!AX595,O602)</f>
        <v>0</v>
      </c>
      <c r="G602" s="5" t="s">
        <v>127</v>
      </c>
      <c r="H602" s="5" t="s">
        <v>128</v>
      </c>
      <c r="I602" s="5"/>
      <c r="J602" s="5"/>
      <c r="K602" s="5">
        <v>227</v>
      </c>
      <c r="L602" s="5">
        <v>6</v>
      </c>
      <c r="M602" s="5">
        <v>3</v>
      </c>
      <c r="N602" s="5" t="s">
        <v>3</v>
      </c>
      <c r="O602" s="5">
        <v>2</v>
      </c>
      <c r="P602" s="5">
        <f>ROUND(Source!EP595,O602)</f>
        <v>0</v>
      </c>
      <c r="Q602" s="5"/>
      <c r="R602" s="5"/>
      <c r="S602" s="5"/>
      <c r="T602" s="5"/>
      <c r="U602" s="5"/>
      <c r="V602" s="5"/>
      <c r="W602" s="5"/>
    </row>
    <row r="603" spans="1:245" x14ac:dyDescent="0.2">
      <c r="A603" s="5">
        <v>50</v>
      </c>
      <c r="B603" s="5">
        <v>0</v>
      </c>
      <c r="C603" s="5">
        <v>0</v>
      </c>
      <c r="D603" s="5">
        <v>1</v>
      </c>
      <c r="E603" s="5">
        <v>228</v>
      </c>
      <c r="F603" s="5">
        <f>ROUND(Source!AY595,O603)</f>
        <v>0</v>
      </c>
      <c r="G603" s="5" t="s">
        <v>129</v>
      </c>
      <c r="H603" s="5" t="s">
        <v>130</v>
      </c>
      <c r="I603" s="5"/>
      <c r="J603" s="5"/>
      <c r="K603" s="5">
        <v>228</v>
      </c>
      <c r="L603" s="5">
        <v>7</v>
      </c>
      <c r="M603" s="5">
        <v>3</v>
      </c>
      <c r="N603" s="5" t="s">
        <v>3</v>
      </c>
      <c r="O603" s="5">
        <v>2</v>
      </c>
      <c r="P603" s="5">
        <f>ROUND(Source!EQ595,O603)</f>
        <v>0</v>
      </c>
      <c r="Q603" s="5"/>
      <c r="R603" s="5"/>
      <c r="S603" s="5"/>
      <c r="T603" s="5"/>
      <c r="U603" s="5"/>
      <c r="V603" s="5"/>
      <c r="W603" s="5"/>
    </row>
    <row r="604" spans="1:245" x14ac:dyDescent="0.2">
      <c r="A604" s="5">
        <v>50</v>
      </c>
      <c r="B604" s="5">
        <v>0</v>
      </c>
      <c r="C604" s="5">
        <v>0</v>
      </c>
      <c r="D604" s="5">
        <v>1</v>
      </c>
      <c r="E604" s="5">
        <v>216</v>
      </c>
      <c r="F604" s="5">
        <f>ROUND(Source!AP595,O604)</f>
        <v>0</v>
      </c>
      <c r="G604" s="5" t="s">
        <v>131</v>
      </c>
      <c r="H604" s="5" t="s">
        <v>132</v>
      </c>
      <c r="I604" s="5"/>
      <c r="J604" s="5"/>
      <c r="K604" s="5">
        <v>216</v>
      </c>
      <c r="L604" s="5">
        <v>8</v>
      </c>
      <c r="M604" s="5">
        <v>3</v>
      </c>
      <c r="N604" s="5" t="s">
        <v>3</v>
      </c>
      <c r="O604" s="5">
        <v>2</v>
      </c>
      <c r="P604" s="5">
        <f>ROUND(Source!EH595,O604)</f>
        <v>0</v>
      </c>
      <c r="Q604" s="5"/>
      <c r="R604" s="5"/>
      <c r="S604" s="5"/>
      <c r="T604" s="5"/>
      <c r="U604" s="5"/>
      <c r="V604" s="5"/>
      <c r="W604" s="5"/>
    </row>
    <row r="605" spans="1:245" x14ac:dyDescent="0.2">
      <c r="A605" s="5">
        <v>50</v>
      </c>
      <c r="B605" s="5">
        <v>0</v>
      </c>
      <c r="C605" s="5">
        <v>0</v>
      </c>
      <c r="D605" s="5">
        <v>1</v>
      </c>
      <c r="E605" s="5">
        <v>223</v>
      </c>
      <c r="F605" s="5">
        <f>ROUND(Source!AQ595,O605)</f>
        <v>0</v>
      </c>
      <c r="G605" s="5" t="s">
        <v>133</v>
      </c>
      <c r="H605" s="5" t="s">
        <v>134</v>
      </c>
      <c r="I605" s="5"/>
      <c r="J605" s="5"/>
      <c r="K605" s="5">
        <v>223</v>
      </c>
      <c r="L605" s="5">
        <v>9</v>
      </c>
      <c r="M605" s="5">
        <v>3</v>
      </c>
      <c r="N605" s="5" t="s">
        <v>3</v>
      </c>
      <c r="O605" s="5">
        <v>2</v>
      </c>
      <c r="P605" s="5">
        <f>ROUND(Source!EI595,O605)</f>
        <v>0</v>
      </c>
      <c r="Q605" s="5"/>
      <c r="R605" s="5"/>
      <c r="S605" s="5"/>
      <c r="T605" s="5"/>
      <c r="U605" s="5"/>
      <c r="V605" s="5"/>
      <c r="W605" s="5"/>
    </row>
    <row r="606" spans="1:245" x14ac:dyDescent="0.2">
      <c r="A606" s="5">
        <v>50</v>
      </c>
      <c r="B606" s="5">
        <v>0</v>
      </c>
      <c r="C606" s="5">
        <v>0</v>
      </c>
      <c r="D606" s="5">
        <v>1</v>
      </c>
      <c r="E606" s="5">
        <v>229</v>
      </c>
      <c r="F606" s="5">
        <f>ROUND(Source!AZ595,O606)</f>
        <v>0</v>
      </c>
      <c r="G606" s="5" t="s">
        <v>135</v>
      </c>
      <c r="H606" s="5" t="s">
        <v>136</v>
      </c>
      <c r="I606" s="5"/>
      <c r="J606" s="5"/>
      <c r="K606" s="5">
        <v>229</v>
      </c>
      <c r="L606" s="5">
        <v>10</v>
      </c>
      <c r="M606" s="5">
        <v>3</v>
      </c>
      <c r="N606" s="5" t="s">
        <v>3</v>
      </c>
      <c r="O606" s="5">
        <v>2</v>
      </c>
      <c r="P606" s="5">
        <f>ROUND(Source!ER595,O606)</f>
        <v>0</v>
      </c>
      <c r="Q606" s="5"/>
      <c r="R606" s="5"/>
      <c r="S606" s="5"/>
      <c r="T606" s="5"/>
      <c r="U606" s="5"/>
      <c r="V606" s="5"/>
      <c r="W606" s="5"/>
    </row>
    <row r="607" spans="1:245" x14ac:dyDescent="0.2">
      <c r="A607" s="5">
        <v>50</v>
      </c>
      <c r="B607" s="5">
        <v>0</v>
      </c>
      <c r="C607" s="5">
        <v>0</v>
      </c>
      <c r="D607" s="5">
        <v>1</v>
      </c>
      <c r="E607" s="5">
        <v>203</v>
      </c>
      <c r="F607" s="5">
        <f>ROUND(Source!Q595,O607)</f>
        <v>36.64</v>
      </c>
      <c r="G607" s="5" t="s">
        <v>137</v>
      </c>
      <c r="H607" s="5" t="s">
        <v>138</v>
      </c>
      <c r="I607" s="5"/>
      <c r="J607" s="5"/>
      <c r="K607" s="5">
        <v>203</v>
      </c>
      <c r="L607" s="5">
        <v>11</v>
      </c>
      <c r="M607" s="5">
        <v>3</v>
      </c>
      <c r="N607" s="5" t="s">
        <v>3</v>
      </c>
      <c r="O607" s="5">
        <v>2</v>
      </c>
      <c r="P607" s="5">
        <f>ROUND(Source!DI595,O607)</f>
        <v>151.31</v>
      </c>
      <c r="Q607" s="5"/>
      <c r="R607" s="5"/>
      <c r="S607" s="5"/>
      <c r="T607" s="5"/>
      <c r="U607" s="5"/>
      <c r="V607" s="5"/>
      <c r="W607" s="5"/>
    </row>
    <row r="608" spans="1:245" x14ac:dyDescent="0.2">
      <c r="A608" s="5">
        <v>50</v>
      </c>
      <c r="B608" s="5">
        <v>0</v>
      </c>
      <c r="C608" s="5">
        <v>0</v>
      </c>
      <c r="D608" s="5">
        <v>1</v>
      </c>
      <c r="E608" s="5">
        <v>231</v>
      </c>
      <c r="F608" s="5">
        <f>ROUND(Source!BB595,O608)</f>
        <v>0</v>
      </c>
      <c r="G608" s="5" t="s">
        <v>139</v>
      </c>
      <c r="H608" s="5" t="s">
        <v>140</v>
      </c>
      <c r="I608" s="5"/>
      <c r="J608" s="5"/>
      <c r="K608" s="5">
        <v>231</v>
      </c>
      <c r="L608" s="5">
        <v>12</v>
      </c>
      <c r="M608" s="5">
        <v>3</v>
      </c>
      <c r="N608" s="5" t="s">
        <v>3</v>
      </c>
      <c r="O608" s="5">
        <v>2</v>
      </c>
      <c r="P608" s="5">
        <f>ROUND(Source!ET595,O608)</f>
        <v>0</v>
      </c>
      <c r="Q608" s="5"/>
      <c r="R608" s="5"/>
      <c r="S608" s="5"/>
      <c r="T608" s="5"/>
      <c r="U608" s="5"/>
      <c r="V608" s="5"/>
      <c r="W608" s="5"/>
    </row>
    <row r="609" spans="1:206" x14ac:dyDescent="0.2">
      <c r="A609" s="5">
        <v>50</v>
      </c>
      <c r="B609" s="5">
        <v>0</v>
      </c>
      <c r="C609" s="5">
        <v>0</v>
      </c>
      <c r="D609" s="5">
        <v>1</v>
      </c>
      <c r="E609" s="5">
        <v>204</v>
      </c>
      <c r="F609" s="5">
        <f>ROUND(Source!R595,O609)</f>
        <v>0.38</v>
      </c>
      <c r="G609" s="5" t="s">
        <v>141</v>
      </c>
      <c r="H609" s="5" t="s">
        <v>142</v>
      </c>
      <c r="I609" s="5"/>
      <c r="J609" s="5"/>
      <c r="K609" s="5">
        <v>204</v>
      </c>
      <c r="L609" s="5">
        <v>13</v>
      </c>
      <c r="M609" s="5">
        <v>3</v>
      </c>
      <c r="N609" s="5" t="s">
        <v>3</v>
      </c>
      <c r="O609" s="5">
        <v>2</v>
      </c>
      <c r="P609" s="5">
        <f>ROUND(Source!DJ595,O609)</f>
        <v>7.79</v>
      </c>
      <c r="Q609" s="5"/>
      <c r="R609" s="5"/>
      <c r="S609" s="5"/>
      <c r="T609" s="5"/>
      <c r="U609" s="5"/>
      <c r="V609" s="5"/>
      <c r="W609" s="5"/>
    </row>
    <row r="610" spans="1:206" x14ac:dyDescent="0.2">
      <c r="A610" s="5">
        <v>50</v>
      </c>
      <c r="B610" s="5">
        <v>0</v>
      </c>
      <c r="C610" s="5">
        <v>0</v>
      </c>
      <c r="D610" s="5">
        <v>1</v>
      </c>
      <c r="E610" s="5">
        <v>205</v>
      </c>
      <c r="F610" s="5">
        <f>ROUND(Source!S595,O610)</f>
        <v>0</v>
      </c>
      <c r="G610" s="5" t="s">
        <v>143</v>
      </c>
      <c r="H610" s="5" t="s">
        <v>144</v>
      </c>
      <c r="I610" s="5"/>
      <c r="J610" s="5"/>
      <c r="K610" s="5">
        <v>205</v>
      </c>
      <c r="L610" s="5">
        <v>14</v>
      </c>
      <c r="M610" s="5">
        <v>3</v>
      </c>
      <c r="N610" s="5" t="s">
        <v>3</v>
      </c>
      <c r="O610" s="5">
        <v>2</v>
      </c>
      <c r="P610" s="5">
        <f>ROUND(Source!DK595,O610)</f>
        <v>0</v>
      </c>
      <c r="Q610" s="5"/>
      <c r="R610" s="5"/>
      <c r="S610" s="5"/>
      <c r="T610" s="5"/>
      <c r="U610" s="5"/>
      <c r="V610" s="5"/>
      <c r="W610" s="5"/>
    </row>
    <row r="611" spans="1:206" x14ac:dyDescent="0.2">
      <c r="A611" s="5">
        <v>50</v>
      </c>
      <c r="B611" s="5">
        <v>0</v>
      </c>
      <c r="C611" s="5">
        <v>0</v>
      </c>
      <c r="D611" s="5">
        <v>1</v>
      </c>
      <c r="E611" s="5">
        <v>232</v>
      </c>
      <c r="F611" s="5">
        <f>ROUND(Source!BC595,O611)</f>
        <v>0</v>
      </c>
      <c r="G611" s="5" t="s">
        <v>145</v>
      </c>
      <c r="H611" s="5" t="s">
        <v>146</v>
      </c>
      <c r="I611" s="5"/>
      <c r="J611" s="5"/>
      <c r="K611" s="5">
        <v>232</v>
      </c>
      <c r="L611" s="5">
        <v>15</v>
      </c>
      <c r="M611" s="5">
        <v>3</v>
      </c>
      <c r="N611" s="5" t="s">
        <v>3</v>
      </c>
      <c r="O611" s="5">
        <v>2</v>
      </c>
      <c r="P611" s="5">
        <f>ROUND(Source!EU595,O611)</f>
        <v>0</v>
      </c>
      <c r="Q611" s="5"/>
      <c r="R611" s="5"/>
      <c r="S611" s="5"/>
      <c r="T611" s="5"/>
      <c r="U611" s="5"/>
      <c r="V611" s="5"/>
      <c r="W611" s="5"/>
    </row>
    <row r="612" spans="1:206" x14ac:dyDescent="0.2">
      <c r="A612" s="5">
        <v>50</v>
      </c>
      <c r="B612" s="5">
        <v>0</v>
      </c>
      <c r="C612" s="5">
        <v>0</v>
      </c>
      <c r="D612" s="5">
        <v>1</v>
      </c>
      <c r="E612" s="5">
        <v>214</v>
      </c>
      <c r="F612" s="5">
        <f>ROUND(Source!AS595,O612)</f>
        <v>2.97</v>
      </c>
      <c r="G612" s="5" t="s">
        <v>147</v>
      </c>
      <c r="H612" s="5" t="s">
        <v>148</v>
      </c>
      <c r="I612" s="5"/>
      <c r="J612" s="5"/>
      <c r="K612" s="5">
        <v>214</v>
      </c>
      <c r="L612" s="5">
        <v>16</v>
      </c>
      <c r="M612" s="5">
        <v>3</v>
      </c>
      <c r="N612" s="5" t="s">
        <v>3</v>
      </c>
      <c r="O612" s="5">
        <v>2</v>
      </c>
      <c r="P612" s="5">
        <f>ROUND(Source!EK595,O612)</f>
        <v>31.17</v>
      </c>
      <c r="Q612" s="5"/>
      <c r="R612" s="5"/>
      <c r="S612" s="5"/>
      <c r="T612" s="5"/>
      <c r="U612" s="5"/>
      <c r="V612" s="5"/>
      <c r="W612" s="5"/>
    </row>
    <row r="613" spans="1:206" x14ac:dyDescent="0.2">
      <c r="A613" s="5">
        <v>50</v>
      </c>
      <c r="B613" s="5">
        <v>0</v>
      </c>
      <c r="C613" s="5">
        <v>0</v>
      </c>
      <c r="D613" s="5">
        <v>1</v>
      </c>
      <c r="E613" s="5">
        <v>215</v>
      </c>
      <c r="F613" s="5">
        <f>ROUND(Source!AT595,O613)</f>
        <v>0</v>
      </c>
      <c r="G613" s="5" t="s">
        <v>149</v>
      </c>
      <c r="H613" s="5" t="s">
        <v>150</v>
      </c>
      <c r="I613" s="5"/>
      <c r="J613" s="5"/>
      <c r="K613" s="5">
        <v>215</v>
      </c>
      <c r="L613" s="5">
        <v>17</v>
      </c>
      <c r="M613" s="5">
        <v>3</v>
      </c>
      <c r="N613" s="5" t="s">
        <v>3</v>
      </c>
      <c r="O613" s="5">
        <v>2</v>
      </c>
      <c r="P613" s="5">
        <f>ROUND(Source!EL595,O613)</f>
        <v>0</v>
      </c>
      <c r="Q613" s="5"/>
      <c r="R613" s="5"/>
      <c r="S613" s="5"/>
      <c r="T613" s="5"/>
      <c r="U613" s="5"/>
      <c r="V613" s="5"/>
      <c r="W613" s="5"/>
    </row>
    <row r="614" spans="1:206" x14ac:dyDescent="0.2">
      <c r="A614" s="5">
        <v>50</v>
      </c>
      <c r="B614" s="5">
        <v>0</v>
      </c>
      <c r="C614" s="5">
        <v>0</v>
      </c>
      <c r="D614" s="5">
        <v>1</v>
      </c>
      <c r="E614" s="5">
        <v>217</v>
      </c>
      <c r="F614" s="5">
        <f>ROUND(Source!AU595,O614)</f>
        <v>34.35</v>
      </c>
      <c r="G614" s="5" t="s">
        <v>151</v>
      </c>
      <c r="H614" s="5" t="s">
        <v>152</v>
      </c>
      <c r="I614" s="5"/>
      <c r="J614" s="5"/>
      <c r="K614" s="5">
        <v>217</v>
      </c>
      <c r="L614" s="5">
        <v>18</v>
      </c>
      <c r="M614" s="5">
        <v>3</v>
      </c>
      <c r="N614" s="5" t="s">
        <v>3</v>
      </c>
      <c r="O614" s="5">
        <v>2</v>
      </c>
      <c r="P614" s="5">
        <f>ROUND(Source!EM595,O614)</f>
        <v>133.22999999999999</v>
      </c>
      <c r="Q614" s="5"/>
      <c r="R614" s="5"/>
      <c r="S614" s="5"/>
      <c r="T614" s="5"/>
      <c r="U614" s="5"/>
      <c r="V614" s="5"/>
      <c r="W614" s="5"/>
    </row>
    <row r="615" spans="1:206" x14ac:dyDescent="0.2">
      <c r="A615" s="5">
        <v>50</v>
      </c>
      <c r="B615" s="5">
        <v>0</v>
      </c>
      <c r="C615" s="5">
        <v>0</v>
      </c>
      <c r="D615" s="5">
        <v>1</v>
      </c>
      <c r="E615" s="5">
        <v>230</v>
      </c>
      <c r="F615" s="5">
        <f>ROUND(Source!BA595,O615)</f>
        <v>0</v>
      </c>
      <c r="G615" s="5" t="s">
        <v>153</v>
      </c>
      <c r="H615" s="5" t="s">
        <v>154</v>
      </c>
      <c r="I615" s="5"/>
      <c r="J615" s="5"/>
      <c r="K615" s="5">
        <v>230</v>
      </c>
      <c r="L615" s="5">
        <v>19</v>
      </c>
      <c r="M615" s="5">
        <v>3</v>
      </c>
      <c r="N615" s="5" t="s">
        <v>3</v>
      </c>
      <c r="O615" s="5">
        <v>2</v>
      </c>
      <c r="P615" s="5">
        <f>ROUND(Source!ES595,O615)</f>
        <v>0</v>
      </c>
      <c r="Q615" s="5"/>
      <c r="R615" s="5"/>
      <c r="S615" s="5"/>
      <c r="T615" s="5"/>
      <c r="U615" s="5"/>
      <c r="V615" s="5"/>
      <c r="W615" s="5"/>
    </row>
    <row r="616" spans="1:206" x14ac:dyDescent="0.2">
      <c r="A616" s="5">
        <v>50</v>
      </c>
      <c r="B616" s="5">
        <v>0</v>
      </c>
      <c r="C616" s="5">
        <v>0</v>
      </c>
      <c r="D616" s="5">
        <v>1</v>
      </c>
      <c r="E616" s="5">
        <v>206</v>
      </c>
      <c r="F616" s="5">
        <f>ROUND(Source!T595,O616)</f>
        <v>0</v>
      </c>
      <c r="G616" s="5" t="s">
        <v>155</v>
      </c>
      <c r="H616" s="5" t="s">
        <v>156</v>
      </c>
      <c r="I616" s="5"/>
      <c r="J616" s="5"/>
      <c r="K616" s="5">
        <v>206</v>
      </c>
      <c r="L616" s="5">
        <v>20</v>
      </c>
      <c r="M616" s="5">
        <v>3</v>
      </c>
      <c r="N616" s="5" t="s">
        <v>3</v>
      </c>
      <c r="O616" s="5">
        <v>2</v>
      </c>
      <c r="P616" s="5">
        <f>ROUND(Source!DL595,O616)</f>
        <v>0</v>
      </c>
      <c r="Q616" s="5"/>
      <c r="R616" s="5"/>
      <c r="S616" s="5"/>
      <c r="T616" s="5"/>
      <c r="U616" s="5"/>
      <c r="V616" s="5"/>
      <c r="W616" s="5"/>
    </row>
    <row r="617" spans="1:206" x14ac:dyDescent="0.2">
      <c r="A617" s="5">
        <v>50</v>
      </c>
      <c r="B617" s="5">
        <v>0</v>
      </c>
      <c r="C617" s="5">
        <v>0</v>
      </c>
      <c r="D617" s="5">
        <v>1</v>
      </c>
      <c r="E617" s="5">
        <v>207</v>
      </c>
      <c r="F617" s="5">
        <f>Source!U595</f>
        <v>0</v>
      </c>
      <c r="G617" s="5" t="s">
        <v>157</v>
      </c>
      <c r="H617" s="5" t="s">
        <v>158</v>
      </c>
      <c r="I617" s="5"/>
      <c r="J617" s="5"/>
      <c r="K617" s="5">
        <v>207</v>
      </c>
      <c r="L617" s="5">
        <v>21</v>
      </c>
      <c r="M617" s="5">
        <v>3</v>
      </c>
      <c r="N617" s="5" t="s">
        <v>3</v>
      </c>
      <c r="O617" s="5">
        <v>-1</v>
      </c>
      <c r="P617" s="5">
        <f>Source!DM595</f>
        <v>0</v>
      </c>
      <c r="Q617" s="5"/>
      <c r="R617" s="5"/>
      <c r="S617" s="5"/>
      <c r="T617" s="5"/>
      <c r="U617" s="5"/>
      <c r="V617" s="5"/>
      <c r="W617" s="5"/>
    </row>
    <row r="618" spans="1:206" x14ac:dyDescent="0.2">
      <c r="A618" s="5">
        <v>50</v>
      </c>
      <c r="B618" s="5">
        <v>0</v>
      </c>
      <c r="C618" s="5">
        <v>0</v>
      </c>
      <c r="D618" s="5">
        <v>1</v>
      </c>
      <c r="E618" s="5">
        <v>208</v>
      </c>
      <c r="F618" s="5">
        <f>Source!V595</f>
        <v>0</v>
      </c>
      <c r="G618" s="5" t="s">
        <v>159</v>
      </c>
      <c r="H618" s="5" t="s">
        <v>160</v>
      </c>
      <c r="I618" s="5"/>
      <c r="J618" s="5"/>
      <c r="K618" s="5">
        <v>208</v>
      </c>
      <c r="L618" s="5">
        <v>22</v>
      </c>
      <c r="M618" s="5">
        <v>3</v>
      </c>
      <c r="N618" s="5" t="s">
        <v>3</v>
      </c>
      <c r="O618" s="5">
        <v>-1</v>
      </c>
      <c r="P618" s="5">
        <f>Source!DN595</f>
        <v>0</v>
      </c>
      <c r="Q618" s="5"/>
      <c r="R618" s="5"/>
      <c r="S618" s="5"/>
      <c r="T618" s="5"/>
      <c r="U618" s="5"/>
      <c r="V618" s="5"/>
      <c r="W618" s="5"/>
    </row>
    <row r="619" spans="1:206" x14ac:dyDescent="0.2">
      <c r="A619" s="5">
        <v>50</v>
      </c>
      <c r="B619" s="5">
        <v>0</v>
      </c>
      <c r="C619" s="5">
        <v>0</v>
      </c>
      <c r="D619" s="5">
        <v>1</v>
      </c>
      <c r="E619" s="5">
        <v>209</v>
      </c>
      <c r="F619" s="5">
        <f>ROUND(Source!W595,O619)</f>
        <v>0</v>
      </c>
      <c r="G619" s="5" t="s">
        <v>161</v>
      </c>
      <c r="H619" s="5" t="s">
        <v>162</v>
      </c>
      <c r="I619" s="5"/>
      <c r="J619" s="5"/>
      <c r="K619" s="5">
        <v>209</v>
      </c>
      <c r="L619" s="5">
        <v>23</v>
      </c>
      <c r="M619" s="5">
        <v>3</v>
      </c>
      <c r="N619" s="5" t="s">
        <v>3</v>
      </c>
      <c r="O619" s="5">
        <v>2</v>
      </c>
      <c r="P619" s="5">
        <f>ROUND(Source!DO595,O619)</f>
        <v>0</v>
      </c>
      <c r="Q619" s="5"/>
      <c r="R619" s="5"/>
      <c r="S619" s="5"/>
      <c r="T619" s="5"/>
      <c r="U619" s="5"/>
      <c r="V619" s="5"/>
      <c r="W619" s="5"/>
    </row>
    <row r="620" spans="1:206" x14ac:dyDescent="0.2">
      <c r="A620" s="5">
        <v>50</v>
      </c>
      <c r="B620" s="5">
        <v>0</v>
      </c>
      <c r="C620" s="5">
        <v>0</v>
      </c>
      <c r="D620" s="5">
        <v>1</v>
      </c>
      <c r="E620" s="5">
        <v>210</v>
      </c>
      <c r="F620" s="5">
        <f>ROUND(Source!X595,O620)</f>
        <v>0</v>
      </c>
      <c r="G620" s="5" t="s">
        <v>163</v>
      </c>
      <c r="H620" s="5" t="s">
        <v>164</v>
      </c>
      <c r="I620" s="5"/>
      <c r="J620" s="5"/>
      <c r="K620" s="5">
        <v>210</v>
      </c>
      <c r="L620" s="5">
        <v>24</v>
      </c>
      <c r="M620" s="5">
        <v>3</v>
      </c>
      <c r="N620" s="5" t="s">
        <v>3</v>
      </c>
      <c r="O620" s="5">
        <v>2</v>
      </c>
      <c r="P620" s="5">
        <f>ROUND(Source!DP595,O620)</f>
        <v>0</v>
      </c>
      <c r="Q620" s="5"/>
      <c r="R620" s="5"/>
      <c r="S620" s="5"/>
      <c r="T620" s="5"/>
      <c r="U620" s="5"/>
      <c r="V620" s="5"/>
      <c r="W620" s="5"/>
    </row>
    <row r="621" spans="1:206" x14ac:dyDescent="0.2">
      <c r="A621" s="5">
        <v>50</v>
      </c>
      <c r="B621" s="5">
        <v>0</v>
      </c>
      <c r="C621" s="5">
        <v>0</v>
      </c>
      <c r="D621" s="5">
        <v>1</v>
      </c>
      <c r="E621" s="5">
        <v>211</v>
      </c>
      <c r="F621" s="5">
        <f>ROUND(Source!Y595,O621)</f>
        <v>0</v>
      </c>
      <c r="G621" s="5" t="s">
        <v>165</v>
      </c>
      <c r="H621" s="5" t="s">
        <v>166</v>
      </c>
      <c r="I621" s="5"/>
      <c r="J621" s="5"/>
      <c r="K621" s="5">
        <v>211</v>
      </c>
      <c r="L621" s="5">
        <v>25</v>
      </c>
      <c r="M621" s="5">
        <v>3</v>
      </c>
      <c r="N621" s="5" t="s">
        <v>3</v>
      </c>
      <c r="O621" s="5">
        <v>2</v>
      </c>
      <c r="P621" s="5">
        <f>ROUND(Source!DQ595,O621)</f>
        <v>0</v>
      </c>
      <c r="Q621" s="5"/>
      <c r="R621" s="5"/>
      <c r="S621" s="5"/>
      <c r="T621" s="5"/>
      <c r="U621" s="5"/>
      <c r="V621" s="5"/>
      <c r="W621" s="5"/>
    </row>
    <row r="622" spans="1:206" x14ac:dyDescent="0.2">
      <c r="A622" s="5">
        <v>50</v>
      </c>
      <c r="B622" s="5">
        <v>0</v>
      </c>
      <c r="C622" s="5">
        <v>0</v>
      </c>
      <c r="D622" s="5">
        <v>1</v>
      </c>
      <c r="E622" s="5">
        <v>224</v>
      </c>
      <c r="F622" s="5">
        <f>ROUND(Source!AR595,O622)</f>
        <v>37.32</v>
      </c>
      <c r="G622" s="5" t="s">
        <v>167</v>
      </c>
      <c r="H622" s="5" t="s">
        <v>168</v>
      </c>
      <c r="I622" s="5"/>
      <c r="J622" s="5"/>
      <c r="K622" s="5">
        <v>224</v>
      </c>
      <c r="L622" s="5">
        <v>26</v>
      </c>
      <c r="M622" s="5">
        <v>3</v>
      </c>
      <c r="N622" s="5" t="s">
        <v>3</v>
      </c>
      <c r="O622" s="5">
        <v>2</v>
      </c>
      <c r="P622" s="5">
        <f>ROUND(Source!EJ595,O622)</f>
        <v>164.4</v>
      </c>
      <c r="Q622" s="5"/>
      <c r="R622" s="5"/>
      <c r="S622" s="5"/>
      <c r="T622" s="5"/>
      <c r="U622" s="5"/>
      <c r="V622" s="5"/>
      <c r="W622" s="5"/>
    </row>
    <row r="624" spans="1:206" x14ac:dyDescent="0.2">
      <c r="A624" s="3">
        <v>51</v>
      </c>
      <c r="B624" s="3">
        <f>B20</f>
        <v>1</v>
      </c>
      <c r="C624" s="3">
        <f>A20</f>
        <v>3</v>
      </c>
      <c r="D624" s="3">
        <f>ROW(A20)</f>
        <v>20</v>
      </c>
      <c r="E624" s="3"/>
      <c r="F624" s="3" t="str">
        <f>IF(F20&lt;&gt;"",F20,"")</f>
        <v>Локальная смета №1</v>
      </c>
      <c r="G624" s="3" t="str">
        <f>IF(G20&lt;&gt;"",G20,"")</f>
        <v>Смета на общестроительные работы</v>
      </c>
      <c r="H624" s="3">
        <v>0</v>
      </c>
      <c r="I624" s="3"/>
      <c r="J624" s="3"/>
      <c r="K624" s="3"/>
      <c r="L624" s="3"/>
      <c r="M624" s="3"/>
      <c r="N624" s="3"/>
      <c r="O624" s="3">
        <f t="shared" ref="O624:T624" si="551">ROUND(O63+O146+O511+O555+O595+AB624,2)</f>
        <v>151320.94</v>
      </c>
      <c r="P624" s="3">
        <f t="shared" si="551"/>
        <v>148666.95000000001</v>
      </c>
      <c r="Q624" s="3">
        <f t="shared" si="551"/>
        <v>769.43</v>
      </c>
      <c r="R624" s="3">
        <f t="shared" si="551"/>
        <v>123.55</v>
      </c>
      <c r="S624" s="3">
        <f t="shared" si="551"/>
        <v>1884.56</v>
      </c>
      <c r="T624" s="3">
        <f t="shared" si="551"/>
        <v>0</v>
      </c>
      <c r="U624" s="3">
        <f>U63+U146+U511+U555+U595+AH624</f>
        <v>158.05588764999999</v>
      </c>
      <c r="V624" s="3">
        <f>V63+V146+V511+V555+V595+AI624</f>
        <v>0</v>
      </c>
      <c r="W624" s="3">
        <f>ROUND(W63+W146+W511+W555+W595+AJ624,2)</f>
        <v>0</v>
      </c>
      <c r="X624" s="3">
        <f>ROUND(X63+X146+X511+X555+X595+AK624,2)</f>
        <v>0</v>
      </c>
      <c r="Y624" s="3">
        <f>ROUND(Y63+Y146+Y511+Y555+Y595+AL624,2)</f>
        <v>0</v>
      </c>
      <c r="Z624" s="3"/>
      <c r="AA624" s="3"/>
      <c r="AB624" s="3"/>
      <c r="AC624" s="3"/>
      <c r="AD624" s="3"/>
      <c r="AE624" s="3"/>
      <c r="AF624" s="3"/>
      <c r="AG624" s="3"/>
      <c r="AH624" s="3"/>
      <c r="AI624" s="3"/>
      <c r="AJ624" s="3"/>
      <c r="AK624" s="3"/>
      <c r="AL624" s="3"/>
      <c r="AM624" s="3"/>
      <c r="AN624" s="3"/>
      <c r="AO624" s="3">
        <f t="shared" ref="AO624:BC624" si="552">ROUND(AO63+AO146+AO511+AO555+AO595+BX624,2)</f>
        <v>0</v>
      </c>
      <c r="AP624" s="3">
        <f t="shared" si="552"/>
        <v>59400.61</v>
      </c>
      <c r="AQ624" s="3">
        <f t="shared" si="552"/>
        <v>0</v>
      </c>
      <c r="AR624" s="3">
        <f t="shared" si="552"/>
        <v>151543.29999999999</v>
      </c>
      <c r="AS624" s="3">
        <f t="shared" si="552"/>
        <v>81649.36</v>
      </c>
      <c r="AT624" s="3">
        <f t="shared" si="552"/>
        <v>10283.200000000001</v>
      </c>
      <c r="AU624" s="3">
        <f t="shared" si="552"/>
        <v>210.13</v>
      </c>
      <c r="AV624" s="3">
        <f t="shared" si="552"/>
        <v>148666.95000000001</v>
      </c>
      <c r="AW624" s="3">
        <f t="shared" si="552"/>
        <v>89266.34</v>
      </c>
      <c r="AX624" s="3">
        <f t="shared" si="552"/>
        <v>0</v>
      </c>
      <c r="AY624" s="3">
        <f t="shared" si="552"/>
        <v>89266.34</v>
      </c>
      <c r="AZ624" s="3">
        <f t="shared" si="552"/>
        <v>59400.61</v>
      </c>
      <c r="BA624" s="3">
        <f t="shared" si="552"/>
        <v>0</v>
      </c>
      <c r="BB624" s="3">
        <f t="shared" si="552"/>
        <v>0</v>
      </c>
      <c r="BC624" s="3">
        <f t="shared" si="552"/>
        <v>0</v>
      </c>
      <c r="BD624" s="3"/>
      <c r="BE624" s="3"/>
      <c r="BF624" s="3"/>
      <c r="BG624" s="3"/>
      <c r="BH624" s="3"/>
      <c r="BI624" s="3"/>
      <c r="BJ624" s="3"/>
      <c r="BK624" s="3"/>
      <c r="BL624" s="3"/>
      <c r="BM624" s="3"/>
      <c r="BN624" s="3"/>
      <c r="BO624" s="3"/>
      <c r="BP624" s="3"/>
      <c r="BQ624" s="3"/>
      <c r="BR624" s="3"/>
      <c r="BS624" s="3"/>
      <c r="BT624" s="3"/>
      <c r="BU624" s="3"/>
      <c r="BV624" s="3"/>
      <c r="BW624" s="3"/>
      <c r="BX624" s="3"/>
      <c r="BY624" s="3"/>
      <c r="BZ624" s="3"/>
      <c r="CA624" s="3"/>
      <c r="CB624" s="3"/>
      <c r="CC624" s="3"/>
      <c r="CD624" s="3"/>
      <c r="CE624" s="3"/>
      <c r="CF624" s="3"/>
      <c r="CG624" s="3"/>
      <c r="CH624" s="3"/>
      <c r="CI624" s="3"/>
      <c r="CJ624" s="3"/>
      <c r="CK624" s="3"/>
      <c r="CL624" s="3"/>
      <c r="CM624" s="3"/>
      <c r="CN624" s="3"/>
      <c r="CO624" s="3"/>
      <c r="CP624" s="3"/>
      <c r="CQ624" s="3"/>
      <c r="CR624" s="3"/>
      <c r="CS624" s="3"/>
      <c r="CT624" s="3"/>
      <c r="CU624" s="3"/>
      <c r="CV624" s="3"/>
      <c r="CW624" s="3"/>
      <c r="CX624" s="3"/>
      <c r="CY624" s="3"/>
      <c r="CZ624" s="3"/>
      <c r="DA624" s="3"/>
      <c r="DB624" s="3"/>
      <c r="DC624" s="3"/>
      <c r="DD624" s="3"/>
      <c r="DE624" s="3"/>
      <c r="DF624" s="3"/>
      <c r="DG624" s="4">
        <f t="shared" ref="DG624:DL624" si="553">ROUND(DG63+DG146+DG511+DG555+DG595+DT624,2)</f>
        <v>559299.99</v>
      </c>
      <c r="DH624" s="4">
        <f t="shared" si="553"/>
        <v>514087.88</v>
      </c>
      <c r="DI624" s="4">
        <f t="shared" si="553"/>
        <v>6767</v>
      </c>
      <c r="DJ624" s="4">
        <f t="shared" si="553"/>
        <v>2520.1999999999998</v>
      </c>
      <c r="DK624" s="4">
        <f t="shared" si="553"/>
        <v>38445.11</v>
      </c>
      <c r="DL624" s="4">
        <f t="shared" si="553"/>
        <v>0</v>
      </c>
      <c r="DM624" s="4">
        <f>DM63+DM146+DM511+DM555+DM595+DZ624</f>
        <v>158.05588764999999</v>
      </c>
      <c r="DN624" s="4">
        <f>DN63+DN146+DN511+DN555+DN595+EA624</f>
        <v>0</v>
      </c>
      <c r="DO624" s="4">
        <f>ROUND(DO63+DO146+DO511+DO555+DO595+EB624,2)</f>
        <v>0</v>
      </c>
      <c r="DP624" s="4">
        <f>ROUND(DP63+DP146+DP511+DP555+DP595+EC624,2)</f>
        <v>28929.15</v>
      </c>
      <c r="DQ624" s="4">
        <f>ROUND(DQ63+DQ146+DQ511+DQ555+DQ595+ED624,2)</f>
        <v>15762.45</v>
      </c>
      <c r="DR624" s="4"/>
      <c r="DS624" s="4"/>
      <c r="DT624" s="4"/>
      <c r="DU624" s="4"/>
      <c r="DV624" s="4"/>
      <c r="DW624" s="4"/>
      <c r="DX624" s="4"/>
      <c r="DY624" s="4"/>
      <c r="DZ624" s="4"/>
      <c r="EA624" s="4"/>
      <c r="EB624" s="4"/>
      <c r="EC624" s="4"/>
      <c r="ED624" s="4"/>
      <c r="EE624" s="4"/>
      <c r="EF624" s="4"/>
      <c r="EG624" s="4">
        <f t="shared" ref="EG624:EU624" si="554">ROUND(EG63+EG146+EG511+EG555+EG595+FP624,2)</f>
        <v>0</v>
      </c>
      <c r="EH624" s="4">
        <f t="shared" si="554"/>
        <v>247700.55</v>
      </c>
      <c r="EI624" s="4">
        <f t="shared" si="554"/>
        <v>0</v>
      </c>
      <c r="EJ624" s="4">
        <f t="shared" si="554"/>
        <v>608225.55000000005</v>
      </c>
      <c r="EK624" s="4">
        <f t="shared" si="554"/>
        <v>303911.64</v>
      </c>
      <c r="EL624" s="4">
        <f t="shared" si="554"/>
        <v>54759.199999999997</v>
      </c>
      <c r="EM624" s="4">
        <f t="shared" si="554"/>
        <v>1854.16</v>
      </c>
      <c r="EN624" s="4">
        <f t="shared" si="554"/>
        <v>514087.88</v>
      </c>
      <c r="EO624" s="4">
        <f t="shared" si="554"/>
        <v>266387.33</v>
      </c>
      <c r="EP624" s="4">
        <f t="shared" si="554"/>
        <v>0</v>
      </c>
      <c r="EQ624" s="4">
        <f t="shared" si="554"/>
        <v>266387.33</v>
      </c>
      <c r="ER624" s="4">
        <f t="shared" si="554"/>
        <v>247700.55</v>
      </c>
      <c r="ES624" s="4">
        <f t="shared" si="554"/>
        <v>0</v>
      </c>
      <c r="ET624" s="4">
        <f t="shared" si="554"/>
        <v>0</v>
      </c>
      <c r="EU624" s="4">
        <f t="shared" si="554"/>
        <v>0</v>
      </c>
      <c r="EV624" s="4"/>
      <c r="EW624" s="4"/>
      <c r="EX624" s="4"/>
      <c r="EY624" s="4"/>
      <c r="EZ624" s="4"/>
      <c r="FA624" s="4"/>
      <c r="FB624" s="4"/>
      <c r="FC624" s="4"/>
      <c r="FD624" s="4"/>
      <c r="FE624" s="4"/>
      <c r="FF624" s="4"/>
      <c r="FG624" s="4"/>
      <c r="FH624" s="4"/>
      <c r="FI624" s="4"/>
      <c r="FJ624" s="4"/>
      <c r="FK624" s="4"/>
      <c r="FL624" s="4"/>
      <c r="FM624" s="4"/>
      <c r="FN624" s="4"/>
      <c r="FO624" s="4"/>
      <c r="FP624" s="4"/>
      <c r="FQ624" s="4"/>
      <c r="FR624" s="4"/>
      <c r="FS624" s="4"/>
      <c r="FT624" s="4"/>
      <c r="FU624" s="4"/>
      <c r="FV624" s="4"/>
      <c r="FW624" s="4"/>
      <c r="FX624" s="4"/>
      <c r="FY624" s="4"/>
      <c r="FZ624" s="4"/>
      <c r="GA624" s="4"/>
      <c r="GB624" s="4"/>
      <c r="GC624" s="4"/>
      <c r="GD624" s="4"/>
      <c r="GE624" s="4"/>
      <c r="GF624" s="4"/>
      <c r="GG624" s="4"/>
      <c r="GH624" s="4"/>
      <c r="GI624" s="4"/>
      <c r="GJ624" s="4"/>
      <c r="GK624" s="4"/>
      <c r="GL624" s="4"/>
      <c r="GM624" s="4"/>
      <c r="GN624" s="4"/>
      <c r="GO624" s="4"/>
      <c r="GP624" s="4"/>
      <c r="GQ624" s="4"/>
      <c r="GR624" s="4"/>
      <c r="GS624" s="4"/>
      <c r="GT624" s="4"/>
      <c r="GU624" s="4"/>
      <c r="GV624" s="4"/>
      <c r="GW624" s="4"/>
      <c r="GX624" s="4">
        <v>0</v>
      </c>
    </row>
    <row r="626" spans="1:23" x14ac:dyDescent="0.2">
      <c r="A626" s="5">
        <v>50</v>
      </c>
      <c r="B626" s="5">
        <v>0</v>
      </c>
      <c r="C626" s="5">
        <v>0</v>
      </c>
      <c r="D626" s="5">
        <v>1</v>
      </c>
      <c r="E626" s="5">
        <v>201</v>
      </c>
      <c r="F626" s="5">
        <f>ROUND(Source!O624,O626)</f>
        <v>151320.94</v>
      </c>
      <c r="G626" s="5" t="s">
        <v>117</v>
      </c>
      <c r="H626" s="5" t="s">
        <v>118</v>
      </c>
      <c r="I626" s="5"/>
      <c r="J626" s="5"/>
      <c r="K626" s="5">
        <v>201</v>
      </c>
      <c r="L626" s="5">
        <v>1</v>
      </c>
      <c r="M626" s="5">
        <v>3</v>
      </c>
      <c r="N626" s="5" t="s">
        <v>3</v>
      </c>
      <c r="O626" s="5">
        <v>2</v>
      </c>
      <c r="P626" s="5">
        <f>ROUND(Source!DG624,O626)</f>
        <v>559299.99</v>
      </c>
      <c r="Q626" s="5"/>
      <c r="R626" s="5"/>
      <c r="S626" s="5"/>
      <c r="T626" s="5"/>
      <c r="U626" s="5"/>
      <c r="V626" s="5"/>
      <c r="W626" s="5"/>
    </row>
    <row r="627" spans="1:23" x14ac:dyDescent="0.2">
      <c r="A627" s="5">
        <v>50</v>
      </c>
      <c r="B627" s="5">
        <v>0</v>
      </c>
      <c r="C627" s="5">
        <v>0</v>
      </c>
      <c r="D627" s="5">
        <v>1</v>
      </c>
      <c r="E627" s="5">
        <v>202</v>
      </c>
      <c r="F627" s="5">
        <f>ROUND(Source!P624,O627)</f>
        <v>148666.95000000001</v>
      </c>
      <c r="G627" s="5" t="s">
        <v>119</v>
      </c>
      <c r="H627" s="5" t="s">
        <v>120</v>
      </c>
      <c r="I627" s="5"/>
      <c r="J627" s="5"/>
      <c r="K627" s="5">
        <v>202</v>
      </c>
      <c r="L627" s="5">
        <v>2</v>
      </c>
      <c r="M627" s="5">
        <v>3</v>
      </c>
      <c r="N627" s="5" t="s">
        <v>3</v>
      </c>
      <c r="O627" s="5">
        <v>2</v>
      </c>
      <c r="P627" s="5">
        <f>ROUND(Source!DH624,O627)</f>
        <v>514087.88</v>
      </c>
      <c r="Q627" s="5"/>
      <c r="R627" s="5"/>
      <c r="S627" s="5"/>
      <c r="T627" s="5"/>
      <c r="U627" s="5"/>
      <c r="V627" s="5"/>
      <c r="W627" s="5"/>
    </row>
    <row r="628" spans="1:23" x14ac:dyDescent="0.2">
      <c r="A628" s="5">
        <v>50</v>
      </c>
      <c r="B628" s="5">
        <v>0</v>
      </c>
      <c r="C628" s="5">
        <v>0</v>
      </c>
      <c r="D628" s="5">
        <v>1</v>
      </c>
      <c r="E628" s="5">
        <v>227</v>
      </c>
      <c r="F628" s="5">
        <f>ROUND(Source!AO624,O628)</f>
        <v>0</v>
      </c>
      <c r="G628" s="5" t="s">
        <v>121</v>
      </c>
      <c r="H628" s="5" t="s">
        <v>122</v>
      </c>
      <c r="I628" s="5"/>
      <c r="J628" s="5"/>
      <c r="K628" s="5">
        <v>222</v>
      </c>
      <c r="L628" s="5">
        <v>3</v>
      </c>
      <c r="M628" s="5">
        <v>3</v>
      </c>
      <c r="N628" s="5" t="s">
        <v>3</v>
      </c>
      <c r="O628" s="5">
        <v>2</v>
      </c>
      <c r="P628" s="5">
        <f>ROUND(Source!EG624,O628)</f>
        <v>0</v>
      </c>
      <c r="Q628" s="5"/>
      <c r="R628" s="5"/>
      <c r="S628" s="5"/>
      <c r="T628" s="5"/>
      <c r="U628" s="5"/>
      <c r="V628" s="5"/>
      <c r="W628" s="5"/>
    </row>
    <row r="629" spans="1:23" x14ac:dyDescent="0.2">
      <c r="A629" s="5">
        <v>50</v>
      </c>
      <c r="B629" s="5">
        <v>0</v>
      </c>
      <c r="C629" s="5">
        <v>0</v>
      </c>
      <c r="D629" s="5">
        <v>1</v>
      </c>
      <c r="E629" s="5">
        <v>225</v>
      </c>
      <c r="F629" s="5">
        <f>ROUND(Source!AV624,O629)</f>
        <v>148666.95000000001</v>
      </c>
      <c r="G629" s="5" t="s">
        <v>123</v>
      </c>
      <c r="H629" s="5" t="s">
        <v>124</v>
      </c>
      <c r="I629" s="5"/>
      <c r="J629" s="5"/>
      <c r="K629" s="5">
        <v>225</v>
      </c>
      <c r="L629" s="5">
        <v>4</v>
      </c>
      <c r="M629" s="5">
        <v>3</v>
      </c>
      <c r="N629" s="5" t="s">
        <v>3</v>
      </c>
      <c r="O629" s="5">
        <v>2</v>
      </c>
      <c r="P629" s="5">
        <f>ROUND(Source!EN624,O629)</f>
        <v>514087.88</v>
      </c>
      <c r="Q629" s="5"/>
      <c r="R629" s="5"/>
      <c r="S629" s="5"/>
      <c r="T629" s="5"/>
      <c r="U629" s="5"/>
      <c r="V629" s="5"/>
      <c r="W629" s="5"/>
    </row>
    <row r="630" spans="1:23" x14ac:dyDescent="0.2">
      <c r="A630" s="5">
        <v>50</v>
      </c>
      <c r="B630" s="5">
        <v>0</v>
      </c>
      <c r="C630" s="5">
        <v>0</v>
      </c>
      <c r="D630" s="5">
        <v>1</v>
      </c>
      <c r="E630" s="5">
        <v>226</v>
      </c>
      <c r="F630" s="5">
        <f>ROUND(Source!AW624,O630)</f>
        <v>89266.34</v>
      </c>
      <c r="G630" s="5" t="s">
        <v>125</v>
      </c>
      <c r="H630" s="5" t="s">
        <v>126</v>
      </c>
      <c r="I630" s="5"/>
      <c r="J630" s="5"/>
      <c r="K630" s="5">
        <v>226</v>
      </c>
      <c r="L630" s="5">
        <v>5</v>
      </c>
      <c r="M630" s="5">
        <v>3</v>
      </c>
      <c r="N630" s="5" t="s">
        <v>3</v>
      </c>
      <c r="O630" s="5">
        <v>2</v>
      </c>
      <c r="P630" s="5">
        <f>ROUND(Source!EO624,O630)</f>
        <v>266387.33</v>
      </c>
      <c r="Q630" s="5"/>
      <c r="R630" s="5"/>
      <c r="S630" s="5"/>
      <c r="T630" s="5"/>
      <c r="U630" s="5"/>
      <c r="V630" s="5"/>
      <c r="W630" s="5"/>
    </row>
    <row r="631" spans="1:23" x14ac:dyDescent="0.2">
      <c r="A631" s="5">
        <v>50</v>
      </c>
      <c r="B631" s="5">
        <v>0</v>
      </c>
      <c r="C631" s="5">
        <v>0</v>
      </c>
      <c r="D631" s="5">
        <v>1</v>
      </c>
      <c r="E631" s="5">
        <v>0</v>
      </c>
      <c r="F631" s="5">
        <f>ROUND(Source!AX624,O631)</f>
        <v>0</v>
      </c>
      <c r="G631" s="5" t="s">
        <v>127</v>
      </c>
      <c r="H631" s="5" t="s">
        <v>128</v>
      </c>
      <c r="I631" s="5"/>
      <c r="J631" s="5"/>
      <c r="K631" s="5">
        <v>227</v>
      </c>
      <c r="L631" s="5">
        <v>6</v>
      </c>
      <c r="M631" s="5">
        <v>3</v>
      </c>
      <c r="N631" s="5" t="s">
        <v>3</v>
      </c>
      <c r="O631" s="5">
        <v>2</v>
      </c>
      <c r="P631" s="5">
        <f>ROUND(Source!EP624,O631)</f>
        <v>0</v>
      </c>
      <c r="Q631" s="5"/>
      <c r="R631" s="5"/>
      <c r="S631" s="5"/>
      <c r="T631" s="5"/>
      <c r="U631" s="5"/>
      <c r="V631" s="5"/>
      <c r="W631" s="5"/>
    </row>
    <row r="632" spans="1:23" x14ac:dyDescent="0.2">
      <c r="A632" s="5">
        <v>50</v>
      </c>
      <c r="B632" s="5">
        <v>0</v>
      </c>
      <c r="C632" s="5">
        <v>0</v>
      </c>
      <c r="D632" s="5">
        <v>1</v>
      </c>
      <c r="E632" s="5">
        <v>228</v>
      </c>
      <c r="F632" s="5">
        <f>ROUND(Source!AY624,O632)</f>
        <v>89266.34</v>
      </c>
      <c r="G632" s="5" t="s">
        <v>129</v>
      </c>
      <c r="H632" s="5" t="s">
        <v>130</v>
      </c>
      <c r="I632" s="5"/>
      <c r="J632" s="5"/>
      <c r="K632" s="5">
        <v>228</v>
      </c>
      <c r="L632" s="5">
        <v>7</v>
      </c>
      <c r="M632" s="5">
        <v>3</v>
      </c>
      <c r="N632" s="5" t="s">
        <v>3</v>
      </c>
      <c r="O632" s="5">
        <v>2</v>
      </c>
      <c r="P632" s="5">
        <f>ROUND(Source!EQ624,O632)</f>
        <v>266387.33</v>
      </c>
      <c r="Q632" s="5"/>
      <c r="R632" s="5"/>
      <c r="S632" s="5"/>
      <c r="T632" s="5"/>
      <c r="U632" s="5"/>
      <c r="V632" s="5"/>
      <c r="W632" s="5"/>
    </row>
    <row r="633" spans="1:23" x14ac:dyDescent="0.2">
      <c r="A633" s="5">
        <v>50</v>
      </c>
      <c r="B633" s="5">
        <v>0</v>
      </c>
      <c r="C633" s="5">
        <v>0</v>
      </c>
      <c r="D633" s="5">
        <v>1</v>
      </c>
      <c r="E633" s="5">
        <v>216</v>
      </c>
      <c r="F633" s="5">
        <f>ROUND(Source!AP624,O633)</f>
        <v>59400.61</v>
      </c>
      <c r="G633" s="5" t="s">
        <v>131</v>
      </c>
      <c r="H633" s="5" t="s">
        <v>132</v>
      </c>
      <c r="I633" s="5"/>
      <c r="J633" s="5"/>
      <c r="K633" s="5">
        <v>216</v>
      </c>
      <c r="L633" s="5">
        <v>8</v>
      </c>
      <c r="M633" s="5">
        <v>3</v>
      </c>
      <c r="N633" s="5" t="s">
        <v>3</v>
      </c>
      <c r="O633" s="5">
        <v>2</v>
      </c>
      <c r="P633" s="5">
        <f>ROUND(Source!EH624,O633)</f>
        <v>247700.55</v>
      </c>
      <c r="Q633" s="5"/>
      <c r="R633" s="5"/>
      <c r="S633" s="5"/>
      <c r="T633" s="5"/>
      <c r="U633" s="5"/>
      <c r="V633" s="5"/>
      <c r="W633" s="5"/>
    </row>
    <row r="634" spans="1:23" x14ac:dyDescent="0.2">
      <c r="A634" s="5">
        <v>50</v>
      </c>
      <c r="B634" s="5">
        <v>0</v>
      </c>
      <c r="C634" s="5">
        <v>0</v>
      </c>
      <c r="D634" s="5">
        <v>1</v>
      </c>
      <c r="E634" s="5">
        <v>223</v>
      </c>
      <c r="F634" s="5">
        <f>ROUND(Source!AQ624,O634)</f>
        <v>0</v>
      </c>
      <c r="G634" s="5" t="s">
        <v>133</v>
      </c>
      <c r="H634" s="5" t="s">
        <v>134</v>
      </c>
      <c r="I634" s="5"/>
      <c r="J634" s="5"/>
      <c r="K634" s="5">
        <v>223</v>
      </c>
      <c r="L634" s="5">
        <v>9</v>
      </c>
      <c r="M634" s="5">
        <v>3</v>
      </c>
      <c r="N634" s="5" t="s">
        <v>3</v>
      </c>
      <c r="O634" s="5">
        <v>2</v>
      </c>
      <c r="P634" s="5">
        <f>ROUND(Source!EI624,O634)</f>
        <v>0</v>
      </c>
      <c r="Q634" s="5"/>
      <c r="R634" s="5"/>
      <c r="S634" s="5"/>
      <c r="T634" s="5"/>
      <c r="U634" s="5"/>
      <c r="V634" s="5"/>
      <c r="W634" s="5"/>
    </row>
    <row r="635" spans="1:23" x14ac:dyDescent="0.2">
      <c r="A635" s="5">
        <v>50</v>
      </c>
      <c r="B635" s="5">
        <v>0</v>
      </c>
      <c r="C635" s="5">
        <v>0</v>
      </c>
      <c r="D635" s="5">
        <v>1</v>
      </c>
      <c r="E635" s="5">
        <v>229</v>
      </c>
      <c r="F635" s="5">
        <f>ROUND(Source!AZ624,O635)</f>
        <v>59400.61</v>
      </c>
      <c r="G635" s="5" t="s">
        <v>135</v>
      </c>
      <c r="H635" s="5" t="s">
        <v>136</v>
      </c>
      <c r="I635" s="5"/>
      <c r="J635" s="5"/>
      <c r="K635" s="5">
        <v>229</v>
      </c>
      <c r="L635" s="5">
        <v>10</v>
      </c>
      <c r="M635" s="5">
        <v>3</v>
      </c>
      <c r="N635" s="5" t="s">
        <v>3</v>
      </c>
      <c r="O635" s="5">
        <v>2</v>
      </c>
      <c r="P635" s="5">
        <f>ROUND(Source!ER624,O635)</f>
        <v>247700.55</v>
      </c>
      <c r="Q635" s="5"/>
      <c r="R635" s="5"/>
      <c r="S635" s="5"/>
      <c r="T635" s="5"/>
      <c r="U635" s="5"/>
      <c r="V635" s="5"/>
      <c r="W635" s="5"/>
    </row>
    <row r="636" spans="1:23" x14ac:dyDescent="0.2">
      <c r="A636" s="5">
        <v>50</v>
      </c>
      <c r="B636" s="5">
        <v>0</v>
      </c>
      <c r="C636" s="5">
        <v>0</v>
      </c>
      <c r="D636" s="5">
        <v>1</v>
      </c>
      <c r="E636" s="5">
        <v>203</v>
      </c>
      <c r="F636" s="5">
        <f>ROUND(Source!Q624,O636)</f>
        <v>769.43</v>
      </c>
      <c r="G636" s="5" t="s">
        <v>137</v>
      </c>
      <c r="H636" s="5" t="s">
        <v>138</v>
      </c>
      <c r="I636" s="5"/>
      <c r="J636" s="5"/>
      <c r="K636" s="5">
        <v>203</v>
      </c>
      <c r="L636" s="5">
        <v>11</v>
      </c>
      <c r="M636" s="5">
        <v>3</v>
      </c>
      <c r="N636" s="5" t="s">
        <v>3</v>
      </c>
      <c r="O636" s="5">
        <v>2</v>
      </c>
      <c r="P636" s="5">
        <f>ROUND(Source!DI624,O636)</f>
        <v>6767</v>
      </c>
      <c r="Q636" s="5"/>
      <c r="R636" s="5"/>
      <c r="S636" s="5"/>
      <c r="T636" s="5"/>
      <c r="U636" s="5"/>
      <c r="V636" s="5"/>
      <c r="W636" s="5"/>
    </row>
    <row r="637" spans="1:23" x14ac:dyDescent="0.2">
      <c r="A637" s="5">
        <v>50</v>
      </c>
      <c r="B637" s="5">
        <v>0</v>
      </c>
      <c r="C637" s="5">
        <v>0</v>
      </c>
      <c r="D637" s="5">
        <v>1</v>
      </c>
      <c r="E637" s="5">
        <v>231</v>
      </c>
      <c r="F637" s="5">
        <f>ROUND(Source!BB624,O637)</f>
        <v>0</v>
      </c>
      <c r="G637" s="5" t="s">
        <v>139</v>
      </c>
      <c r="H637" s="5" t="s">
        <v>140</v>
      </c>
      <c r="I637" s="5"/>
      <c r="J637" s="5"/>
      <c r="K637" s="5">
        <v>231</v>
      </c>
      <c r="L637" s="5">
        <v>12</v>
      </c>
      <c r="M637" s="5">
        <v>3</v>
      </c>
      <c r="N637" s="5" t="s">
        <v>3</v>
      </c>
      <c r="O637" s="5">
        <v>2</v>
      </c>
      <c r="P637" s="5">
        <f>ROUND(Source!ET624,O637)</f>
        <v>0</v>
      </c>
      <c r="Q637" s="5"/>
      <c r="R637" s="5"/>
      <c r="S637" s="5"/>
      <c r="T637" s="5"/>
      <c r="U637" s="5"/>
      <c r="V637" s="5"/>
      <c r="W637" s="5"/>
    </row>
    <row r="638" spans="1:23" x14ac:dyDescent="0.2">
      <c r="A638" s="5">
        <v>50</v>
      </c>
      <c r="B638" s="5">
        <v>0</v>
      </c>
      <c r="C638" s="5">
        <v>0</v>
      </c>
      <c r="D638" s="5">
        <v>1</v>
      </c>
      <c r="E638" s="5">
        <v>204</v>
      </c>
      <c r="F638" s="5">
        <f>ROUND(Source!R624,O638)</f>
        <v>123.55</v>
      </c>
      <c r="G638" s="5" t="s">
        <v>141</v>
      </c>
      <c r="H638" s="5" t="s">
        <v>142</v>
      </c>
      <c r="I638" s="5"/>
      <c r="J638" s="5"/>
      <c r="K638" s="5">
        <v>204</v>
      </c>
      <c r="L638" s="5">
        <v>13</v>
      </c>
      <c r="M638" s="5">
        <v>3</v>
      </c>
      <c r="N638" s="5" t="s">
        <v>3</v>
      </c>
      <c r="O638" s="5">
        <v>2</v>
      </c>
      <c r="P638" s="5">
        <f>ROUND(Source!DJ624,O638)</f>
        <v>2520.1999999999998</v>
      </c>
      <c r="Q638" s="5"/>
      <c r="R638" s="5"/>
      <c r="S638" s="5"/>
      <c r="T638" s="5"/>
      <c r="U638" s="5"/>
      <c r="V638" s="5"/>
      <c r="W638" s="5"/>
    </row>
    <row r="639" spans="1:23" x14ac:dyDescent="0.2">
      <c r="A639" s="5">
        <v>50</v>
      </c>
      <c r="B639" s="5">
        <v>0</v>
      </c>
      <c r="C639" s="5">
        <v>0</v>
      </c>
      <c r="D639" s="5">
        <v>1</v>
      </c>
      <c r="E639" s="5">
        <v>205</v>
      </c>
      <c r="F639" s="5">
        <f>ROUND(Source!S624,O639)</f>
        <v>1884.56</v>
      </c>
      <c r="G639" s="5" t="s">
        <v>143</v>
      </c>
      <c r="H639" s="5" t="s">
        <v>144</v>
      </c>
      <c r="I639" s="5"/>
      <c r="J639" s="5"/>
      <c r="K639" s="5">
        <v>205</v>
      </c>
      <c r="L639" s="5">
        <v>14</v>
      </c>
      <c r="M639" s="5">
        <v>3</v>
      </c>
      <c r="N639" s="5" t="s">
        <v>3</v>
      </c>
      <c r="O639" s="5">
        <v>2</v>
      </c>
      <c r="P639" s="5">
        <f>ROUND(Source!DK624,O639)</f>
        <v>38445.11</v>
      </c>
      <c r="Q639" s="5"/>
      <c r="R639" s="5"/>
      <c r="S639" s="5"/>
      <c r="T639" s="5"/>
      <c r="U639" s="5"/>
      <c r="V639" s="5"/>
      <c r="W639" s="5"/>
    </row>
    <row r="640" spans="1:23" x14ac:dyDescent="0.2">
      <c r="A640" s="5">
        <v>50</v>
      </c>
      <c r="B640" s="5">
        <v>0</v>
      </c>
      <c r="C640" s="5">
        <v>0</v>
      </c>
      <c r="D640" s="5">
        <v>1</v>
      </c>
      <c r="E640" s="5">
        <v>232</v>
      </c>
      <c r="F640" s="5">
        <f>ROUND(Source!BC624,O640)</f>
        <v>0</v>
      </c>
      <c r="G640" s="5" t="s">
        <v>145</v>
      </c>
      <c r="H640" s="5" t="s">
        <v>146</v>
      </c>
      <c r="I640" s="5"/>
      <c r="J640" s="5"/>
      <c r="K640" s="5">
        <v>232</v>
      </c>
      <c r="L640" s="5">
        <v>15</v>
      </c>
      <c r="M640" s="5">
        <v>3</v>
      </c>
      <c r="N640" s="5" t="s">
        <v>3</v>
      </c>
      <c r="O640" s="5">
        <v>2</v>
      </c>
      <c r="P640" s="5">
        <f>ROUND(Source!EU624,O640)</f>
        <v>0</v>
      </c>
      <c r="Q640" s="5"/>
      <c r="R640" s="5"/>
      <c r="S640" s="5"/>
      <c r="T640" s="5"/>
      <c r="U640" s="5"/>
      <c r="V640" s="5"/>
      <c r="W640" s="5"/>
    </row>
    <row r="641" spans="1:206" x14ac:dyDescent="0.2">
      <c r="A641" s="5">
        <v>50</v>
      </c>
      <c r="B641" s="5">
        <v>0</v>
      </c>
      <c r="C641" s="5">
        <v>0</v>
      </c>
      <c r="D641" s="5">
        <v>1</v>
      </c>
      <c r="E641" s="5">
        <v>214</v>
      </c>
      <c r="F641" s="5">
        <f>ROUND(Source!AS624,O641)</f>
        <v>81649.36</v>
      </c>
      <c r="G641" s="5" t="s">
        <v>147</v>
      </c>
      <c r="H641" s="5" t="s">
        <v>148</v>
      </c>
      <c r="I641" s="5"/>
      <c r="J641" s="5"/>
      <c r="K641" s="5">
        <v>214</v>
      </c>
      <c r="L641" s="5">
        <v>16</v>
      </c>
      <c r="M641" s="5">
        <v>3</v>
      </c>
      <c r="N641" s="5" t="s">
        <v>3</v>
      </c>
      <c r="O641" s="5">
        <v>2</v>
      </c>
      <c r="P641" s="5">
        <f>ROUND(Source!EK624,O641)</f>
        <v>303911.64</v>
      </c>
      <c r="Q641" s="5"/>
      <c r="R641" s="5"/>
      <c r="S641" s="5"/>
      <c r="T641" s="5"/>
      <c r="U641" s="5"/>
      <c r="V641" s="5"/>
      <c r="W641" s="5"/>
    </row>
    <row r="642" spans="1:206" x14ac:dyDescent="0.2">
      <c r="A642" s="5">
        <v>50</v>
      </c>
      <c r="B642" s="5">
        <v>0</v>
      </c>
      <c r="C642" s="5">
        <v>0</v>
      </c>
      <c r="D642" s="5">
        <v>1</v>
      </c>
      <c r="E642" s="5">
        <v>215</v>
      </c>
      <c r="F642" s="5">
        <f>ROUND(Source!AT624,O642)</f>
        <v>10283.200000000001</v>
      </c>
      <c r="G642" s="5" t="s">
        <v>149</v>
      </c>
      <c r="H642" s="5" t="s">
        <v>150</v>
      </c>
      <c r="I642" s="5"/>
      <c r="J642" s="5"/>
      <c r="K642" s="5">
        <v>215</v>
      </c>
      <c r="L642" s="5">
        <v>17</v>
      </c>
      <c r="M642" s="5">
        <v>3</v>
      </c>
      <c r="N642" s="5" t="s">
        <v>3</v>
      </c>
      <c r="O642" s="5">
        <v>2</v>
      </c>
      <c r="P642" s="5">
        <f>ROUND(Source!EL624,O642)</f>
        <v>54759.199999999997</v>
      </c>
      <c r="Q642" s="5"/>
      <c r="R642" s="5"/>
      <c r="S642" s="5"/>
      <c r="T642" s="5"/>
      <c r="U642" s="5"/>
      <c r="V642" s="5"/>
      <c r="W642" s="5"/>
    </row>
    <row r="643" spans="1:206" x14ac:dyDescent="0.2">
      <c r="A643" s="5">
        <v>50</v>
      </c>
      <c r="B643" s="5">
        <v>0</v>
      </c>
      <c r="C643" s="5">
        <v>0</v>
      </c>
      <c r="D643" s="5">
        <v>1</v>
      </c>
      <c r="E643" s="5">
        <v>217</v>
      </c>
      <c r="F643" s="5">
        <f>ROUND(Source!AU624,O643)</f>
        <v>210.13</v>
      </c>
      <c r="G643" s="5" t="s">
        <v>151</v>
      </c>
      <c r="H643" s="5" t="s">
        <v>152</v>
      </c>
      <c r="I643" s="5"/>
      <c r="J643" s="5"/>
      <c r="K643" s="5">
        <v>217</v>
      </c>
      <c r="L643" s="5">
        <v>18</v>
      </c>
      <c r="M643" s="5">
        <v>3</v>
      </c>
      <c r="N643" s="5" t="s">
        <v>3</v>
      </c>
      <c r="O643" s="5">
        <v>2</v>
      </c>
      <c r="P643" s="5">
        <f>ROUND(Source!EM624,O643)</f>
        <v>1854.16</v>
      </c>
      <c r="Q643" s="5"/>
      <c r="R643" s="5"/>
      <c r="S643" s="5"/>
      <c r="T643" s="5"/>
      <c r="U643" s="5"/>
      <c r="V643" s="5"/>
      <c r="W643" s="5"/>
    </row>
    <row r="644" spans="1:206" x14ac:dyDescent="0.2">
      <c r="A644" s="5">
        <v>50</v>
      </c>
      <c r="B644" s="5">
        <v>0</v>
      </c>
      <c r="C644" s="5">
        <v>0</v>
      </c>
      <c r="D644" s="5">
        <v>1</v>
      </c>
      <c r="E644" s="5">
        <v>230</v>
      </c>
      <c r="F644" s="5">
        <f>ROUND(Source!BA624,O644)</f>
        <v>0</v>
      </c>
      <c r="G644" s="5" t="s">
        <v>153</v>
      </c>
      <c r="H644" s="5" t="s">
        <v>154</v>
      </c>
      <c r="I644" s="5"/>
      <c r="J644" s="5"/>
      <c r="K644" s="5">
        <v>230</v>
      </c>
      <c r="L644" s="5">
        <v>19</v>
      </c>
      <c r="M644" s="5">
        <v>3</v>
      </c>
      <c r="N644" s="5" t="s">
        <v>3</v>
      </c>
      <c r="O644" s="5">
        <v>2</v>
      </c>
      <c r="P644" s="5">
        <f>ROUND(Source!ES624,O644)</f>
        <v>0</v>
      </c>
      <c r="Q644" s="5"/>
      <c r="R644" s="5"/>
      <c r="S644" s="5"/>
      <c r="T644" s="5"/>
      <c r="U644" s="5"/>
      <c r="V644" s="5"/>
      <c r="W644" s="5"/>
    </row>
    <row r="645" spans="1:206" x14ac:dyDescent="0.2">
      <c r="A645" s="5">
        <v>50</v>
      </c>
      <c r="B645" s="5">
        <v>0</v>
      </c>
      <c r="C645" s="5">
        <v>0</v>
      </c>
      <c r="D645" s="5">
        <v>1</v>
      </c>
      <c r="E645" s="5">
        <v>206</v>
      </c>
      <c r="F645" s="5">
        <f>ROUND(Source!T624,O645)</f>
        <v>0</v>
      </c>
      <c r="G645" s="5" t="s">
        <v>155</v>
      </c>
      <c r="H645" s="5" t="s">
        <v>156</v>
      </c>
      <c r="I645" s="5"/>
      <c r="J645" s="5"/>
      <c r="K645" s="5">
        <v>206</v>
      </c>
      <c r="L645" s="5">
        <v>20</v>
      </c>
      <c r="M645" s="5">
        <v>3</v>
      </c>
      <c r="N645" s="5" t="s">
        <v>3</v>
      </c>
      <c r="O645" s="5">
        <v>2</v>
      </c>
      <c r="P645" s="5">
        <f>ROUND(Source!DL624,O645)</f>
        <v>0</v>
      </c>
      <c r="Q645" s="5"/>
      <c r="R645" s="5"/>
      <c r="S645" s="5"/>
      <c r="T645" s="5"/>
      <c r="U645" s="5"/>
      <c r="V645" s="5"/>
      <c r="W645" s="5"/>
    </row>
    <row r="646" spans="1:206" x14ac:dyDescent="0.2">
      <c r="A646" s="5">
        <v>50</v>
      </c>
      <c r="B646" s="5">
        <v>0</v>
      </c>
      <c r="C646" s="5">
        <v>0</v>
      </c>
      <c r="D646" s="5">
        <v>1</v>
      </c>
      <c r="E646" s="5">
        <v>207</v>
      </c>
      <c r="F646" s="5">
        <f>Source!U624</f>
        <v>158.05588764999999</v>
      </c>
      <c r="G646" s="5" t="s">
        <v>157</v>
      </c>
      <c r="H646" s="5" t="s">
        <v>158</v>
      </c>
      <c r="I646" s="5"/>
      <c r="J646" s="5"/>
      <c r="K646" s="5">
        <v>207</v>
      </c>
      <c r="L646" s="5">
        <v>21</v>
      </c>
      <c r="M646" s="5">
        <v>3</v>
      </c>
      <c r="N646" s="5" t="s">
        <v>3</v>
      </c>
      <c r="O646" s="5">
        <v>-1</v>
      </c>
      <c r="P646" s="5">
        <f>Source!DM624</f>
        <v>158.05588764999999</v>
      </c>
      <c r="Q646" s="5"/>
      <c r="R646" s="5"/>
      <c r="S646" s="5"/>
      <c r="T646" s="5"/>
      <c r="U646" s="5"/>
      <c r="V646" s="5"/>
      <c r="W646" s="5"/>
    </row>
    <row r="647" spans="1:206" x14ac:dyDescent="0.2">
      <c r="A647" s="5">
        <v>50</v>
      </c>
      <c r="B647" s="5">
        <v>0</v>
      </c>
      <c r="C647" s="5">
        <v>0</v>
      </c>
      <c r="D647" s="5">
        <v>1</v>
      </c>
      <c r="E647" s="5">
        <v>208</v>
      </c>
      <c r="F647" s="5">
        <f>Source!V624</f>
        <v>0</v>
      </c>
      <c r="G647" s="5" t="s">
        <v>159</v>
      </c>
      <c r="H647" s="5" t="s">
        <v>160</v>
      </c>
      <c r="I647" s="5"/>
      <c r="J647" s="5"/>
      <c r="K647" s="5">
        <v>208</v>
      </c>
      <c r="L647" s="5">
        <v>22</v>
      </c>
      <c r="M647" s="5">
        <v>3</v>
      </c>
      <c r="N647" s="5" t="s">
        <v>3</v>
      </c>
      <c r="O647" s="5">
        <v>-1</v>
      </c>
      <c r="P647" s="5">
        <f>Source!DN624</f>
        <v>0</v>
      </c>
      <c r="Q647" s="5"/>
      <c r="R647" s="5"/>
      <c r="S647" s="5"/>
      <c r="T647" s="5"/>
      <c r="U647" s="5"/>
      <c r="V647" s="5"/>
      <c r="W647" s="5"/>
    </row>
    <row r="648" spans="1:206" x14ac:dyDescent="0.2">
      <c r="A648" s="5">
        <v>50</v>
      </c>
      <c r="B648" s="5">
        <v>0</v>
      </c>
      <c r="C648" s="5">
        <v>0</v>
      </c>
      <c r="D648" s="5">
        <v>1</v>
      </c>
      <c r="E648" s="5">
        <v>209</v>
      </c>
      <c r="F648" s="5">
        <f>ROUND(Source!W624,O648)</f>
        <v>0</v>
      </c>
      <c r="G648" s="5" t="s">
        <v>161</v>
      </c>
      <c r="H648" s="5" t="s">
        <v>162</v>
      </c>
      <c r="I648" s="5"/>
      <c r="J648" s="5"/>
      <c r="K648" s="5">
        <v>209</v>
      </c>
      <c r="L648" s="5">
        <v>23</v>
      </c>
      <c r="M648" s="5">
        <v>3</v>
      </c>
      <c r="N648" s="5" t="s">
        <v>3</v>
      </c>
      <c r="O648" s="5">
        <v>2</v>
      </c>
      <c r="P648" s="5">
        <f>ROUND(Source!DO624,O648)</f>
        <v>0</v>
      </c>
      <c r="Q648" s="5"/>
      <c r="R648" s="5"/>
      <c r="S648" s="5"/>
      <c r="T648" s="5"/>
      <c r="U648" s="5"/>
      <c r="V648" s="5"/>
      <c r="W648" s="5"/>
    </row>
    <row r="649" spans="1:206" x14ac:dyDescent="0.2">
      <c r="A649" s="5">
        <v>50</v>
      </c>
      <c r="B649" s="5">
        <v>0</v>
      </c>
      <c r="C649" s="5">
        <v>0</v>
      </c>
      <c r="D649" s="5">
        <v>1</v>
      </c>
      <c r="E649" s="5">
        <v>210</v>
      </c>
      <c r="F649" s="5">
        <f>ROUND(Source!X624,O649)</f>
        <v>0</v>
      </c>
      <c r="G649" s="5" t="s">
        <v>163</v>
      </c>
      <c r="H649" s="5" t="s">
        <v>164</v>
      </c>
      <c r="I649" s="5"/>
      <c r="J649" s="5"/>
      <c r="K649" s="5">
        <v>210</v>
      </c>
      <c r="L649" s="5">
        <v>24</v>
      </c>
      <c r="M649" s="5">
        <v>3</v>
      </c>
      <c r="N649" s="5" t="s">
        <v>3</v>
      </c>
      <c r="O649" s="5">
        <v>2</v>
      </c>
      <c r="P649" s="5">
        <f>ROUND(Source!DP624,O649)</f>
        <v>28929.15</v>
      </c>
      <c r="Q649" s="5"/>
      <c r="R649" s="5"/>
      <c r="S649" s="5"/>
      <c r="T649" s="5"/>
      <c r="U649" s="5"/>
      <c r="V649" s="5"/>
      <c r="W649" s="5"/>
    </row>
    <row r="650" spans="1:206" x14ac:dyDescent="0.2">
      <c r="A650" s="5">
        <v>50</v>
      </c>
      <c r="B650" s="5">
        <v>0</v>
      </c>
      <c r="C650" s="5">
        <v>0</v>
      </c>
      <c r="D650" s="5">
        <v>1</v>
      </c>
      <c r="E650" s="5">
        <v>211</v>
      </c>
      <c r="F650" s="5">
        <f>ROUND(Source!Y624,O650)</f>
        <v>0</v>
      </c>
      <c r="G650" s="5" t="s">
        <v>165</v>
      </c>
      <c r="H650" s="5" t="s">
        <v>166</v>
      </c>
      <c r="I650" s="5"/>
      <c r="J650" s="5"/>
      <c r="K650" s="5">
        <v>211</v>
      </c>
      <c r="L650" s="5">
        <v>25</v>
      </c>
      <c r="M650" s="5">
        <v>3</v>
      </c>
      <c r="N650" s="5" t="s">
        <v>3</v>
      </c>
      <c r="O650" s="5">
        <v>2</v>
      </c>
      <c r="P650" s="5">
        <f>ROUND(Source!DQ624,O650)</f>
        <v>15762.45</v>
      </c>
      <c r="Q650" s="5"/>
      <c r="R650" s="5"/>
      <c r="S650" s="5"/>
      <c r="T650" s="5"/>
      <c r="U650" s="5"/>
      <c r="V650" s="5"/>
      <c r="W650" s="5"/>
    </row>
    <row r="651" spans="1:206" x14ac:dyDescent="0.2">
      <c r="A651" s="5">
        <v>50</v>
      </c>
      <c r="B651" s="5">
        <v>0</v>
      </c>
      <c r="C651" s="5">
        <v>0</v>
      </c>
      <c r="D651" s="5">
        <v>1</v>
      </c>
      <c r="E651" s="5">
        <v>224</v>
      </c>
      <c r="F651" s="5">
        <f>ROUND(Source!AR624,O651)</f>
        <v>151543.29999999999</v>
      </c>
      <c r="G651" s="5" t="s">
        <v>167</v>
      </c>
      <c r="H651" s="5" t="s">
        <v>168</v>
      </c>
      <c r="I651" s="5"/>
      <c r="J651" s="5"/>
      <c r="K651" s="5">
        <v>224</v>
      </c>
      <c r="L651" s="5">
        <v>26</v>
      </c>
      <c r="M651" s="5">
        <v>3</v>
      </c>
      <c r="N651" s="5" t="s">
        <v>3</v>
      </c>
      <c r="O651" s="5">
        <v>2</v>
      </c>
      <c r="P651" s="5">
        <f>ROUND(Source!EJ624,O651)</f>
        <v>608225.55000000005</v>
      </c>
      <c r="Q651" s="5"/>
      <c r="R651" s="5"/>
      <c r="S651" s="5"/>
      <c r="T651" s="5"/>
      <c r="U651" s="5"/>
      <c r="V651" s="5"/>
      <c r="W651" s="5"/>
    </row>
    <row r="653" spans="1:206" x14ac:dyDescent="0.2">
      <c r="A653" s="3">
        <v>51</v>
      </c>
      <c r="B653" s="3">
        <f>B12</f>
        <v>686</v>
      </c>
      <c r="C653" s="3">
        <f>A12</f>
        <v>1</v>
      </c>
      <c r="D653" s="3">
        <f>ROW(A12)</f>
        <v>12</v>
      </c>
      <c r="E653" s="3"/>
      <c r="F653" s="3" t="str">
        <f>IF(F12&lt;&gt;"",F12,"")</f>
        <v>Общестроительные работы ДГП №150 ф2 (ТСН-2001 (Мосгосэкспертиза))</v>
      </c>
      <c r="G653" s="3" t="str">
        <f>IF(G12&lt;&gt;"",G12,"")</f>
        <v>Общестроительные работы ДГП №150 ф2</v>
      </c>
      <c r="H653" s="3">
        <v>0</v>
      </c>
      <c r="I653" s="3"/>
      <c r="J653" s="3"/>
      <c r="K653" s="3"/>
      <c r="L653" s="3"/>
      <c r="M653" s="3"/>
      <c r="N653" s="3"/>
      <c r="O653" s="3">
        <f t="shared" ref="O653:T653" si="555">ROUND(O624,2)</f>
        <v>151320.94</v>
      </c>
      <c r="P653" s="3">
        <f t="shared" si="555"/>
        <v>148666.95000000001</v>
      </c>
      <c r="Q653" s="3">
        <f t="shared" si="555"/>
        <v>769.43</v>
      </c>
      <c r="R653" s="3">
        <f t="shared" si="555"/>
        <v>123.55</v>
      </c>
      <c r="S653" s="3">
        <f t="shared" si="555"/>
        <v>1884.56</v>
      </c>
      <c r="T653" s="3">
        <f t="shared" si="555"/>
        <v>0</v>
      </c>
      <c r="U653" s="3">
        <f>U624</f>
        <v>158.05588764999999</v>
      </c>
      <c r="V653" s="3">
        <f>V624</f>
        <v>0</v>
      </c>
      <c r="W653" s="3">
        <f>ROUND(W624,2)</f>
        <v>0</v>
      </c>
      <c r="X653" s="3">
        <f>ROUND(X624,2)</f>
        <v>0</v>
      </c>
      <c r="Y653" s="3">
        <f>ROUND(Y624,2)</f>
        <v>0</v>
      </c>
      <c r="Z653" s="3"/>
      <c r="AA653" s="3"/>
      <c r="AB653" s="3"/>
      <c r="AC653" s="3"/>
      <c r="AD653" s="3"/>
      <c r="AE653" s="3"/>
      <c r="AF653" s="3"/>
      <c r="AG653" s="3"/>
      <c r="AH653" s="3"/>
      <c r="AI653" s="3"/>
      <c r="AJ653" s="3"/>
      <c r="AK653" s="3"/>
      <c r="AL653" s="3"/>
      <c r="AM653" s="3"/>
      <c r="AN653" s="3"/>
      <c r="AO653" s="3">
        <f t="shared" ref="AO653:BC653" si="556">ROUND(AO624,2)</f>
        <v>0</v>
      </c>
      <c r="AP653" s="3">
        <f t="shared" si="556"/>
        <v>59400.61</v>
      </c>
      <c r="AQ653" s="3">
        <f t="shared" si="556"/>
        <v>0</v>
      </c>
      <c r="AR653" s="3">
        <f t="shared" si="556"/>
        <v>151543.29999999999</v>
      </c>
      <c r="AS653" s="3">
        <f t="shared" si="556"/>
        <v>81649.36</v>
      </c>
      <c r="AT653" s="3">
        <f t="shared" si="556"/>
        <v>10283.200000000001</v>
      </c>
      <c r="AU653" s="3">
        <f t="shared" si="556"/>
        <v>210.13</v>
      </c>
      <c r="AV653" s="3">
        <f t="shared" si="556"/>
        <v>148666.95000000001</v>
      </c>
      <c r="AW653" s="3">
        <f t="shared" si="556"/>
        <v>89266.34</v>
      </c>
      <c r="AX653" s="3">
        <f t="shared" si="556"/>
        <v>0</v>
      </c>
      <c r="AY653" s="3">
        <f t="shared" si="556"/>
        <v>89266.34</v>
      </c>
      <c r="AZ653" s="3">
        <f t="shared" si="556"/>
        <v>59400.61</v>
      </c>
      <c r="BA653" s="3">
        <f t="shared" si="556"/>
        <v>0</v>
      </c>
      <c r="BB653" s="3">
        <f t="shared" si="556"/>
        <v>0</v>
      </c>
      <c r="BC653" s="3">
        <f t="shared" si="556"/>
        <v>0</v>
      </c>
      <c r="BD653" s="3"/>
      <c r="BE653" s="3"/>
      <c r="BF653" s="3"/>
      <c r="BG653" s="3"/>
      <c r="BH653" s="3"/>
      <c r="BI653" s="3"/>
      <c r="BJ653" s="3"/>
      <c r="BK653" s="3"/>
      <c r="BL653" s="3"/>
      <c r="BM653" s="3"/>
      <c r="BN653" s="3"/>
      <c r="BO653" s="3"/>
      <c r="BP653" s="3"/>
      <c r="BQ653" s="3"/>
      <c r="BR653" s="3"/>
      <c r="BS653" s="3"/>
      <c r="BT653" s="3"/>
      <c r="BU653" s="3"/>
      <c r="BV653" s="3"/>
      <c r="BW653" s="3"/>
      <c r="BX653" s="3"/>
      <c r="BY653" s="3"/>
      <c r="BZ653" s="3"/>
      <c r="CA653" s="3"/>
      <c r="CB653" s="3"/>
      <c r="CC653" s="3"/>
      <c r="CD653" s="3"/>
      <c r="CE653" s="3"/>
      <c r="CF653" s="3"/>
      <c r="CG653" s="3"/>
      <c r="CH653" s="3"/>
      <c r="CI653" s="3"/>
      <c r="CJ653" s="3"/>
      <c r="CK653" s="3"/>
      <c r="CL653" s="3"/>
      <c r="CM653" s="3"/>
      <c r="CN653" s="3"/>
      <c r="CO653" s="3"/>
      <c r="CP653" s="3"/>
      <c r="CQ653" s="3"/>
      <c r="CR653" s="3"/>
      <c r="CS653" s="3"/>
      <c r="CT653" s="3"/>
      <c r="CU653" s="3"/>
      <c r="CV653" s="3"/>
      <c r="CW653" s="3"/>
      <c r="CX653" s="3"/>
      <c r="CY653" s="3"/>
      <c r="CZ653" s="3"/>
      <c r="DA653" s="3"/>
      <c r="DB653" s="3"/>
      <c r="DC653" s="3"/>
      <c r="DD653" s="3"/>
      <c r="DE653" s="3"/>
      <c r="DF653" s="3"/>
      <c r="DG653" s="4">
        <f t="shared" ref="DG653:DL653" si="557">ROUND(DG624,2)</f>
        <v>559299.99</v>
      </c>
      <c r="DH653" s="4">
        <f t="shared" si="557"/>
        <v>514087.88</v>
      </c>
      <c r="DI653" s="4">
        <f t="shared" si="557"/>
        <v>6767</v>
      </c>
      <c r="DJ653" s="4">
        <f t="shared" si="557"/>
        <v>2520.1999999999998</v>
      </c>
      <c r="DK653" s="4">
        <f t="shared" si="557"/>
        <v>38445.11</v>
      </c>
      <c r="DL653" s="4">
        <f t="shared" si="557"/>
        <v>0</v>
      </c>
      <c r="DM653" s="4">
        <f>DM624</f>
        <v>158.05588764999999</v>
      </c>
      <c r="DN653" s="4">
        <f>DN624</f>
        <v>0</v>
      </c>
      <c r="DO653" s="4">
        <f>ROUND(DO624,2)</f>
        <v>0</v>
      </c>
      <c r="DP653" s="4">
        <f>ROUND(DP624,2)</f>
        <v>28929.15</v>
      </c>
      <c r="DQ653" s="4">
        <f>ROUND(DQ624,2)</f>
        <v>15762.45</v>
      </c>
      <c r="DR653" s="4"/>
      <c r="DS653" s="4"/>
      <c r="DT653" s="4"/>
      <c r="DU653" s="4"/>
      <c r="DV653" s="4"/>
      <c r="DW653" s="4"/>
      <c r="DX653" s="4"/>
      <c r="DY653" s="4"/>
      <c r="DZ653" s="4"/>
      <c r="EA653" s="4"/>
      <c r="EB653" s="4"/>
      <c r="EC653" s="4"/>
      <c r="ED653" s="4"/>
      <c r="EE653" s="4"/>
      <c r="EF653" s="4"/>
      <c r="EG653" s="4">
        <f t="shared" ref="EG653:EU653" si="558">ROUND(EG624,2)</f>
        <v>0</v>
      </c>
      <c r="EH653" s="4">
        <f t="shared" si="558"/>
        <v>247700.55</v>
      </c>
      <c r="EI653" s="4">
        <f t="shared" si="558"/>
        <v>0</v>
      </c>
      <c r="EJ653" s="4">
        <f t="shared" si="558"/>
        <v>608225.55000000005</v>
      </c>
      <c r="EK653" s="4">
        <f t="shared" si="558"/>
        <v>303911.64</v>
      </c>
      <c r="EL653" s="4">
        <f t="shared" si="558"/>
        <v>54759.199999999997</v>
      </c>
      <c r="EM653" s="4">
        <f t="shared" si="558"/>
        <v>1854.16</v>
      </c>
      <c r="EN653" s="4">
        <f t="shared" si="558"/>
        <v>514087.88</v>
      </c>
      <c r="EO653" s="4">
        <f t="shared" si="558"/>
        <v>266387.33</v>
      </c>
      <c r="EP653" s="4">
        <f t="shared" si="558"/>
        <v>0</v>
      </c>
      <c r="EQ653" s="4">
        <f t="shared" si="558"/>
        <v>266387.33</v>
      </c>
      <c r="ER653" s="4">
        <f t="shared" si="558"/>
        <v>247700.55</v>
      </c>
      <c r="ES653" s="4">
        <f t="shared" si="558"/>
        <v>0</v>
      </c>
      <c r="ET653" s="4">
        <f t="shared" si="558"/>
        <v>0</v>
      </c>
      <c r="EU653" s="4">
        <f t="shared" si="558"/>
        <v>0</v>
      </c>
      <c r="EV653" s="4"/>
      <c r="EW653" s="4"/>
      <c r="EX653" s="4"/>
      <c r="EY653" s="4"/>
      <c r="EZ653" s="4"/>
      <c r="FA653" s="4"/>
      <c r="FB653" s="4"/>
      <c r="FC653" s="4"/>
      <c r="FD653" s="4"/>
      <c r="FE653" s="4"/>
      <c r="FF653" s="4"/>
      <c r="FG653" s="4"/>
      <c r="FH653" s="4"/>
      <c r="FI653" s="4"/>
      <c r="FJ653" s="4"/>
      <c r="FK653" s="4"/>
      <c r="FL653" s="4"/>
      <c r="FM653" s="4"/>
      <c r="FN653" s="4"/>
      <c r="FO653" s="4"/>
      <c r="FP653" s="4"/>
      <c r="FQ653" s="4"/>
      <c r="FR653" s="4"/>
      <c r="FS653" s="4"/>
      <c r="FT653" s="4"/>
      <c r="FU653" s="4"/>
      <c r="FV653" s="4"/>
      <c r="FW653" s="4"/>
      <c r="FX653" s="4"/>
      <c r="FY653" s="4"/>
      <c r="FZ653" s="4"/>
      <c r="GA653" s="4"/>
      <c r="GB653" s="4"/>
      <c r="GC653" s="4"/>
      <c r="GD653" s="4"/>
      <c r="GE653" s="4"/>
      <c r="GF653" s="4"/>
      <c r="GG653" s="4"/>
      <c r="GH653" s="4"/>
      <c r="GI653" s="4"/>
      <c r="GJ653" s="4"/>
      <c r="GK653" s="4"/>
      <c r="GL653" s="4"/>
      <c r="GM653" s="4"/>
      <c r="GN653" s="4"/>
      <c r="GO653" s="4"/>
      <c r="GP653" s="4"/>
      <c r="GQ653" s="4"/>
      <c r="GR653" s="4"/>
      <c r="GS653" s="4"/>
      <c r="GT653" s="4"/>
      <c r="GU653" s="4"/>
      <c r="GV653" s="4"/>
      <c r="GW653" s="4"/>
      <c r="GX653" s="4">
        <v>0</v>
      </c>
    </row>
    <row r="655" spans="1:206" x14ac:dyDescent="0.2">
      <c r="A655" s="5">
        <v>50</v>
      </c>
      <c r="B655" s="5">
        <v>0</v>
      </c>
      <c r="C655" s="5">
        <v>0</v>
      </c>
      <c r="D655" s="5">
        <v>1</v>
      </c>
      <c r="E655" s="5">
        <v>201</v>
      </c>
      <c r="F655" s="5">
        <f>ROUND(Source!O653,O655)</f>
        <v>151320.94</v>
      </c>
      <c r="G655" s="5" t="s">
        <v>117</v>
      </c>
      <c r="H655" s="5" t="s">
        <v>118</v>
      </c>
      <c r="I655" s="5"/>
      <c r="J655" s="5"/>
      <c r="K655" s="5">
        <v>201</v>
      </c>
      <c r="L655" s="5">
        <v>1</v>
      </c>
      <c r="M655" s="5">
        <v>3</v>
      </c>
      <c r="N655" s="5" t="s">
        <v>3</v>
      </c>
      <c r="O655" s="5">
        <v>2</v>
      </c>
      <c r="P655" s="5">
        <f>ROUND(Source!DG653,O655)</f>
        <v>559299.99</v>
      </c>
      <c r="Q655" s="5"/>
      <c r="R655" s="5"/>
      <c r="S655" s="5"/>
      <c r="T655" s="5"/>
      <c r="U655" s="5"/>
      <c r="V655" s="5"/>
      <c r="W655" s="5"/>
    </row>
    <row r="656" spans="1:206" x14ac:dyDescent="0.2">
      <c r="A656" s="5">
        <v>50</v>
      </c>
      <c r="B656" s="5">
        <v>0</v>
      </c>
      <c r="C656" s="5">
        <v>0</v>
      </c>
      <c r="D656" s="5">
        <v>1</v>
      </c>
      <c r="E656" s="5">
        <v>202</v>
      </c>
      <c r="F656" s="5">
        <f>ROUND(Source!P653,O656)</f>
        <v>148666.95000000001</v>
      </c>
      <c r="G656" s="5" t="s">
        <v>119</v>
      </c>
      <c r="H656" s="5" t="s">
        <v>120</v>
      </c>
      <c r="I656" s="5"/>
      <c r="J656" s="5"/>
      <c r="K656" s="5">
        <v>202</v>
      </c>
      <c r="L656" s="5">
        <v>2</v>
      </c>
      <c r="M656" s="5">
        <v>3</v>
      </c>
      <c r="N656" s="5" t="s">
        <v>3</v>
      </c>
      <c r="O656" s="5">
        <v>2</v>
      </c>
      <c r="P656" s="5">
        <f>ROUND(Source!DH653,O656)</f>
        <v>514087.88</v>
      </c>
      <c r="Q656" s="5"/>
      <c r="R656" s="5"/>
      <c r="S656" s="5"/>
      <c r="T656" s="5"/>
      <c r="U656" s="5"/>
      <c r="V656" s="5"/>
      <c r="W656" s="5"/>
    </row>
    <row r="657" spans="1:23" x14ac:dyDescent="0.2">
      <c r="A657" s="5">
        <v>50</v>
      </c>
      <c r="B657" s="5">
        <v>0</v>
      </c>
      <c r="C657" s="5">
        <v>0</v>
      </c>
      <c r="D657" s="5">
        <v>1</v>
      </c>
      <c r="E657" s="5">
        <v>227</v>
      </c>
      <c r="F657" s="5">
        <f>ROUND(Source!AO653,O657)</f>
        <v>0</v>
      </c>
      <c r="G657" s="5" t="s">
        <v>121</v>
      </c>
      <c r="H657" s="5" t="s">
        <v>122</v>
      </c>
      <c r="I657" s="5"/>
      <c r="J657" s="5"/>
      <c r="K657" s="5">
        <v>222</v>
      </c>
      <c r="L657" s="5">
        <v>3</v>
      </c>
      <c r="M657" s="5">
        <v>3</v>
      </c>
      <c r="N657" s="5" t="s">
        <v>3</v>
      </c>
      <c r="O657" s="5">
        <v>2</v>
      </c>
      <c r="P657" s="5">
        <f>ROUND(Source!EG653,O657)</f>
        <v>0</v>
      </c>
      <c r="Q657" s="5"/>
      <c r="R657" s="5"/>
      <c r="S657" s="5"/>
      <c r="T657" s="5"/>
      <c r="U657" s="5"/>
      <c r="V657" s="5"/>
      <c r="W657" s="5"/>
    </row>
    <row r="658" spans="1:23" x14ac:dyDescent="0.2">
      <c r="A658" s="5">
        <v>50</v>
      </c>
      <c r="B658" s="5">
        <v>0</v>
      </c>
      <c r="C658" s="5">
        <v>0</v>
      </c>
      <c r="D658" s="5">
        <v>1</v>
      </c>
      <c r="E658" s="5">
        <v>225</v>
      </c>
      <c r="F658" s="5">
        <f>ROUND(Source!AV653,O658)</f>
        <v>148666.95000000001</v>
      </c>
      <c r="G658" s="5" t="s">
        <v>123</v>
      </c>
      <c r="H658" s="5" t="s">
        <v>124</v>
      </c>
      <c r="I658" s="5"/>
      <c r="J658" s="5"/>
      <c r="K658" s="5">
        <v>225</v>
      </c>
      <c r="L658" s="5">
        <v>4</v>
      </c>
      <c r="M658" s="5">
        <v>3</v>
      </c>
      <c r="N658" s="5" t="s">
        <v>3</v>
      </c>
      <c r="O658" s="5">
        <v>2</v>
      </c>
      <c r="P658" s="5">
        <f>ROUND(Source!EN653,O658)</f>
        <v>514087.88</v>
      </c>
      <c r="Q658" s="5"/>
      <c r="R658" s="5"/>
      <c r="S658" s="5"/>
      <c r="T658" s="5"/>
      <c r="U658" s="5"/>
      <c r="V658" s="5"/>
      <c r="W658" s="5"/>
    </row>
    <row r="659" spans="1:23" x14ac:dyDescent="0.2">
      <c r="A659" s="5">
        <v>50</v>
      </c>
      <c r="B659" s="5">
        <v>0</v>
      </c>
      <c r="C659" s="5">
        <v>0</v>
      </c>
      <c r="D659" s="5">
        <v>1</v>
      </c>
      <c r="E659" s="5">
        <v>226</v>
      </c>
      <c r="F659" s="5">
        <f>ROUND(Source!AW653,O659)</f>
        <v>89266.34</v>
      </c>
      <c r="G659" s="5" t="s">
        <v>125</v>
      </c>
      <c r="H659" s="5" t="s">
        <v>126</v>
      </c>
      <c r="I659" s="5"/>
      <c r="J659" s="5"/>
      <c r="K659" s="5">
        <v>226</v>
      </c>
      <c r="L659" s="5">
        <v>5</v>
      </c>
      <c r="M659" s="5">
        <v>3</v>
      </c>
      <c r="N659" s="5" t="s">
        <v>3</v>
      </c>
      <c r="O659" s="5">
        <v>2</v>
      </c>
      <c r="P659" s="5">
        <f>ROUND(Source!EO653,O659)</f>
        <v>266387.33</v>
      </c>
      <c r="Q659" s="5"/>
      <c r="R659" s="5"/>
      <c r="S659" s="5"/>
      <c r="T659" s="5"/>
      <c r="U659" s="5"/>
      <c r="V659" s="5"/>
      <c r="W659" s="5"/>
    </row>
    <row r="660" spans="1:23" x14ac:dyDescent="0.2">
      <c r="A660" s="5">
        <v>50</v>
      </c>
      <c r="B660" s="5">
        <v>0</v>
      </c>
      <c r="C660" s="5">
        <v>0</v>
      </c>
      <c r="D660" s="5">
        <v>1</v>
      </c>
      <c r="E660" s="5">
        <v>0</v>
      </c>
      <c r="F660" s="5">
        <f>ROUND(Source!AX653,O660)</f>
        <v>0</v>
      </c>
      <c r="G660" s="5" t="s">
        <v>127</v>
      </c>
      <c r="H660" s="5" t="s">
        <v>128</v>
      </c>
      <c r="I660" s="5"/>
      <c r="J660" s="5"/>
      <c r="K660" s="5">
        <v>227</v>
      </c>
      <c r="L660" s="5">
        <v>6</v>
      </c>
      <c r="M660" s="5">
        <v>3</v>
      </c>
      <c r="N660" s="5" t="s">
        <v>3</v>
      </c>
      <c r="O660" s="5">
        <v>2</v>
      </c>
      <c r="P660" s="5">
        <f>ROUND(Source!EP653,O660)</f>
        <v>0</v>
      </c>
      <c r="Q660" s="5"/>
      <c r="R660" s="5"/>
      <c r="S660" s="5"/>
      <c r="T660" s="5"/>
      <c r="U660" s="5"/>
      <c r="V660" s="5"/>
      <c r="W660" s="5"/>
    </row>
    <row r="661" spans="1:23" x14ac:dyDescent="0.2">
      <c r="A661" s="5">
        <v>50</v>
      </c>
      <c r="B661" s="5">
        <v>0</v>
      </c>
      <c r="C661" s="5">
        <v>0</v>
      </c>
      <c r="D661" s="5">
        <v>1</v>
      </c>
      <c r="E661" s="5">
        <v>228</v>
      </c>
      <c r="F661" s="5">
        <f>ROUND(Source!AY653,O661)</f>
        <v>89266.34</v>
      </c>
      <c r="G661" s="5" t="s">
        <v>129</v>
      </c>
      <c r="H661" s="5" t="s">
        <v>130</v>
      </c>
      <c r="I661" s="5"/>
      <c r="J661" s="5"/>
      <c r="K661" s="5">
        <v>228</v>
      </c>
      <c r="L661" s="5">
        <v>7</v>
      </c>
      <c r="M661" s="5">
        <v>3</v>
      </c>
      <c r="N661" s="5" t="s">
        <v>3</v>
      </c>
      <c r="O661" s="5">
        <v>2</v>
      </c>
      <c r="P661" s="5">
        <f>ROUND(Source!EQ653,O661)</f>
        <v>266387.33</v>
      </c>
      <c r="Q661" s="5"/>
      <c r="R661" s="5"/>
      <c r="S661" s="5"/>
      <c r="T661" s="5"/>
      <c r="U661" s="5"/>
      <c r="V661" s="5"/>
      <c r="W661" s="5"/>
    </row>
    <row r="662" spans="1:23" x14ac:dyDescent="0.2">
      <c r="A662" s="5">
        <v>50</v>
      </c>
      <c r="B662" s="5">
        <v>0</v>
      </c>
      <c r="C662" s="5">
        <v>0</v>
      </c>
      <c r="D662" s="5">
        <v>1</v>
      </c>
      <c r="E662" s="5">
        <v>216</v>
      </c>
      <c r="F662" s="5">
        <f>ROUND(Source!AP653,O662)</f>
        <v>59400.61</v>
      </c>
      <c r="G662" s="5" t="s">
        <v>131</v>
      </c>
      <c r="H662" s="5" t="s">
        <v>132</v>
      </c>
      <c r="I662" s="5"/>
      <c r="J662" s="5"/>
      <c r="K662" s="5">
        <v>216</v>
      </c>
      <c r="L662" s="5">
        <v>8</v>
      </c>
      <c r="M662" s="5">
        <v>3</v>
      </c>
      <c r="N662" s="5" t="s">
        <v>3</v>
      </c>
      <c r="O662" s="5">
        <v>2</v>
      </c>
      <c r="P662" s="5">
        <f>ROUND(Source!EH653,O662)</f>
        <v>247700.55</v>
      </c>
      <c r="Q662" s="5"/>
      <c r="R662" s="5"/>
      <c r="S662" s="5"/>
      <c r="T662" s="5"/>
      <c r="U662" s="5"/>
      <c r="V662" s="5"/>
      <c r="W662" s="5"/>
    </row>
    <row r="663" spans="1:23" x14ac:dyDescent="0.2">
      <c r="A663" s="5">
        <v>50</v>
      </c>
      <c r="B663" s="5">
        <v>0</v>
      </c>
      <c r="C663" s="5">
        <v>0</v>
      </c>
      <c r="D663" s="5">
        <v>1</v>
      </c>
      <c r="E663" s="5">
        <v>223</v>
      </c>
      <c r="F663" s="5">
        <f>ROUND(Source!AQ653,O663)</f>
        <v>0</v>
      </c>
      <c r="G663" s="5" t="s">
        <v>133</v>
      </c>
      <c r="H663" s="5" t="s">
        <v>134</v>
      </c>
      <c r="I663" s="5"/>
      <c r="J663" s="5"/>
      <c r="K663" s="5">
        <v>223</v>
      </c>
      <c r="L663" s="5">
        <v>9</v>
      </c>
      <c r="M663" s="5">
        <v>3</v>
      </c>
      <c r="N663" s="5" t="s">
        <v>3</v>
      </c>
      <c r="O663" s="5">
        <v>2</v>
      </c>
      <c r="P663" s="5">
        <f>ROUND(Source!EI653,O663)</f>
        <v>0</v>
      </c>
      <c r="Q663" s="5"/>
      <c r="R663" s="5"/>
      <c r="S663" s="5"/>
      <c r="T663" s="5"/>
      <c r="U663" s="5"/>
      <c r="V663" s="5"/>
      <c r="W663" s="5"/>
    </row>
    <row r="664" spans="1:23" x14ac:dyDescent="0.2">
      <c r="A664" s="5">
        <v>50</v>
      </c>
      <c r="B664" s="5">
        <v>0</v>
      </c>
      <c r="C664" s="5">
        <v>0</v>
      </c>
      <c r="D664" s="5">
        <v>1</v>
      </c>
      <c r="E664" s="5">
        <v>229</v>
      </c>
      <c r="F664" s="5">
        <f>ROUND(Source!AZ653,O664)</f>
        <v>59400.61</v>
      </c>
      <c r="G664" s="5" t="s">
        <v>135</v>
      </c>
      <c r="H664" s="5" t="s">
        <v>136</v>
      </c>
      <c r="I664" s="5"/>
      <c r="J664" s="5"/>
      <c r="K664" s="5">
        <v>229</v>
      </c>
      <c r="L664" s="5">
        <v>10</v>
      </c>
      <c r="M664" s="5">
        <v>3</v>
      </c>
      <c r="N664" s="5" t="s">
        <v>3</v>
      </c>
      <c r="O664" s="5">
        <v>2</v>
      </c>
      <c r="P664" s="5">
        <f>ROUND(Source!ER653,O664)</f>
        <v>247700.55</v>
      </c>
      <c r="Q664" s="5"/>
      <c r="R664" s="5"/>
      <c r="S664" s="5"/>
      <c r="T664" s="5"/>
      <c r="U664" s="5"/>
      <c r="V664" s="5"/>
      <c r="W664" s="5"/>
    </row>
    <row r="665" spans="1:23" x14ac:dyDescent="0.2">
      <c r="A665" s="5">
        <v>50</v>
      </c>
      <c r="B665" s="5">
        <v>0</v>
      </c>
      <c r="C665" s="5">
        <v>0</v>
      </c>
      <c r="D665" s="5">
        <v>1</v>
      </c>
      <c r="E665" s="5">
        <v>203</v>
      </c>
      <c r="F665" s="5">
        <f>ROUND(Source!Q653,O665)</f>
        <v>769.43</v>
      </c>
      <c r="G665" s="5" t="s">
        <v>137</v>
      </c>
      <c r="H665" s="5" t="s">
        <v>138</v>
      </c>
      <c r="I665" s="5"/>
      <c r="J665" s="5"/>
      <c r="K665" s="5">
        <v>203</v>
      </c>
      <c r="L665" s="5">
        <v>11</v>
      </c>
      <c r="M665" s="5">
        <v>3</v>
      </c>
      <c r="N665" s="5" t="s">
        <v>3</v>
      </c>
      <c r="O665" s="5">
        <v>2</v>
      </c>
      <c r="P665" s="5">
        <f>ROUND(Source!DI653,O665)</f>
        <v>6767</v>
      </c>
      <c r="Q665" s="5"/>
      <c r="R665" s="5"/>
      <c r="S665" s="5"/>
      <c r="T665" s="5"/>
      <c r="U665" s="5"/>
      <c r="V665" s="5"/>
      <c r="W665" s="5"/>
    </row>
    <row r="666" spans="1:23" x14ac:dyDescent="0.2">
      <c r="A666" s="5">
        <v>50</v>
      </c>
      <c r="B666" s="5">
        <v>0</v>
      </c>
      <c r="C666" s="5">
        <v>0</v>
      </c>
      <c r="D666" s="5">
        <v>1</v>
      </c>
      <c r="E666" s="5">
        <v>231</v>
      </c>
      <c r="F666" s="5">
        <f>ROUND(Source!BB653,O666)</f>
        <v>0</v>
      </c>
      <c r="G666" s="5" t="s">
        <v>139</v>
      </c>
      <c r="H666" s="5" t="s">
        <v>140</v>
      </c>
      <c r="I666" s="5"/>
      <c r="J666" s="5"/>
      <c r="K666" s="5">
        <v>231</v>
      </c>
      <c r="L666" s="5">
        <v>12</v>
      </c>
      <c r="M666" s="5">
        <v>3</v>
      </c>
      <c r="N666" s="5" t="s">
        <v>3</v>
      </c>
      <c r="O666" s="5">
        <v>2</v>
      </c>
      <c r="P666" s="5">
        <f>ROUND(Source!ET653,O666)</f>
        <v>0</v>
      </c>
      <c r="Q666" s="5"/>
      <c r="R666" s="5"/>
      <c r="S666" s="5"/>
      <c r="T666" s="5"/>
      <c r="U666" s="5"/>
      <c r="V666" s="5"/>
      <c r="W666" s="5"/>
    </row>
    <row r="667" spans="1:23" x14ac:dyDescent="0.2">
      <c r="A667" s="5">
        <v>50</v>
      </c>
      <c r="B667" s="5">
        <v>0</v>
      </c>
      <c r="C667" s="5">
        <v>0</v>
      </c>
      <c r="D667" s="5">
        <v>1</v>
      </c>
      <c r="E667" s="5">
        <v>204</v>
      </c>
      <c r="F667" s="5">
        <f>ROUND(Source!R653,O667)</f>
        <v>123.55</v>
      </c>
      <c r="G667" s="5" t="s">
        <v>141</v>
      </c>
      <c r="H667" s="5" t="s">
        <v>142</v>
      </c>
      <c r="I667" s="5"/>
      <c r="J667" s="5"/>
      <c r="K667" s="5">
        <v>204</v>
      </c>
      <c r="L667" s="5">
        <v>13</v>
      </c>
      <c r="M667" s="5">
        <v>3</v>
      </c>
      <c r="N667" s="5" t="s">
        <v>3</v>
      </c>
      <c r="O667" s="5">
        <v>2</v>
      </c>
      <c r="P667" s="5">
        <f>ROUND(Source!DJ653,O667)</f>
        <v>2520.1999999999998</v>
      </c>
      <c r="Q667" s="5"/>
      <c r="R667" s="5"/>
      <c r="S667" s="5"/>
      <c r="T667" s="5"/>
      <c r="U667" s="5"/>
      <c r="V667" s="5"/>
      <c r="W667" s="5"/>
    </row>
    <row r="668" spans="1:23" x14ac:dyDescent="0.2">
      <c r="A668" s="5">
        <v>50</v>
      </c>
      <c r="B668" s="5">
        <v>0</v>
      </c>
      <c r="C668" s="5">
        <v>0</v>
      </c>
      <c r="D668" s="5">
        <v>1</v>
      </c>
      <c r="E668" s="5">
        <v>205</v>
      </c>
      <c r="F668" s="5">
        <f>ROUND(Source!S653,O668)</f>
        <v>1884.56</v>
      </c>
      <c r="G668" s="5" t="s">
        <v>143</v>
      </c>
      <c r="H668" s="5" t="s">
        <v>144</v>
      </c>
      <c r="I668" s="5"/>
      <c r="J668" s="5"/>
      <c r="K668" s="5">
        <v>205</v>
      </c>
      <c r="L668" s="5">
        <v>14</v>
      </c>
      <c r="M668" s="5">
        <v>3</v>
      </c>
      <c r="N668" s="5" t="s">
        <v>3</v>
      </c>
      <c r="O668" s="5">
        <v>2</v>
      </c>
      <c r="P668" s="5">
        <f>ROUND(Source!DK653,O668)</f>
        <v>38445.11</v>
      </c>
      <c r="Q668" s="5"/>
      <c r="R668" s="5"/>
      <c r="S668" s="5"/>
      <c r="T668" s="5"/>
      <c r="U668" s="5"/>
      <c r="V668" s="5"/>
      <c r="W668" s="5"/>
    </row>
    <row r="669" spans="1:23" x14ac:dyDescent="0.2">
      <c r="A669" s="5">
        <v>50</v>
      </c>
      <c r="B669" s="5">
        <v>0</v>
      </c>
      <c r="C669" s="5">
        <v>0</v>
      </c>
      <c r="D669" s="5">
        <v>1</v>
      </c>
      <c r="E669" s="5">
        <v>232</v>
      </c>
      <c r="F669" s="5">
        <f>ROUND(Source!BC653,O669)</f>
        <v>0</v>
      </c>
      <c r="G669" s="5" t="s">
        <v>145</v>
      </c>
      <c r="H669" s="5" t="s">
        <v>146</v>
      </c>
      <c r="I669" s="5"/>
      <c r="J669" s="5"/>
      <c r="K669" s="5">
        <v>232</v>
      </c>
      <c r="L669" s="5">
        <v>15</v>
      </c>
      <c r="M669" s="5">
        <v>3</v>
      </c>
      <c r="N669" s="5" t="s">
        <v>3</v>
      </c>
      <c r="O669" s="5">
        <v>2</v>
      </c>
      <c r="P669" s="5">
        <f>ROUND(Source!EU653,O669)</f>
        <v>0</v>
      </c>
      <c r="Q669" s="5"/>
      <c r="R669" s="5"/>
      <c r="S669" s="5"/>
      <c r="T669" s="5"/>
      <c r="U669" s="5"/>
      <c r="V669" s="5"/>
      <c r="W669" s="5"/>
    </row>
    <row r="670" spans="1:23" x14ac:dyDescent="0.2">
      <c r="A670" s="5">
        <v>50</v>
      </c>
      <c r="B670" s="5">
        <v>0</v>
      </c>
      <c r="C670" s="5">
        <v>0</v>
      </c>
      <c r="D670" s="5">
        <v>1</v>
      </c>
      <c r="E670" s="5">
        <v>214</v>
      </c>
      <c r="F670" s="5">
        <f>ROUND(Source!AS653,O670)</f>
        <v>81649.36</v>
      </c>
      <c r="G670" s="5" t="s">
        <v>147</v>
      </c>
      <c r="H670" s="5" t="s">
        <v>148</v>
      </c>
      <c r="I670" s="5"/>
      <c r="J670" s="5"/>
      <c r="K670" s="5">
        <v>214</v>
      </c>
      <c r="L670" s="5">
        <v>16</v>
      </c>
      <c r="M670" s="5">
        <v>3</v>
      </c>
      <c r="N670" s="5" t="s">
        <v>3</v>
      </c>
      <c r="O670" s="5">
        <v>2</v>
      </c>
      <c r="P670" s="5">
        <f>ROUND(Source!EK653,O670)</f>
        <v>303911.64</v>
      </c>
      <c r="Q670" s="5"/>
      <c r="R670" s="5"/>
      <c r="S670" s="5"/>
      <c r="T670" s="5"/>
      <c r="U670" s="5"/>
      <c r="V670" s="5"/>
      <c r="W670" s="5"/>
    </row>
    <row r="671" spans="1:23" x14ac:dyDescent="0.2">
      <c r="A671" s="5">
        <v>50</v>
      </c>
      <c r="B671" s="5">
        <v>0</v>
      </c>
      <c r="C671" s="5">
        <v>0</v>
      </c>
      <c r="D671" s="5">
        <v>1</v>
      </c>
      <c r="E671" s="5">
        <v>215</v>
      </c>
      <c r="F671" s="5">
        <f>ROUND(Source!AT653,O671)</f>
        <v>10283.200000000001</v>
      </c>
      <c r="G671" s="5" t="s">
        <v>149</v>
      </c>
      <c r="H671" s="5" t="s">
        <v>150</v>
      </c>
      <c r="I671" s="5"/>
      <c r="J671" s="5"/>
      <c r="K671" s="5">
        <v>215</v>
      </c>
      <c r="L671" s="5">
        <v>17</v>
      </c>
      <c r="M671" s="5">
        <v>3</v>
      </c>
      <c r="N671" s="5" t="s">
        <v>3</v>
      </c>
      <c r="O671" s="5">
        <v>2</v>
      </c>
      <c r="P671" s="5">
        <f>ROUND(Source!EL653,O671)</f>
        <v>54759.199999999997</v>
      </c>
      <c r="Q671" s="5"/>
      <c r="R671" s="5"/>
      <c r="S671" s="5"/>
      <c r="T671" s="5"/>
      <c r="U671" s="5"/>
      <c r="V671" s="5"/>
      <c r="W671" s="5"/>
    </row>
    <row r="672" spans="1:23" x14ac:dyDescent="0.2">
      <c r="A672" s="5">
        <v>50</v>
      </c>
      <c r="B672" s="5">
        <v>0</v>
      </c>
      <c r="C672" s="5">
        <v>0</v>
      </c>
      <c r="D672" s="5">
        <v>1</v>
      </c>
      <c r="E672" s="5">
        <v>217</v>
      </c>
      <c r="F672" s="5">
        <f>ROUND(Source!AU653,O672)</f>
        <v>210.13</v>
      </c>
      <c r="G672" s="5" t="s">
        <v>151</v>
      </c>
      <c r="H672" s="5" t="s">
        <v>152</v>
      </c>
      <c r="I672" s="5"/>
      <c r="J672" s="5"/>
      <c r="K672" s="5">
        <v>217</v>
      </c>
      <c r="L672" s="5">
        <v>18</v>
      </c>
      <c r="M672" s="5">
        <v>3</v>
      </c>
      <c r="N672" s="5" t="s">
        <v>3</v>
      </c>
      <c r="O672" s="5">
        <v>2</v>
      </c>
      <c r="P672" s="5">
        <f>ROUND(Source!EM653,O672)</f>
        <v>1854.16</v>
      </c>
      <c r="Q672" s="5"/>
      <c r="R672" s="5"/>
      <c r="S672" s="5"/>
      <c r="T672" s="5"/>
      <c r="U672" s="5"/>
      <c r="V672" s="5"/>
      <c r="W672" s="5"/>
    </row>
    <row r="673" spans="1:27" x14ac:dyDescent="0.2">
      <c r="A673" s="5">
        <v>50</v>
      </c>
      <c r="B673" s="5">
        <v>0</v>
      </c>
      <c r="C673" s="5">
        <v>0</v>
      </c>
      <c r="D673" s="5">
        <v>1</v>
      </c>
      <c r="E673" s="5">
        <v>230</v>
      </c>
      <c r="F673" s="5">
        <f>ROUND(Source!BA653,O673)</f>
        <v>0</v>
      </c>
      <c r="G673" s="5" t="s">
        <v>153</v>
      </c>
      <c r="H673" s="5" t="s">
        <v>154</v>
      </c>
      <c r="I673" s="5"/>
      <c r="J673" s="5"/>
      <c r="K673" s="5">
        <v>230</v>
      </c>
      <c r="L673" s="5">
        <v>19</v>
      </c>
      <c r="M673" s="5">
        <v>3</v>
      </c>
      <c r="N673" s="5" t="s">
        <v>3</v>
      </c>
      <c r="O673" s="5">
        <v>2</v>
      </c>
      <c r="P673" s="5">
        <f>ROUND(Source!ES653,O673)</f>
        <v>0</v>
      </c>
      <c r="Q673" s="5"/>
      <c r="R673" s="5"/>
      <c r="S673" s="5"/>
      <c r="T673" s="5"/>
      <c r="U673" s="5"/>
      <c r="V673" s="5"/>
      <c r="W673" s="5"/>
    </row>
    <row r="674" spans="1:27" x14ac:dyDescent="0.2">
      <c r="A674" s="5">
        <v>50</v>
      </c>
      <c r="B674" s="5">
        <v>0</v>
      </c>
      <c r="C674" s="5">
        <v>0</v>
      </c>
      <c r="D674" s="5">
        <v>1</v>
      </c>
      <c r="E674" s="5">
        <v>206</v>
      </c>
      <c r="F674" s="5">
        <f>ROUND(Source!T653,O674)</f>
        <v>0</v>
      </c>
      <c r="G674" s="5" t="s">
        <v>155</v>
      </c>
      <c r="H674" s="5" t="s">
        <v>156</v>
      </c>
      <c r="I674" s="5"/>
      <c r="J674" s="5"/>
      <c r="K674" s="5">
        <v>206</v>
      </c>
      <c r="L674" s="5">
        <v>20</v>
      </c>
      <c r="M674" s="5">
        <v>0</v>
      </c>
      <c r="N674" s="5" t="s">
        <v>3</v>
      </c>
      <c r="O674" s="5">
        <v>2</v>
      </c>
      <c r="P674" s="5">
        <f>ROUND(Source!DL653,O674)</f>
        <v>0</v>
      </c>
      <c r="Q674" s="5"/>
      <c r="R674" s="5"/>
      <c r="S674" s="5"/>
      <c r="T674" s="5"/>
      <c r="U674" s="5"/>
      <c r="V674" s="5"/>
      <c r="W674" s="5"/>
    </row>
    <row r="675" spans="1:27" x14ac:dyDescent="0.2">
      <c r="A675" s="5">
        <v>50</v>
      </c>
      <c r="B675" s="5">
        <v>0</v>
      </c>
      <c r="C675" s="5">
        <v>0</v>
      </c>
      <c r="D675" s="5">
        <v>1</v>
      </c>
      <c r="E675" s="5">
        <v>207</v>
      </c>
      <c r="F675" s="5">
        <f>Source!U653</f>
        <v>158.05588764999999</v>
      </c>
      <c r="G675" s="5" t="s">
        <v>157</v>
      </c>
      <c r="H675" s="5" t="s">
        <v>158</v>
      </c>
      <c r="I675" s="5"/>
      <c r="J675" s="5"/>
      <c r="K675" s="5">
        <v>207</v>
      </c>
      <c r="L675" s="5">
        <v>21</v>
      </c>
      <c r="M675" s="5">
        <v>3</v>
      </c>
      <c r="N675" s="5" t="s">
        <v>3</v>
      </c>
      <c r="O675" s="5">
        <v>-1</v>
      </c>
      <c r="P675" s="5">
        <f>Source!DM653</f>
        <v>158.05588764999999</v>
      </c>
      <c r="Q675" s="5"/>
      <c r="R675" s="5"/>
      <c r="S675" s="5"/>
      <c r="T675" s="5"/>
      <c r="U675" s="5"/>
      <c r="V675" s="5"/>
      <c r="W675" s="5"/>
    </row>
    <row r="676" spans="1:27" x14ac:dyDescent="0.2">
      <c r="A676" s="5">
        <v>50</v>
      </c>
      <c r="B676" s="5">
        <v>0</v>
      </c>
      <c r="C676" s="5">
        <v>0</v>
      </c>
      <c r="D676" s="5">
        <v>1</v>
      </c>
      <c r="E676" s="5">
        <v>208</v>
      </c>
      <c r="F676" s="5">
        <f>Source!V653</f>
        <v>0</v>
      </c>
      <c r="G676" s="5" t="s">
        <v>159</v>
      </c>
      <c r="H676" s="5" t="s">
        <v>160</v>
      </c>
      <c r="I676" s="5"/>
      <c r="J676" s="5"/>
      <c r="K676" s="5">
        <v>208</v>
      </c>
      <c r="L676" s="5">
        <v>22</v>
      </c>
      <c r="M676" s="5">
        <v>3</v>
      </c>
      <c r="N676" s="5" t="s">
        <v>3</v>
      </c>
      <c r="O676" s="5">
        <v>-1</v>
      </c>
      <c r="P676" s="5">
        <f>Source!DN653</f>
        <v>0</v>
      </c>
      <c r="Q676" s="5"/>
      <c r="R676" s="5"/>
      <c r="S676" s="5"/>
      <c r="T676" s="5"/>
      <c r="U676" s="5"/>
      <c r="V676" s="5"/>
      <c r="W676" s="5"/>
    </row>
    <row r="677" spans="1:27" x14ac:dyDescent="0.2">
      <c r="A677" s="5">
        <v>50</v>
      </c>
      <c r="B677" s="5">
        <v>0</v>
      </c>
      <c r="C677" s="5">
        <v>0</v>
      </c>
      <c r="D677" s="5">
        <v>1</v>
      </c>
      <c r="E677" s="5">
        <v>209</v>
      </c>
      <c r="F677" s="5">
        <f>ROUND(Source!W653,O677)</f>
        <v>0</v>
      </c>
      <c r="G677" s="5" t="s">
        <v>161</v>
      </c>
      <c r="H677" s="5" t="s">
        <v>162</v>
      </c>
      <c r="I677" s="5"/>
      <c r="J677" s="5"/>
      <c r="K677" s="5">
        <v>209</v>
      </c>
      <c r="L677" s="5">
        <v>23</v>
      </c>
      <c r="M677" s="5">
        <v>3</v>
      </c>
      <c r="N677" s="5" t="s">
        <v>3</v>
      </c>
      <c r="O677" s="5">
        <v>2</v>
      </c>
      <c r="P677" s="5">
        <f>ROUND(Source!DO653,O677)</f>
        <v>0</v>
      </c>
      <c r="Q677" s="5"/>
      <c r="R677" s="5"/>
      <c r="S677" s="5"/>
      <c r="T677" s="5"/>
      <c r="U677" s="5"/>
      <c r="V677" s="5"/>
      <c r="W677" s="5"/>
    </row>
    <row r="678" spans="1:27" x14ac:dyDescent="0.2">
      <c r="A678" s="5">
        <v>50</v>
      </c>
      <c r="B678" s="5">
        <v>0</v>
      </c>
      <c r="C678" s="5">
        <v>0</v>
      </c>
      <c r="D678" s="5">
        <v>1</v>
      </c>
      <c r="E678" s="5">
        <v>210</v>
      </c>
      <c r="F678" s="5">
        <f>ROUND(Source!X653,O678)</f>
        <v>0</v>
      </c>
      <c r="G678" s="5" t="s">
        <v>163</v>
      </c>
      <c r="H678" s="5" t="s">
        <v>164</v>
      </c>
      <c r="I678" s="5"/>
      <c r="J678" s="5"/>
      <c r="K678" s="5">
        <v>210</v>
      </c>
      <c r="L678" s="5">
        <v>24</v>
      </c>
      <c r="M678" s="5">
        <v>3</v>
      </c>
      <c r="N678" s="5" t="s">
        <v>3</v>
      </c>
      <c r="O678" s="5">
        <v>2</v>
      </c>
      <c r="P678" s="5">
        <f>ROUND(Source!DP653,O678)</f>
        <v>28929.15</v>
      </c>
      <c r="Q678" s="5"/>
      <c r="R678" s="5"/>
      <c r="S678" s="5"/>
      <c r="T678" s="5"/>
      <c r="U678" s="5"/>
      <c r="V678" s="5"/>
      <c r="W678" s="5"/>
    </row>
    <row r="679" spans="1:27" x14ac:dyDescent="0.2">
      <c r="A679" s="5">
        <v>50</v>
      </c>
      <c r="B679" s="5">
        <v>0</v>
      </c>
      <c r="C679" s="5">
        <v>0</v>
      </c>
      <c r="D679" s="5">
        <v>1</v>
      </c>
      <c r="E679" s="5">
        <v>211</v>
      </c>
      <c r="F679" s="5">
        <f>ROUND(Source!Y653,O679)</f>
        <v>0</v>
      </c>
      <c r="G679" s="5" t="s">
        <v>165</v>
      </c>
      <c r="H679" s="5" t="s">
        <v>166</v>
      </c>
      <c r="I679" s="5"/>
      <c r="J679" s="5"/>
      <c r="K679" s="5">
        <v>211</v>
      </c>
      <c r="L679" s="5">
        <v>25</v>
      </c>
      <c r="M679" s="5">
        <v>3</v>
      </c>
      <c r="N679" s="5" t="s">
        <v>3</v>
      </c>
      <c r="O679" s="5">
        <v>2</v>
      </c>
      <c r="P679" s="5">
        <f>ROUND(Source!DQ653,O679)</f>
        <v>15762.45</v>
      </c>
      <c r="Q679" s="5"/>
      <c r="R679" s="5"/>
      <c r="S679" s="5"/>
      <c r="T679" s="5"/>
      <c r="U679" s="5"/>
      <c r="V679" s="5"/>
      <c r="W679" s="5"/>
    </row>
    <row r="680" spans="1:27" x14ac:dyDescent="0.2">
      <c r="A680" s="5">
        <v>50</v>
      </c>
      <c r="B680" s="5">
        <v>0</v>
      </c>
      <c r="C680" s="5">
        <v>0</v>
      </c>
      <c r="D680" s="5">
        <v>1</v>
      </c>
      <c r="E680" s="5">
        <v>224</v>
      </c>
      <c r="F680" s="5">
        <f>ROUND(Source!AR653,O680)</f>
        <v>151543.29999999999</v>
      </c>
      <c r="G680" s="5" t="s">
        <v>167</v>
      </c>
      <c r="H680" s="5" t="s">
        <v>168</v>
      </c>
      <c r="I680" s="5"/>
      <c r="J680" s="5"/>
      <c r="K680" s="5">
        <v>224</v>
      </c>
      <c r="L680" s="5">
        <v>26</v>
      </c>
      <c r="M680" s="5">
        <v>3</v>
      </c>
      <c r="N680" s="5" t="s">
        <v>3</v>
      </c>
      <c r="O680" s="5">
        <v>2</v>
      </c>
      <c r="P680" s="5">
        <f>ROUND(Source!EJ653,O680)</f>
        <v>608225.55000000005</v>
      </c>
      <c r="Q680" s="5"/>
      <c r="R680" s="5"/>
      <c r="S680" s="5"/>
      <c r="T680" s="5"/>
      <c r="U680" s="5"/>
      <c r="V680" s="5"/>
      <c r="W680" s="5"/>
    </row>
    <row r="681" spans="1:27" x14ac:dyDescent="0.2">
      <c r="A681" s="5">
        <v>50</v>
      </c>
      <c r="B681" s="5">
        <v>0</v>
      </c>
      <c r="C681" s="5">
        <v>0</v>
      </c>
      <c r="D681" s="5">
        <v>2</v>
      </c>
      <c r="E681" s="5">
        <v>0</v>
      </c>
      <c r="F681" s="5">
        <v>0</v>
      </c>
      <c r="G681" s="5" t="s">
        <v>18</v>
      </c>
      <c r="H681" s="5" t="s">
        <v>610</v>
      </c>
      <c r="I681" s="5"/>
      <c r="J681" s="5"/>
      <c r="K681" s="5">
        <v>212</v>
      </c>
      <c r="L681" s="5">
        <v>27</v>
      </c>
      <c r="M681" s="5">
        <v>0</v>
      </c>
      <c r="N681" s="5" t="s">
        <v>3</v>
      </c>
      <c r="O681" s="5">
        <v>-1</v>
      </c>
      <c r="P681" s="5">
        <v>0</v>
      </c>
      <c r="Q681" s="5"/>
      <c r="R681" s="5"/>
      <c r="S681" s="5"/>
      <c r="T681" s="5"/>
      <c r="U681" s="5"/>
      <c r="V681" s="5"/>
      <c r="W681" s="5"/>
    </row>
    <row r="684" spans="1:27" x14ac:dyDescent="0.2">
      <c r="A684">
        <v>-1</v>
      </c>
    </row>
    <row r="686" spans="1:27" x14ac:dyDescent="0.2">
      <c r="A686" s="4">
        <v>75</v>
      </c>
      <c r="B686" s="4" t="s">
        <v>611</v>
      </c>
      <c r="C686" s="4">
        <v>2000</v>
      </c>
      <c r="D686" s="4">
        <v>0</v>
      </c>
      <c r="E686" s="4">
        <v>1</v>
      </c>
      <c r="F686" s="4"/>
      <c r="G686" s="4">
        <v>0</v>
      </c>
      <c r="H686" s="4">
        <v>2</v>
      </c>
      <c r="I686" s="4">
        <v>1</v>
      </c>
      <c r="J686" s="4">
        <v>1</v>
      </c>
      <c r="K686" s="4">
        <v>94</v>
      </c>
      <c r="L686" s="4">
        <v>86</v>
      </c>
      <c r="M686" s="4">
        <v>0</v>
      </c>
      <c r="N686" s="4">
        <v>45037306</v>
      </c>
      <c r="O686" s="4">
        <v>1</v>
      </c>
    </row>
    <row r="687" spans="1:27" x14ac:dyDescent="0.2">
      <c r="A687" s="4">
        <v>75</v>
      </c>
      <c r="B687" s="4" t="s">
        <v>612</v>
      </c>
      <c r="C687" s="4">
        <v>2018</v>
      </c>
      <c r="D687" s="4">
        <v>0</v>
      </c>
      <c r="E687" s="4">
        <v>4</v>
      </c>
      <c r="F687" s="4">
        <v>0</v>
      </c>
      <c r="G687" s="4">
        <v>0</v>
      </c>
      <c r="H687" s="4">
        <v>2</v>
      </c>
      <c r="I687" s="4">
        <v>1</v>
      </c>
      <c r="J687" s="4">
        <v>1</v>
      </c>
      <c r="K687" s="4">
        <v>99</v>
      </c>
      <c r="L687" s="4">
        <v>69</v>
      </c>
      <c r="M687" s="4">
        <v>1</v>
      </c>
      <c r="N687" s="4">
        <v>45037307</v>
      </c>
      <c r="O687" s="4">
        <v>2</v>
      </c>
    </row>
    <row r="688" spans="1:27" x14ac:dyDescent="0.2">
      <c r="A688" s="6">
        <v>1</v>
      </c>
      <c r="B688" s="6" t="s">
        <v>613</v>
      </c>
      <c r="C688" s="6" t="s">
        <v>614</v>
      </c>
      <c r="D688" s="6">
        <v>2018</v>
      </c>
      <c r="E688" s="6">
        <v>4</v>
      </c>
      <c r="F688" s="6">
        <v>1</v>
      </c>
      <c r="G688" s="6">
        <v>1</v>
      </c>
      <c r="H688" s="6">
        <v>0</v>
      </c>
      <c r="I688" s="6">
        <v>2</v>
      </c>
      <c r="J688" s="6">
        <v>1</v>
      </c>
      <c r="K688" s="6">
        <v>1</v>
      </c>
      <c r="L688" s="6">
        <v>1</v>
      </c>
      <c r="M688" s="6">
        <v>1</v>
      </c>
      <c r="N688" s="6">
        <v>1</v>
      </c>
      <c r="O688" s="6">
        <v>1</v>
      </c>
      <c r="P688" s="6">
        <v>1</v>
      </c>
      <c r="Q688" s="6">
        <v>1</v>
      </c>
      <c r="R688" s="6" t="s">
        <v>3</v>
      </c>
      <c r="S688" s="6" t="s">
        <v>3</v>
      </c>
      <c r="T688" s="6" t="s">
        <v>3</v>
      </c>
      <c r="U688" s="6" t="s">
        <v>3</v>
      </c>
      <c r="V688" s="6" t="s">
        <v>3</v>
      </c>
      <c r="W688" s="6" t="s">
        <v>3</v>
      </c>
      <c r="X688" s="6" t="s">
        <v>3</v>
      </c>
      <c r="Y688" s="6" t="s">
        <v>3</v>
      </c>
      <c r="Z688" s="6" t="s">
        <v>3</v>
      </c>
      <c r="AA688" s="6" t="s">
        <v>615</v>
      </c>
    </row>
    <row r="692" spans="1:5" x14ac:dyDescent="0.2">
      <c r="A692">
        <v>65</v>
      </c>
      <c r="C692">
        <v>1</v>
      </c>
      <c r="D692">
        <v>0</v>
      </c>
      <c r="E692">
        <v>245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C53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33" x14ac:dyDescent="0.2">
      <c r="A1">
        <v>0</v>
      </c>
      <c r="B1" t="s">
        <v>0</v>
      </c>
      <c r="D1" t="s">
        <v>616</v>
      </c>
      <c r="F1">
        <v>0</v>
      </c>
      <c r="G1">
        <v>0</v>
      </c>
      <c r="H1">
        <v>0</v>
      </c>
      <c r="I1" t="s">
        <v>2</v>
      </c>
      <c r="J1" t="s">
        <v>3</v>
      </c>
      <c r="K1">
        <v>0</v>
      </c>
      <c r="L1">
        <v>29412</v>
      </c>
      <c r="M1">
        <v>10</v>
      </c>
    </row>
    <row r="12" spans="1:133" x14ac:dyDescent="0.2">
      <c r="A12" s="1">
        <v>1</v>
      </c>
      <c r="B12" s="1">
        <v>51</v>
      </c>
      <c r="C12" s="1">
        <v>0</v>
      </c>
      <c r="D12" s="1"/>
      <c r="E12" s="1">
        <v>0</v>
      </c>
      <c r="F12" s="1" t="s">
        <v>4</v>
      </c>
      <c r="G12" s="1" t="s">
        <v>4</v>
      </c>
      <c r="H12" s="1" t="s">
        <v>3</v>
      </c>
      <c r="I12" s="1">
        <v>0</v>
      </c>
      <c r="J12" s="1" t="s">
        <v>3</v>
      </c>
      <c r="K12" s="1">
        <v>0</v>
      </c>
      <c r="L12" s="1"/>
      <c r="M12" s="1"/>
      <c r="N12" s="1"/>
      <c r="O12" s="1">
        <v>0</v>
      </c>
      <c r="P12" s="1">
        <v>0</v>
      </c>
      <c r="Q12" s="1">
        <v>0</v>
      </c>
      <c r="R12" s="1">
        <v>180</v>
      </c>
      <c r="S12" s="1">
        <v>168</v>
      </c>
      <c r="T12" s="1"/>
      <c r="U12" s="1" t="s">
        <v>3</v>
      </c>
      <c r="V12" s="1">
        <v>0</v>
      </c>
      <c r="W12" s="1" t="s">
        <v>3</v>
      </c>
      <c r="X12" s="1" t="s">
        <v>3</v>
      </c>
      <c r="Y12" s="1" t="s">
        <v>3</v>
      </c>
      <c r="Z12" s="1" t="s">
        <v>3</v>
      </c>
      <c r="AA12" s="1" t="s">
        <v>3</v>
      </c>
      <c r="AB12" s="1" t="s">
        <v>5</v>
      </c>
      <c r="AC12" s="1" t="s">
        <v>6</v>
      </c>
      <c r="AD12" s="1" t="s">
        <v>7</v>
      </c>
      <c r="AE12" s="1" t="s">
        <v>8</v>
      </c>
      <c r="AF12" s="1" t="s">
        <v>3</v>
      </c>
      <c r="AG12" s="1" t="s">
        <v>3</v>
      </c>
      <c r="AH12" s="1" t="s">
        <v>3</v>
      </c>
      <c r="AI12" s="1" t="s">
        <v>3</v>
      </c>
      <c r="AJ12" s="1" t="s">
        <v>3</v>
      </c>
      <c r="AK12" s="1"/>
      <c r="AL12" s="1" t="s">
        <v>3</v>
      </c>
      <c r="AM12" s="1" t="s">
        <v>3</v>
      </c>
      <c r="AN12" s="1" t="s">
        <v>3</v>
      </c>
      <c r="AO12" s="1"/>
      <c r="AP12" s="1" t="s">
        <v>3</v>
      </c>
      <c r="AQ12" s="1" t="s">
        <v>3</v>
      </c>
      <c r="AR12" s="1" t="s">
        <v>3</v>
      </c>
      <c r="AS12" s="1"/>
      <c r="AT12" s="1"/>
      <c r="AU12" s="1"/>
      <c r="AV12" s="1"/>
      <c r="AW12" s="1"/>
      <c r="AX12" s="1" t="s">
        <v>3</v>
      </c>
      <c r="AY12" s="1" t="s">
        <v>3</v>
      </c>
      <c r="AZ12" s="1" t="s">
        <v>3</v>
      </c>
      <c r="BA12" s="1"/>
      <c r="BB12" s="1"/>
      <c r="BC12" s="1"/>
      <c r="BD12" s="1"/>
      <c r="BE12" s="1"/>
      <c r="BF12" s="1"/>
      <c r="BG12" s="1"/>
      <c r="BH12" s="1" t="s">
        <v>9</v>
      </c>
      <c r="BI12" s="1" t="s">
        <v>10</v>
      </c>
      <c r="BJ12" s="1">
        <v>1</v>
      </c>
      <c r="BK12" s="1">
        <v>1</v>
      </c>
      <c r="BL12" s="1">
        <v>0</v>
      </c>
      <c r="BM12" s="1">
        <v>0</v>
      </c>
      <c r="BN12" s="1">
        <v>1</v>
      </c>
      <c r="BO12" s="1">
        <v>0</v>
      </c>
      <c r="BP12" s="1">
        <v>6</v>
      </c>
      <c r="BQ12" s="1">
        <v>2</v>
      </c>
      <c r="BR12" s="1">
        <v>1</v>
      </c>
      <c r="BS12" s="1">
        <v>1</v>
      </c>
      <c r="BT12" s="1">
        <v>0</v>
      </c>
      <c r="BU12" s="1">
        <v>0</v>
      </c>
      <c r="BV12" s="1">
        <v>0</v>
      </c>
      <c r="BW12" s="1">
        <v>0</v>
      </c>
      <c r="BX12" s="1">
        <v>0</v>
      </c>
      <c r="BY12" s="1" t="s">
        <v>11</v>
      </c>
      <c r="BZ12" s="1" t="s">
        <v>12</v>
      </c>
      <c r="CA12" s="1" t="s">
        <v>13</v>
      </c>
      <c r="CB12" s="1" t="s">
        <v>13</v>
      </c>
      <c r="CC12" s="1" t="s">
        <v>13</v>
      </c>
      <c r="CD12" s="1" t="s">
        <v>13</v>
      </c>
      <c r="CE12" s="1" t="s">
        <v>3</v>
      </c>
      <c r="CF12" s="1">
        <v>0</v>
      </c>
      <c r="CG12" s="1">
        <v>0</v>
      </c>
      <c r="CH12" s="1">
        <v>8</v>
      </c>
      <c r="CI12" s="1" t="s">
        <v>3</v>
      </c>
      <c r="CJ12" s="1" t="s">
        <v>3</v>
      </c>
      <c r="CK12" s="1">
        <v>48</v>
      </c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>
        <v>0</v>
      </c>
    </row>
    <row r="14" spans="1:133" x14ac:dyDescent="0.2">
      <c r="A14" s="1">
        <v>22</v>
      </c>
      <c r="B14" s="1">
        <v>0</v>
      </c>
      <c r="C14" s="1">
        <v>0</v>
      </c>
      <c r="D14" s="1">
        <v>45037306</v>
      </c>
      <c r="E14" s="1">
        <v>45037307</v>
      </c>
      <c r="F14" s="1">
        <v>3</v>
      </c>
      <c r="G14" s="1"/>
      <c r="H14" s="1"/>
      <c r="I14" s="1"/>
      <c r="J14" s="1"/>
      <c r="K14" s="1"/>
      <c r="L14" s="1"/>
      <c r="M14" s="1"/>
      <c r="N14" s="1"/>
      <c r="O14" s="1"/>
    </row>
    <row r="16" spans="1:133" x14ac:dyDescent="0.2">
      <c r="A16" s="7">
        <v>3</v>
      </c>
      <c r="B16" s="7">
        <v>1</v>
      </c>
      <c r="C16" s="7" t="s">
        <v>14</v>
      </c>
      <c r="D16" s="7" t="s">
        <v>15</v>
      </c>
      <c r="E16" s="8">
        <f>(Source!F641)/1000</f>
        <v>81.649360000000001</v>
      </c>
      <c r="F16" s="8">
        <f>(Source!F642)/1000</f>
        <v>10.283200000000001</v>
      </c>
      <c r="G16" s="8">
        <f>(Source!F633)/1000</f>
        <v>59.40061</v>
      </c>
      <c r="H16" s="8">
        <f>(Source!F643)/1000+(Source!F644)/1000</f>
        <v>0.21012999999999998</v>
      </c>
      <c r="I16" s="8">
        <f>E16+F16+G16+H16</f>
        <v>151.54329999999999</v>
      </c>
      <c r="J16" s="8">
        <f>(Source!F639)/1000</f>
        <v>1.88456</v>
      </c>
      <c r="T16" s="9">
        <f>(Source!P641)/1000</f>
        <v>303.91164000000003</v>
      </c>
      <c r="U16" s="9">
        <f>(Source!P642)/1000</f>
        <v>54.7592</v>
      </c>
      <c r="V16" s="9">
        <f>(Source!P633)/1000</f>
        <v>247.70054999999999</v>
      </c>
      <c r="W16" s="9">
        <f>(Source!P643)/1000+(Source!P644)/1000</f>
        <v>1.85416</v>
      </c>
      <c r="X16" s="9">
        <f>T16+U16+V16+W16</f>
        <v>608.22555</v>
      </c>
      <c r="Y16" s="9">
        <f>(Source!P639)/1000</f>
        <v>38.44511</v>
      </c>
      <c r="AI16" s="7">
        <v>0</v>
      </c>
      <c r="AJ16" s="7">
        <v>-1</v>
      </c>
      <c r="AK16" s="7" t="s">
        <v>3</v>
      </c>
      <c r="AL16" s="7" t="s">
        <v>3</v>
      </c>
      <c r="AM16" s="7" t="s">
        <v>3</v>
      </c>
      <c r="AN16" s="7">
        <v>0</v>
      </c>
      <c r="AO16" s="7" t="s">
        <v>3</v>
      </c>
      <c r="AP16" s="7" t="s">
        <v>3</v>
      </c>
      <c r="AT16" s="8">
        <v>151320.94</v>
      </c>
      <c r="AU16" s="8">
        <v>148666.95000000001</v>
      </c>
      <c r="AW16" s="8">
        <v>59400.61</v>
      </c>
      <c r="AX16" s="8">
        <v>0</v>
      </c>
      <c r="AY16" s="8">
        <v>769.43</v>
      </c>
      <c r="AZ16" s="8">
        <v>123.55</v>
      </c>
      <c r="BA16" s="8">
        <v>1884.56</v>
      </c>
      <c r="BB16" s="8">
        <v>81649.36</v>
      </c>
      <c r="BC16" s="8">
        <v>10283.200000000001</v>
      </c>
      <c r="BD16" s="8">
        <v>210.13</v>
      </c>
      <c r="BE16" s="8">
        <v>0</v>
      </c>
      <c r="BF16" s="8">
        <v>158.05588764999999</v>
      </c>
      <c r="BG16" s="8">
        <v>0</v>
      </c>
      <c r="BH16" s="8">
        <v>0</v>
      </c>
      <c r="BI16" s="8">
        <v>0</v>
      </c>
      <c r="BJ16" s="8">
        <v>0</v>
      </c>
      <c r="BK16" s="8">
        <v>151543.29999999999</v>
      </c>
      <c r="BR16" s="9">
        <v>559299.99</v>
      </c>
      <c r="BS16" s="9">
        <v>514087.88</v>
      </c>
      <c r="BU16" s="9">
        <v>247700.55</v>
      </c>
      <c r="BV16" s="9">
        <v>0</v>
      </c>
      <c r="BW16" s="9">
        <v>6767</v>
      </c>
      <c r="BX16" s="9">
        <v>2520.1999999999998</v>
      </c>
      <c r="BY16" s="9">
        <v>38445.11</v>
      </c>
      <c r="BZ16" s="9">
        <v>303911.64</v>
      </c>
      <c r="CA16" s="9">
        <v>54759.199999999997</v>
      </c>
      <c r="CB16" s="9">
        <v>1854.16</v>
      </c>
      <c r="CC16" s="9">
        <v>0</v>
      </c>
      <c r="CD16" s="9">
        <v>158.05588764999999</v>
      </c>
      <c r="CE16" s="9">
        <v>0</v>
      </c>
      <c r="CF16" s="9">
        <v>0</v>
      </c>
      <c r="CG16" s="9">
        <v>28929.15</v>
      </c>
      <c r="CH16" s="9">
        <v>15762.45</v>
      </c>
      <c r="CI16" s="9">
        <v>608225.55000000005</v>
      </c>
    </row>
    <row r="18" spans="1:40" x14ac:dyDescent="0.2">
      <c r="A18">
        <v>51</v>
      </c>
      <c r="E18" s="10">
        <f>SUMIF(A16:A17,3,E16:E17)</f>
        <v>81.649360000000001</v>
      </c>
      <c r="F18" s="10">
        <f>SUMIF(A16:A17,3,F16:F17)</f>
        <v>10.283200000000001</v>
      </c>
      <c r="G18" s="10">
        <f>SUMIF(A16:A17,3,G16:G17)</f>
        <v>59.40061</v>
      </c>
      <c r="H18" s="10">
        <f>SUMIF(A16:A17,3,H16:H17)</f>
        <v>0.21012999999999998</v>
      </c>
      <c r="I18" s="10">
        <f>SUMIF(A16:A17,3,I16:I17)</f>
        <v>151.54329999999999</v>
      </c>
      <c r="J18" s="10">
        <f>SUMIF(A16:A17,3,J16:J17)</f>
        <v>1.88456</v>
      </c>
      <c r="K18" s="10"/>
      <c r="L18" s="10"/>
      <c r="M18" s="10"/>
      <c r="N18" s="10"/>
      <c r="O18" s="10"/>
      <c r="P18" s="10"/>
      <c r="Q18" s="10"/>
      <c r="R18" s="10"/>
      <c r="S18" s="10"/>
      <c r="T18" s="3">
        <f>SUMIF(A16:A17,3,T16:T17)</f>
        <v>303.91164000000003</v>
      </c>
      <c r="U18" s="3">
        <f>SUMIF(A16:A17,3,U16:U17)</f>
        <v>54.7592</v>
      </c>
      <c r="V18" s="3">
        <f>SUMIF(A16:A17,3,V16:V17)</f>
        <v>247.70054999999999</v>
      </c>
      <c r="W18" s="3">
        <f>SUMIF(A16:A17,3,W16:W17)</f>
        <v>1.85416</v>
      </c>
      <c r="X18" s="3">
        <f>SUMIF(A16:A17,3,X16:X17)</f>
        <v>608.22555</v>
      </c>
      <c r="Y18" s="3">
        <f>SUMIF(A16:A17,3,Y16:Y17)</f>
        <v>38.44511</v>
      </c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</row>
    <row r="20" spans="1:40" x14ac:dyDescent="0.2">
      <c r="A20" s="5">
        <v>50</v>
      </c>
      <c r="B20" s="5">
        <v>0</v>
      </c>
      <c r="C20" s="5">
        <v>0</v>
      </c>
      <c r="D20" s="5">
        <v>1</v>
      </c>
      <c r="E20" s="5">
        <v>201</v>
      </c>
      <c r="F20" s="5">
        <v>151320.94</v>
      </c>
      <c r="G20" s="5" t="s">
        <v>117</v>
      </c>
      <c r="H20" s="5" t="s">
        <v>118</v>
      </c>
      <c r="I20" s="5"/>
      <c r="J20" s="5"/>
      <c r="K20" s="5">
        <v>201</v>
      </c>
      <c r="L20" s="5">
        <v>1</v>
      </c>
      <c r="M20" s="5">
        <v>3</v>
      </c>
      <c r="N20" s="5" t="s">
        <v>3</v>
      </c>
      <c r="O20" s="5">
        <v>2</v>
      </c>
      <c r="P20" s="5">
        <v>559299.99</v>
      </c>
    </row>
    <row r="21" spans="1:40" x14ac:dyDescent="0.2">
      <c r="A21" s="5">
        <v>50</v>
      </c>
      <c r="B21" s="5">
        <v>0</v>
      </c>
      <c r="C21" s="5">
        <v>0</v>
      </c>
      <c r="D21" s="5">
        <v>1</v>
      </c>
      <c r="E21" s="5">
        <v>202</v>
      </c>
      <c r="F21" s="5">
        <v>148666.95000000001</v>
      </c>
      <c r="G21" s="5" t="s">
        <v>119</v>
      </c>
      <c r="H21" s="5" t="s">
        <v>120</v>
      </c>
      <c r="I21" s="5"/>
      <c r="J21" s="5"/>
      <c r="K21" s="5">
        <v>202</v>
      </c>
      <c r="L21" s="5">
        <v>2</v>
      </c>
      <c r="M21" s="5">
        <v>3</v>
      </c>
      <c r="N21" s="5" t="s">
        <v>3</v>
      </c>
      <c r="O21" s="5">
        <v>2</v>
      </c>
      <c r="P21" s="5">
        <v>514087.88</v>
      </c>
    </row>
    <row r="22" spans="1:40" x14ac:dyDescent="0.2">
      <c r="A22" s="5">
        <v>50</v>
      </c>
      <c r="B22" s="5">
        <v>0</v>
      </c>
      <c r="C22" s="5">
        <v>0</v>
      </c>
      <c r="D22" s="5">
        <v>1</v>
      </c>
      <c r="E22" s="5">
        <v>227</v>
      </c>
      <c r="F22" s="5">
        <v>0</v>
      </c>
      <c r="G22" s="5" t="s">
        <v>121</v>
      </c>
      <c r="H22" s="5" t="s">
        <v>122</v>
      </c>
      <c r="I22" s="5"/>
      <c r="J22" s="5"/>
      <c r="K22" s="5">
        <v>222</v>
      </c>
      <c r="L22" s="5">
        <v>3</v>
      </c>
      <c r="M22" s="5">
        <v>3</v>
      </c>
      <c r="N22" s="5" t="s">
        <v>3</v>
      </c>
      <c r="O22" s="5">
        <v>2</v>
      </c>
      <c r="P22" s="5">
        <v>0</v>
      </c>
    </row>
    <row r="23" spans="1:40" x14ac:dyDescent="0.2">
      <c r="A23" s="5">
        <v>50</v>
      </c>
      <c r="B23" s="5">
        <v>0</v>
      </c>
      <c r="C23" s="5">
        <v>0</v>
      </c>
      <c r="D23" s="5">
        <v>1</v>
      </c>
      <c r="E23" s="5">
        <v>225</v>
      </c>
      <c r="F23" s="5">
        <v>148666.95000000001</v>
      </c>
      <c r="G23" s="5" t="s">
        <v>123</v>
      </c>
      <c r="H23" s="5" t="s">
        <v>124</v>
      </c>
      <c r="I23" s="5"/>
      <c r="J23" s="5"/>
      <c r="K23" s="5">
        <v>225</v>
      </c>
      <c r="L23" s="5">
        <v>4</v>
      </c>
      <c r="M23" s="5">
        <v>3</v>
      </c>
      <c r="N23" s="5" t="s">
        <v>3</v>
      </c>
      <c r="O23" s="5">
        <v>2</v>
      </c>
      <c r="P23" s="5">
        <v>514087.88</v>
      </c>
    </row>
    <row r="24" spans="1:40" x14ac:dyDescent="0.2">
      <c r="A24" s="5">
        <v>50</v>
      </c>
      <c r="B24" s="5">
        <v>0</v>
      </c>
      <c r="C24" s="5">
        <v>0</v>
      </c>
      <c r="D24" s="5">
        <v>1</v>
      </c>
      <c r="E24" s="5">
        <v>226</v>
      </c>
      <c r="F24" s="5">
        <v>89266.34</v>
      </c>
      <c r="G24" s="5" t="s">
        <v>125</v>
      </c>
      <c r="H24" s="5" t="s">
        <v>126</v>
      </c>
      <c r="I24" s="5"/>
      <c r="J24" s="5"/>
      <c r="K24" s="5">
        <v>226</v>
      </c>
      <c r="L24" s="5">
        <v>5</v>
      </c>
      <c r="M24" s="5">
        <v>3</v>
      </c>
      <c r="N24" s="5" t="s">
        <v>3</v>
      </c>
      <c r="O24" s="5">
        <v>2</v>
      </c>
      <c r="P24" s="5">
        <v>266387.33</v>
      </c>
    </row>
    <row r="25" spans="1:40" x14ac:dyDescent="0.2">
      <c r="A25" s="5">
        <v>50</v>
      </c>
      <c r="B25" s="5">
        <v>0</v>
      </c>
      <c r="C25" s="5">
        <v>0</v>
      </c>
      <c r="D25" s="5">
        <v>1</v>
      </c>
      <c r="E25" s="5">
        <v>0</v>
      </c>
      <c r="F25" s="5">
        <v>0</v>
      </c>
      <c r="G25" s="5" t="s">
        <v>127</v>
      </c>
      <c r="H25" s="5" t="s">
        <v>128</v>
      </c>
      <c r="I25" s="5"/>
      <c r="J25" s="5"/>
      <c r="K25" s="5">
        <v>227</v>
      </c>
      <c r="L25" s="5">
        <v>6</v>
      </c>
      <c r="M25" s="5">
        <v>3</v>
      </c>
      <c r="N25" s="5" t="s">
        <v>3</v>
      </c>
      <c r="O25" s="5">
        <v>2</v>
      </c>
      <c r="P25" s="5">
        <v>0</v>
      </c>
    </row>
    <row r="26" spans="1:40" x14ac:dyDescent="0.2">
      <c r="A26" s="5">
        <v>50</v>
      </c>
      <c r="B26" s="5">
        <v>0</v>
      </c>
      <c r="C26" s="5">
        <v>0</v>
      </c>
      <c r="D26" s="5">
        <v>1</v>
      </c>
      <c r="E26" s="5">
        <v>228</v>
      </c>
      <c r="F26" s="5">
        <v>89266.34</v>
      </c>
      <c r="G26" s="5" t="s">
        <v>129</v>
      </c>
      <c r="H26" s="5" t="s">
        <v>130</v>
      </c>
      <c r="I26" s="5"/>
      <c r="J26" s="5"/>
      <c r="K26" s="5">
        <v>228</v>
      </c>
      <c r="L26" s="5">
        <v>7</v>
      </c>
      <c r="M26" s="5">
        <v>3</v>
      </c>
      <c r="N26" s="5" t="s">
        <v>3</v>
      </c>
      <c r="O26" s="5">
        <v>2</v>
      </c>
      <c r="P26" s="5">
        <v>266387.33</v>
      </c>
    </row>
    <row r="27" spans="1:40" x14ac:dyDescent="0.2">
      <c r="A27" s="5">
        <v>50</v>
      </c>
      <c r="B27" s="5">
        <v>0</v>
      </c>
      <c r="C27" s="5">
        <v>0</v>
      </c>
      <c r="D27" s="5">
        <v>1</v>
      </c>
      <c r="E27" s="5">
        <v>216</v>
      </c>
      <c r="F27" s="5">
        <v>59400.61</v>
      </c>
      <c r="G27" s="5" t="s">
        <v>131</v>
      </c>
      <c r="H27" s="5" t="s">
        <v>132</v>
      </c>
      <c r="I27" s="5"/>
      <c r="J27" s="5"/>
      <c r="K27" s="5">
        <v>216</v>
      </c>
      <c r="L27" s="5">
        <v>8</v>
      </c>
      <c r="M27" s="5">
        <v>3</v>
      </c>
      <c r="N27" s="5" t="s">
        <v>3</v>
      </c>
      <c r="O27" s="5">
        <v>2</v>
      </c>
      <c r="P27" s="5">
        <v>247700.55</v>
      </c>
    </row>
    <row r="28" spans="1:40" x14ac:dyDescent="0.2">
      <c r="A28" s="5">
        <v>50</v>
      </c>
      <c r="B28" s="5">
        <v>0</v>
      </c>
      <c r="C28" s="5">
        <v>0</v>
      </c>
      <c r="D28" s="5">
        <v>1</v>
      </c>
      <c r="E28" s="5">
        <v>223</v>
      </c>
      <c r="F28" s="5">
        <v>0</v>
      </c>
      <c r="G28" s="5" t="s">
        <v>133</v>
      </c>
      <c r="H28" s="5" t="s">
        <v>134</v>
      </c>
      <c r="I28" s="5"/>
      <c r="J28" s="5"/>
      <c r="K28" s="5">
        <v>223</v>
      </c>
      <c r="L28" s="5">
        <v>9</v>
      </c>
      <c r="M28" s="5">
        <v>3</v>
      </c>
      <c r="N28" s="5" t="s">
        <v>3</v>
      </c>
      <c r="O28" s="5">
        <v>2</v>
      </c>
      <c r="P28" s="5">
        <v>0</v>
      </c>
    </row>
    <row r="29" spans="1:40" x14ac:dyDescent="0.2">
      <c r="A29" s="5">
        <v>50</v>
      </c>
      <c r="B29" s="5">
        <v>0</v>
      </c>
      <c r="C29" s="5">
        <v>0</v>
      </c>
      <c r="D29" s="5">
        <v>1</v>
      </c>
      <c r="E29" s="5">
        <v>229</v>
      </c>
      <c r="F29" s="5">
        <v>59400.61</v>
      </c>
      <c r="G29" s="5" t="s">
        <v>135</v>
      </c>
      <c r="H29" s="5" t="s">
        <v>136</v>
      </c>
      <c r="I29" s="5"/>
      <c r="J29" s="5"/>
      <c r="K29" s="5">
        <v>229</v>
      </c>
      <c r="L29" s="5">
        <v>10</v>
      </c>
      <c r="M29" s="5">
        <v>3</v>
      </c>
      <c r="N29" s="5" t="s">
        <v>3</v>
      </c>
      <c r="O29" s="5">
        <v>2</v>
      </c>
      <c r="P29" s="5">
        <v>247700.55</v>
      </c>
    </row>
    <row r="30" spans="1:40" x14ac:dyDescent="0.2">
      <c r="A30" s="5">
        <v>50</v>
      </c>
      <c r="B30" s="5">
        <v>0</v>
      </c>
      <c r="C30" s="5">
        <v>0</v>
      </c>
      <c r="D30" s="5">
        <v>1</v>
      </c>
      <c r="E30" s="5">
        <v>203</v>
      </c>
      <c r="F30" s="5">
        <v>769.43</v>
      </c>
      <c r="G30" s="5" t="s">
        <v>137</v>
      </c>
      <c r="H30" s="5" t="s">
        <v>138</v>
      </c>
      <c r="I30" s="5"/>
      <c r="J30" s="5"/>
      <c r="K30" s="5">
        <v>203</v>
      </c>
      <c r="L30" s="5">
        <v>11</v>
      </c>
      <c r="M30" s="5">
        <v>3</v>
      </c>
      <c r="N30" s="5" t="s">
        <v>3</v>
      </c>
      <c r="O30" s="5">
        <v>2</v>
      </c>
      <c r="P30" s="5">
        <v>6767</v>
      </c>
    </row>
    <row r="31" spans="1:40" x14ac:dyDescent="0.2">
      <c r="A31" s="5">
        <v>50</v>
      </c>
      <c r="B31" s="5">
        <v>0</v>
      </c>
      <c r="C31" s="5">
        <v>0</v>
      </c>
      <c r="D31" s="5">
        <v>1</v>
      </c>
      <c r="E31" s="5">
        <v>231</v>
      </c>
      <c r="F31" s="5">
        <v>0</v>
      </c>
      <c r="G31" s="5" t="s">
        <v>139</v>
      </c>
      <c r="H31" s="5" t="s">
        <v>140</v>
      </c>
      <c r="I31" s="5"/>
      <c r="J31" s="5"/>
      <c r="K31" s="5">
        <v>231</v>
      </c>
      <c r="L31" s="5">
        <v>12</v>
      </c>
      <c r="M31" s="5">
        <v>3</v>
      </c>
      <c r="N31" s="5" t="s">
        <v>3</v>
      </c>
      <c r="O31" s="5">
        <v>2</v>
      </c>
      <c r="P31" s="5">
        <v>0</v>
      </c>
    </row>
    <row r="32" spans="1:40" x14ac:dyDescent="0.2">
      <c r="A32" s="5">
        <v>50</v>
      </c>
      <c r="B32" s="5">
        <v>0</v>
      </c>
      <c r="C32" s="5">
        <v>0</v>
      </c>
      <c r="D32" s="5">
        <v>1</v>
      </c>
      <c r="E32" s="5">
        <v>204</v>
      </c>
      <c r="F32" s="5">
        <v>123.55</v>
      </c>
      <c r="G32" s="5" t="s">
        <v>141</v>
      </c>
      <c r="H32" s="5" t="s">
        <v>142</v>
      </c>
      <c r="I32" s="5"/>
      <c r="J32" s="5"/>
      <c r="K32" s="5">
        <v>204</v>
      </c>
      <c r="L32" s="5">
        <v>13</v>
      </c>
      <c r="M32" s="5">
        <v>3</v>
      </c>
      <c r="N32" s="5" t="s">
        <v>3</v>
      </c>
      <c r="O32" s="5">
        <v>2</v>
      </c>
      <c r="P32" s="5">
        <v>2520.1999999999998</v>
      </c>
    </row>
    <row r="33" spans="1:16" x14ac:dyDescent="0.2">
      <c r="A33" s="5">
        <v>50</v>
      </c>
      <c r="B33" s="5">
        <v>0</v>
      </c>
      <c r="C33" s="5">
        <v>0</v>
      </c>
      <c r="D33" s="5">
        <v>1</v>
      </c>
      <c r="E33" s="5">
        <v>205</v>
      </c>
      <c r="F33" s="5">
        <v>1884.56</v>
      </c>
      <c r="G33" s="5" t="s">
        <v>143</v>
      </c>
      <c r="H33" s="5" t="s">
        <v>144</v>
      </c>
      <c r="I33" s="5"/>
      <c r="J33" s="5"/>
      <c r="K33" s="5">
        <v>205</v>
      </c>
      <c r="L33" s="5">
        <v>14</v>
      </c>
      <c r="M33" s="5">
        <v>3</v>
      </c>
      <c r="N33" s="5" t="s">
        <v>3</v>
      </c>
      <c r="O33" s="5">
        <v>2</v>
      </c>
      <c r="P33" s="5">
        <v>38445.11</v>
      </c>
    </row>
    <row r="34" spans="1:16" x14ac:dyDescent="0.2">
      <c r="A34" s="5">
        <v>50</v>
      </c>
      <c r="B34" s="5">
        <v>0</v>
      </c>
      <c r="C34" s="5">
        <v>0</v>
      </c>
      <c r="D34" s="5">
        <v>1</v>
      </c>
      <c r="E34" s="5">
        <v>232</v>
      </c>
      <c r="F34" s="5">
        <v>0</v>
      </c>
      <c r="G34" s="5" t="s">
        <v>145</v>
      </c>
      <c r="H34" s="5" t="s">
        <v>146</v>
      </c>
      <c r="I34" s="5"/>
      <c r="J34" s="5"/>
      <c r="K34" s="5">
        <v>232</v>
      </c>
      <c r="L34" s="5">
        <v>15</v>
      </c>
      <c r="M34" s="5">
        <v>3</v>
      </c>
      <c r="N34" s="5" t="s">
        <v>3</v>
      </c>
      <c r="O34" s="5">
        <v>2</v>
      </c>
      <c r="P34" s="5">
        <v>0</v>
      </c>
    </row>
    <row r="35" spans="1:16" x14ac:dyDescent="0.2">
      <c r="A35" s="5">
        <v>50</v>
      </c>
      <c r="B35" s="5">
        <v>0</v>
      </c>
      <c r="C35" s="5">
        <v>0</v>
      </c>
      <c r="D35" s="5">
        <v>1</v>
      </c>
      <c r="E35" s="5">
        <v>214</v>
      </c>
      <c r="F35" s="5">
        <v>81649.36</v>
      </c>
      <c r="G35" s="5" t="s">
        <v>147</v>
      </c>
      <c r="H35" s="5" t="s">
        <v>148</v>
      </c>
      <c r="I35" s="5"/>
      <c r="J35" s="5"/>
      <c r="K35" s="5">
        <v>214</v>
      </c>
      <c r="L35" s="5">
        <v>16</v>
      </c>
      <c r="M35" s="5">
        <v>3</v>
      </c>
      <c r="N35" s="5" t="s">
        <v>3</v>
      </c>
      <c r="O35" s="5">
        <v>2</v>
      </c>
      <c r="P35" s="5">
        <v>303911.64</v>
      </c>
    </row>
    <row r="36" spans="1:16" x14ac:dyDescent="0.2">
      <c r="A36" s="5">
        <v>50</v>
      </c>
      <c r="B36" s="5">
        <v>0</v>
      </c>
      <c r="C36" s="5">
        <v>0</v>
      </c>
      <c r="D36" s="5">
        <v>1</v>
      </c>
      <c r="E36" s="5">
        <v>215</v>
      </c>
      <c r="F36" s="5">
        <v>10283.200000000001</v>
      </c>
      <c r="G36" s="5" t="s">
        <v>149</v>
      </c>
      <c r="H36" s="5" t="s">
        <v>150</v>
      </c>
      <c r="I36" s="5"/>
      <c r="J36" s="5"/>
      <c r="K36" s="5">
        <v>215</v>
      </c>
      <c r="L36" s="5">
        <v>17</v>
      </c>
      <c r="M36" s="5">
        <v>3</v>
      </c>
      <c r="N36" s="5" t="s">
        <v>3</v>
      </c>
      <c r="O36" s="5">
        <v>2</v>
      </c>
      <c r="P36" s="5">
        <v>54759.199999999997</v>
      </c>
    </row>
    <row r="37" spans="1:16" x14ac:dyDescent="0.2">
      <c r="A37" s="5">
        <v>50</v>
      </c>
      <c r="B37" s="5">
        <v>0</v>
      </c>
      <c r="C37" s="5">
        <v>0</v>
      </c>
      <c r="D37" s="5">
        <v>1</v>
      </c>
      <c r="E37" s="5">
        <v>217</v>
      </c>
      <c r="F37" s="5">
        <v>210.13</v>
      </c>
      <c r="G37" s="5" t="s">
        <v>151</v>
      </c>
      <c r="H37" s="5" t="s">
        <v>152</v>
      </c>
      <c r="I37" s="5"/>
      <c r="J37" s="5"/>
      <c r="K37" s="5">
        <v>217</v>
      </c>
      <c r="L37" s="5">
        <v>18</v>
      </c>
      <c r="M37" s="5">
        <v>3</v>
      </c>
      <c r="N37" s="5" t="s">
        <v>3</v>
      </c>
      <c r="O37" s="5">
        <v>2</v>
      </c>
      <c r="P37" s="5">
        <v>1854.16</v>
      </c>
    </row>
    <row r="38" spans="1:16" x14ac:dyDescent="0.2">
      <c r="A38" s="5">
        <v>50</v>
      </c>
      <c r="B38" s="5">
        <v>0</v>
      </c>
      <c r="C38" s="5">
        <v>0</v>
      </c>
      <c r="D38" s="5">
        <v>1</v>
      </c>
      <c r="E38" s="5">
        <v>230</v>
      </c>
      <c r="F38" s="5">
        <v>0</v>
      </c>
      <c r="G38" s="5" t="s">
        <v>153</v>
      </c>
      <c r="H38" s="5" t="s">
        <v>154</v>
      </c>
      <c r="I38" s="5"/>
      <c r="J38" s="5"/>
      <c r="K38" s="5">
        <v>230</v>
      </c>
      <c r="L38" s="5">
        <v>19</v>
      </c>
      <c r="M38" s="5">
        <v>3</v>
      </c>
      <c r="N38" s="5" t="s">
        <v>3</v>
      </c>
      <c r="O38" s="5">
        <v>2</v>
      </c>
      <c r="P38" s="5">
        <v>0</v>
      </c>
    </row>
    <row r="39" spans="1:16" x14ac:dyDescent="0.2">
      <c r="A39" s="5">
        <v>50</v>
      </c>
      <c r="B39" s="5">
        <v>0</v>
      </c>
      <c r="C39" s="5">
        <v>0</v>
      </c>
      <c r="D39" s="5">
        <v>1</v>
      </c>
      <c r="E39" s="5">
        <v>206</v>
      </c>
      <c r="F39" s="5">
        <v>0</v>
      </c>
      <c r="G39" s="5" t="s">
        <v>155</v>
      </c>
      <c r="H39" s="5" t="s">
        <v>156</v>
      </c>
      <c r="I39" s="5"/>
      <c r="J39" s="5"/>
      <c r="K39" s="5">
        <v>206</v>
      </c>
      <c r="L39" s="5">
        <v>20</v>
      </c>
      <c r="M39" s="5">
        <v>0</v>
      </c>
      <c r="N39" s="5" t="s">
        <v>3</v>
      </c>
      <c r="O39" s="5">
        <v>2</v>
      </c>
      <c r="P39" s="5">
        <v>0</v>
      </c>
    </row>
    <row r="40" spans="1:16" x14ac:dyDescent="0.2">
      <c r="A40" s="5">
        <v>50</v>
      </c>
      <c r="B40" s="5">
        <v>0</v>
      </c>
      <c r="C40" s="5">
        <v>0</v>
      </c>
      <c r="D40" s="5">
        <v>1</v>
      </c>
      <c r="E40" s="5">
        <v>207</v>
      </c>
      <c r="F40" s="5">
        <v>158.05588764999999</v>
      </c>
      <c r="G40" s="5" t="s">
        <v>157</v>
      </c>
      <c r="H40" s="5" t="s">
        <v>158</v>
      </c>
      <c r="I40" s="5"/>
      <c r="J40" s="5"/>
      <c r="K40" s="5">
        <v>207</v>
      </c>
      <c r="L40" s="5">
        <v>21</v>
      </c>
      <c r="M40" s="5">
        <v>3</v>
      </c>
      <c r="N40" s="5" t="s">
        <v>3</v>
      </c>
      <c r="O40" s="5">
        <v>-1</v>
      </c>
      <c r="P40" s="5">
        <v>158.05588764999999</v>
      </c>
    </row>
    <row r="41" spans="1:16" x14ac:dyDescent="0.2">
      <c r="A41" s="5">
        <v>50</v>
      </c>
      <c r="B41" s="5">
        <v>0</v>
      </c>
      <c r="C41" s="5">
        <v>0</v>
      </c>
      <c r="D41" s="5">
        <v>1</v>
      </c>
      <c r="E41" s="5">
        <v>208</v>
      </c>
      <c r="F41" s="5">
        <v>0</v>
      </c>
      <c r="G41" s="5" t="s">
        <v>159</v>
      </c>
      <c r="H41" s="5" t="s">
        <v>160</v>
      </c>
      <c r="I41" s="5"/>
      <c r="J41" s="5"/>
      <c r="K41" s="5">
        <v>208</v>
      </c>
      <c r="L41" s="5">
        <v>22</v>
      </c>
      <c r="M41" s="5">
        <v>3</v>
      </c>
      <c r="N41" s="5" t="s">
        <v>3</v>
      </c>
      <c r="O41" s="5">
        <v>-1</v>
      </c>
      <c r="P41" s="5">
        <v>0</v>
      </c>
    </row>
    <row r="42" spans="1:16" x14ac:dyDescent="0.2">
      <c r="A42" s="5">
        <v>50</v>
      </c>
      <c r="B42" s="5">
        <v>0</v>
      </c>
      <c r="C42" s="5">
        <v>0</v>
      </c>
      <c r="D42" s="5">
        <v>1</v>
      </c>
      <c r="E42" s="5">
        <v>209</v>
      </c>
      <c r="F42" s="5">
        <v>0</v>
      </c>
      <c r="G42" s="5" t="s">
        <v>161</v>
      </c>
      <c r="H42" s="5" t="s">
        <v>162</v>
      </c>
      <c r="I42" s="5"/>
      <c r="J42" s="5"/>
      <c r="K42" s="5">
        <v>209</v>
      </c>
      <c r="L42" s="5">
        <v>23</v>
      </c>
      <c r="M42" s="5">
        <v>3</v>
      </c>
      <c r="N42" s="5" t="s">
        <v>3</v>
      </c>
      <c r="O42" s="5">
        <v>2</v>
      </c>
      <c r="P42" s="5">
        <v>0</v>
      </c>
    </row>
    <row r="43" spans="1:16" x14ac:dyDescent="0.2">
      <c r="A43" s="5">
        <v>50</v>
      </c>
      <c r="B43" s="5">
        <v>0</v>
      </c>
      <c r="C43" s="5">
        <v>0</v>
      </c>
      <c r="D43" s="5">
        <v>1</v>
      </c>
      <c r="E43" s="5">
        <v>210</v>
      </c>
      <c r="F43" s="5">
        <v>0</v>
      </c>
      <c r="G43" s="5" t="s">
        <v>163</v>
      </c>
      <c r="H43" s="5" t="s">
        <v>164</v>
      </c>
      <c r="I43" s="5"/>
      <c r="J43" s="5"/>
      <c r="K43" s="5">
        <v>210</v>
      </c>
      <c r="L43" s="5">
        <v>24</v>
      </c>
      <c r="M43" s="5">
        <v>3</v>
      </c>
      <c r="N43" s="5" t="s">
        <v>3</v>
      </c>
      <c r="O43" s="5">
        <v>2</v>
      </c>
      <c r="P43" s="5">
        <v>28929.15</v>
      </c>
    </row>
    <row r="44" spans="1:16" x14ac:dyDescent="0.2">
      <c r="A44" s="5">
        <v>50</v>
      </c>
      <c r="B44" s="5">
        <v>0</v>
      </c>
      <c r="C44" s="5">
        <v>0</v>
      </c>
      <c r="D44" s="5">
        <v>1</v>
      </c>
      <c r="E44" s="5">
        <v>211</v>
      </c>
      <c r="F44" s="5">
        <v>0</v>
      </c>
      <c r="G44" s="5" t="s">
        <v>165</v>
      </c>
      <c r="H44" s="5" t="s">
        <v>166</v>
      </c>
      <c r="I44" s="5"/>
      <c r="J44" s="5"/>
      <c r="K44" s="5">
        <v>211</v>
      </c>
      <c r="L44" s="5">
        <v>25</v>
      </c>
      <c r="M44" s="5">
        <v>3</v>
      </c>
      <c r="N44" s="5" t="s">
        <v>3</v>
      </c>
      <c r="O44" s="5">
        <v>2</v>
      </c>
      <c r="P44" s="5">
        <v>15762.45</v>
      </c>
    </row>
    <row r="45" spans="1:16" x14ac:dyDescent="0.2">
      <c r="A45" s="5">
        <v>50</v>
      </c>
      <c r="B45" s="5">
        <v>0</v>
      </c>
      <c r="C45" s="5">
        <v>0</v>
      </c>
      <c r="D45" s="5">
        <v>1</v>
      </c>
      <c r="E45" s="5">
        <v>224</v>
      </c>
      <c r="F45" s="5">
        <v>151543.29999999999</v>
      </c>
      <c r="G45" s="5" t="s">
        <v>167</v>
      </c>
      <c r="H45" s="5" t="s">
        <v>168</v>
      </c>
      <c r="I45" s="5"/>
      <c r="J45" s="5"/>
      <c r="K45" s="5">
        <v>224</v>
      </c>
      <c r="L45" s="5">
        <v>26</v>
      </c>
      <c r="M45" s="5">
        <v>3</v>
      </c>
      <c r="N45" s="5" t="s">
        <v>3</v>
      </c>
      <c r="O45" s="5">
        <v>2</v>
      </c>
      <c r="P45" s="5">
        <v>608225.55000000005</v>
      </c>
    </row>
    <row r="46" spans="1:16" x14ac:dyDescent="0.2">
      <c r="A46" s="5">
        <v>50</v>
      </c>
      <c r="B46" s="5">
        <v>0</v>
      </c>
      <c r="C46" s="5">
        <v>0</v>
      </c>
      <c r="D46" s="5">
        <v>2</v>
      </c>
      <c r="E46" s="5">
        <v>0</v>
      </c>
      <c r="F46" s="5">
        <v>0</v>
      </c>
      <c r="G46" s="5" t="s">
        <v>18</v>
      </c>
      <c r="H46" s="5" t="s">
        <v>610</v>
      </c>
      <c r="I46" s="5"/>
      <c r="J46" s="5"/>
      <c r="K46" s="5">
        <v>212</v>
      </c>
      <c r="L46" s="5">
        <v>27</v>
      </c>
      <c r="M46" s="5">
        <v>0</v>
      </c>
      <c r="N46" s="5" t="s">
        <v>3</v>
      </c>
      <c r="O46" s="5">
        <v>-1</v>
      </c>
      <c r="P46" s="5">
        <v>0</v>
      </c>
    </row>
    <row r="48" spans="1:16" x14ac:dyDescent="0.2">
      <c r="A48">
        <v>-1</v>
      </c>
    </row>
    <row r="51" spans="1:27" x14ac:dyDescent="0.2">
      <c r="A51" s="4">
        <v>75</v>
      </c>
      <c r="B51" s="4" t="s">
        <v>611</v>
      </c>
      <c r="C51" s="4">
        <v>2000</v>
      </c>
      <c r="D51" s="4">
        <v>0</v>
      </c>
      <c r="E51" s="4">
        <v>1</v>
      </c>
      <c r="F51" s="4"/>
      <c r="G51" s="4">
        <v>0</v>
      </c>
      <c r="H51" s="4">
        <v>2</v>
      </c>
      <c r="I51" s="4">
        <v>1</v>
      </c>
      <c r="J51" s="4">
        <v>1</v>
      </c>
      <c r="K51" s="4">
        <v>94</v>
      </c>
      <c r="L51" s="4">
        <v>86</v>
      </c>
      <c r="M51" s="4">
        <v>0</v>
      </c>
      <c r="N51" s="4">
        <v>45037306</v>
      </c>
      <c r="O51" s="4">
        <v>1</v>
      </c>
    </row>
    <row r="52" spans="1:27" x14ac:dyDescent="0.2">
      <c r="A52" s="4">
        <v>75</v>
      </c>
      <c r="B52" s="4" t="s">
        <v>612</v>
      </c>
      <c r="C52" s="4">
        <v>2018</v>
      </c>
      <c r="D52" s="4">
        <v>0</v>
      </c>
      <c r="E52" s="4">
        <v>4</v>
      </c>
      <c r="F52" s="4">
        <v>0</v>
      </c>
      <c r="G52" s="4">
        <v>0</v>
      </c>
      <c r="H52" s="4">
        <v>2</v>
      </c>
      <c r="I52" s="4">
        <v>1</v>
      </c>
      <c r="J52" s="4">
        <v>1</v>
      </c>
      <c r="K52" s="4">
        <v>99</v>
      </c>
      <c r="L52" s="4">
        <v>69</v>
      </c>
      <c r="M52" s="4">
        <v>1</v>
      </c>
      <c r="N52" s="4">
        <v>45037307</v>
      </c>
      <c r="O52" s="4">
        <v>2</v>
      </c>
    </row>
    <row r="53" spans="1:27" x14ac:dyDescent="0.2">
      <c r="A53" s="6">
        <v>1</v>
      </c>
      <c r="B53" s="6" t="s">
        <v>613</v>
      </c>
      <c r="C53" s="6" t="s">
        <v>614</v>
      </c>
      <c r="D53" s="6">
        <v>2018</v>
      </c>
      <c r="E53" s="6">
        <v>4</v>
      </c>
      <c r="F53" s="6">
        <v>1</v>
      </c>
      <c r="G53" s="6">
        <v>1</v>
      </c>
      <c r="H53" s="6">
        <v>0</v>
      </c>
      <c r="I53" s="6">
        <v>2</v>
      </c>
      <c r="J53" s="6">
        <v>1</v>
      </c>
      <c r="K53" s="6">
        <v>1</v>
      </c>
      <c r="L53" s="6">
        <v>1</v>
      </c>
      <c r="M53" s="6">
        <v>1</v>
      </c>
      <c r="N53" s="6">
        <v>1</v>
      </c>
      <c r="O53" s="6">
        <v>1</v>
      </c>
      <c r="P53" s="6">
        <v>1</v>
      </c>
      <c r="Q53" s="6">
        <v>1</v>
      </c>
      <c r="R53" s="6" t="s">
        <v>3</v>
      </c>
      <c r="S53" s="6" t="s">
        <v>3</v>
      </c>
      <c r="T53" s="6" t="s">
        <v>3</v>
      </c>
      <c r="U53" s="6" t="s">
        <v>3</v>
      </c>
      <c r="V53" s="6" t="s">
        <v>3</v>
      </c>
      <c r="W53" s="6" t="s">
        <v>3</v>
      </c>
      <c r="X53" s="6" t="s">
        <v>3</v>
      </c>
      <c r="Y53" s="6" t="s">
        <v>3</v>
      </c>
      <c r="Z53" s="6" t="s">
        <v>3</v>
      </c>
      <c r="AA53" s="6" t="s">
        <v>615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428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106" x14ac:dyDescent="0.2">
      <c r="A1">
        <f>ROW(Source!A28)</f>
        <v>28</v>
      </c>
      <c r="B1">
        <v>45037306</v>
      </c>
      <c r="C1">
        <v>45037417</v>
      </c>
      <c r="D1">
        <v>22652952</v>
      </c>
      <c r="E1">
        <v>22652947</v>
      </c>
      <c r="F1">
        <v>1</v>
      </c>
      <c r="G1">
        <v>22652947</v>
      </c>
      <c r="H1">
        <v>1</v>
      </c>
      <c r="I1" t="s">
        <v>617</v>
      </c>
      <c r="J1" t="s">
        <v>3</v>
      </c>
      <c r="K1" t="s">
        <v>618</v>
      </c>
      <c r="L1">
        <v>1191</v>
      </c>
      <c r="N1">
        <v>1013</v>
      </c>
      <c r="O1" t="s">
        <v>619</v>
      </c>
      <c r="P1" t="s">
        <v>619</v>
      </c>
      <c r="Q1">
        <v>1</v>
      </c>
      <c r="W1">
        <v>0</v>
      </c>
      <c r="X1">
        <v>476480486</v>
      </c>
      <c r="Y1">
        <v>155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0</v>
      </c>
      <c r="AI1">
        <v>1</v>
      </c>
      <c r="AJ1">
        <v>1</v>
      </c>
      <c r="AK1">
        <v>1</v>
      </c>
      <c r="AL1">
        <v>1</v>
      </c>
      <c r="AN1">
        <v>0</v>
      </c>
      <c r="AO1">
        <v>1</v>
      </c>
      <c r="AP1">
        <v>0</v>
      </c>
      <c r="AQ1">
        <v>0</v>
      </c>
      <c r="AR1">
        <v>0</v>
      </c>
      <c r="AS1" t="s">
        <v>3</v>
      </c>
      <c r="AT1">
        <v>155</v>
      </c>
      <c r="AU1" t="s">
        <v>3</v>
      </c>
      <c r="AV1">
        <v>1</v>
      </c>
      <c r="AW1">
        <v>2</v>
      </c>
      <c r="AX1">
        <v>45038487</v>
      </c>
      <c r="AY1">
        <v>1</v>
      </c>
      <c r="AZ1">
        <v>0</v>
      </c>
      <c r="BA1">
        <v>1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0</v>
      </c>
      <c r="BJ1">
        <v>0</v>
      </c>
      <c r="BK1">
        <v>0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CX1">
        <f>Y1*Source!I28</f>
        <v>1.50505</v>
      </c>
      <c r="CY1">
        <f>AD1</f>
        <v>0</v>
      </c>
      <c r="CZ1">
        <f>AH1</f>
        <v>0</v>
      </c>
      <c r="DA1">
        <f>AL1</f>
        <v>1</v>
      </c>
      <c r="DB1">
        <v>0</v>
      </c>
    </row>
    <row r="2" spans="1:106" x14ac:dyDescent="0.2">
      <c r="A2">
        <f>ROW(Source!A28)</f>
        <v>28</v>
      </c>
      <c r="B2">
        <v>45037306</v>
      </c>
      <c r="C2">
        <v>45037417</v>
      </c>
      <c r="D2">
        <v>22725479</v>
      </c>
      <c r="E2">
        <v>1</v>
      </c>
      <c r="F2">
        <v>1</v>
      </c>
      <c r="G2">
        <v>22652947</v>
      </c>
      <c r="H2">
        <v>2</v>
      </c>
      <c r="I2" t="s">
        <v>620</v>
      </c>
      <c r="J2" t="s">
        <v>621</v>
      </c>
      <c r="K2" t="s">
        <v>622</v>
      </c>
      <c r="L2">
        <v>1367</v>
      </c>
      <c r="N2">
        <v>1011</v>
      </c>
      <c r="O2" t="s">
        <v>623</v>
      </c>
      <c r="P2" t="s">
        <v>623</v>
      </c>
      <c r="Q2">
        <v>1</v>
      </c>
      <c r="W2">
        <v>0</v>
      </c>
      <c r="X2">
        <v>-1426791</v>
      </c>
      <c r="Y2">
        <v>37.5</v>
      </c>
      <c r="AA2">
        <v>0</v>
      </c>
      <c r="AB2">
        <v>60.77</v>
      </c>
      <c r="AC2">
        <v>18.48</v>
      </c>
      <c r="AD2">
        <v>0</v>
      </c>
      <c r="AE2">
        <v>0</v>
      </c>
      <c r="AF2">
        <v>60.77</v>
      </c>
      <c r="AG2">
        <v>18.48</v>
      </c>
      <c r="AH2">
        <v>0</v>
      </c>
      <c r="AI2">
        <v>1</v>
      </c>
      <c r="AJ2">
        <v>1</v>
      </c>
      <c r="AK2">
        <v>1</v>
      </c>
      <c r="AL2">
        <v>1</v>
      </c>
      <c r="AN2">
        <v>0</v>
      </c>
      <c r="AO2">
        <v>1</v>
      </c>
      <c r="AP2">
        <v>0</v>
      </c>
      <c r="AQ2">
        <v>0</v>
      </c>
      <c r="AR2">
        <v>0</v>
      </c>
      <c r="AS2" t="s">
        <v>3</v>
      </c>
      <c r="AT2">
        <v>37.5</v>
      </c>
      <c r="AU2" t="s">
        <v>3</v>
      </c>
      <c r="AV2">
        <v>0</v>
      </c>
      <c r="AW2">
        <v>2</v>
      </c>
      <c r="AX2">
        <v>45038488</v>
      </c>
      <c r="AY2">
        <v>1</v>
      </c>
      <c r="AZ2">
        <v>0</v>
      </c>
      <c r="BA2">
        <v>2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CX2">
        <f>Y2*Source!I28</f>
        <v>0.36412499999999998</v>
      </c>
      <c r="CY2">
        <f>AB2</f>
        <v>60.77</v>
      </c>
      <c r="CZ2">
        <f>AF2</f>
        <v>60.77</v>
      </c>
      <c r="DA2">
        <f>AJ2</f>
        <v>1</v>
      </c>
      <c r="DB2">
        <v>0</v>
      </c>
    </row>
    <row r="3" spans="1:106" x14ac:dyDescent="0.2">
      <c r="A3">
        <f>ROW(Source!A28)</f>
        <v>28</v>
      </c>
      <c r="B3">
        <v>45037306</v>
      </c>
      <c r="C3">
        <v>45037417</v>
      </c>
      <c r="D3">
        <v>22725938</v>
      </c>
      <c r="E3">
        <v>1</v>
      </c>
      <c r="F3">
        <v>1</v>
      </c>
      <c r="G3">
        <v>22652947</v>
      </c>
      <c r="H3">
        <v>2</v>
      </c>
      <c r="I3" t="s">
        <v>624</v>
      </c>
      <c r="J3" t="s">
        <v>625</v>
      </c>
      <c r="K3" t="s">
        <v>626</v>
      </c>
      <c r="L3">
        <v>1367</v>
      </c>
      <c r="N3">
        <v>1011</v>
      </c>
      <c r="O3" t="s">
        <v>623</v>
      </c>
      <c r="P3" t="s">
        <v>623</v>
      </c>
      <c r="Q3">
        <v>1</v>
      </c>
      <c r="W3">
        <v>0</v>
      </c>
      <c r="X3">
        <v>-48163219</v>
      </c>
      <c r="Y3">
        <v>75</v>
      </c>
      <c r="AA3">
        <v>0</v>
      </c>
      <c r="AB3">
        <v>3.16</v>
      </c>
      <c r="AC3">
        <v>0.04</v>
      </c>
      <c r="AD3">
        <v>0</v>
      </c>
      <c r="AE3">
        <v>0</v>
      </c>
      <c r="AF3">
        <v>3.16</v>
      </c>
      <c r="AG3">
        <v>0.04</v>
      </c>
      <c r="AH3">
        <v>0</v>
      </c>
      <c r="AI3">
        <v>1</v>
      </c>
      <c r="AJ3">
        <v>1</v>
      </c>
      <c r="AK3">
        <v>1</v>
      </c>
      <c r="AL3">
        <v>1</v>
      </c>
      <c r="AN3">
        <v>0</v>
      </c>
      <c r="AO3">
        <v>1</v>
      </c>
      <c r="AP3">
        <v>0</v>
      </c>
      <c r="AQ3">
        <v>0</v>
      </c>
      <c r="AR3">
        <v>0</v>
      </c>
      <c r="AS3" t="s">
        <v>3</v>
      </c>
      <c r="AT3">
        <v>75</v>
      </c>
      <c r="AU3" t="s">
        <v>3</v>
      </c>
      <c r="AV3">
        <v>0</v>
      </c>
      <c r="AW3">
        <v>2</v>
      </c>
      <c r="AX3">
        <v>45038489</v>
      </c>
      <c r="AY3">
        <v>1</v>
      </c>
      <c r="AZ3">
        <v>0</v>
      </c>
      <c r="BA3">
        <v>3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CX3">
        <f>Y3*Source!I28</f>
        <v>0.72824999999999995</v>
      </c>
      <c r="CY3">
        <f>AB3</f>
        <v>3.16</v>
      </c>
      <c r="CZ3">
        <f>AF3</f>
        <v>3.16</v>
      </c>
      <c r="DA3">
        <f>AJ3</f>
        <v>1</v>
      </c>
      <c r="DB3">
        <v>0</v>
      </c>
    </row>
    <row r="4" spans="1:106" x14ac:dyDescent="0.2">
      <c r="A4">
        <f>ROW(Source!A28)</f>
        <v>28</v>
      </c>
      <c r="B4">
        <v>45037306</v>
      </c>
      <c r="C4">
        <v>45037417</v>
      </c>
      <c r="D4">
        <v>22725314</v>
      </c>
      <c r="E4">
        <v>1</v>
      </c>
      <c r="F4">
        <v>1</v>
      </c>
      <c r="G4">
        <v>22652947</v>
      </c>
      <c r="H4">
        <v>2</v>
      </c>
      <c r="I4" t="s">
        <v>627</v>
      </c>
      <c r="J4" t="s">
        <v>628</v>
      </c>
      <c r="K4" t="s">
        <v>629</v>
      </c>
      <c r="L4">
        <v>1367</v>
      </c>
      <c r="N4">
        <v>1011</v>
      </c>
      <c r="O4" t="s">
        <v>623</v>
      </c>
      <c r="P4" t="s">
        <v>623</v>
      </c>
      <c r="Q4">
        <v>1</v>
      </c>
      <c r="W4">
        <v>0</v>
      </c>
      <c r="X4">
        <v>856318566</v>
      </c>
      <c r="Y4">
        <v>1.55</v>
      </c>
      <c r="AA4">
        <v>0</v>
      </c>
      <c r="AB4">
        <v>125.13</v>
      </c>
      <c r="AC4">
        <v>24.74</v>
      </c>
      <c r="AD4">
        <v>0</v>
      </c>
      <c r="AE4">
        <v>0</v>
      </c>
      <c r="AF4">
        <v>125.13</v>
      </c>
      <c r="AG4">
        <v>24.74</v>
      </c>
      <c r="AH4">
        <v>0</v>
      </c>
      <c r="AI4">
        <v>1</v>
      </c>
      <c r="AJ4">
        <v>1</v>
      </c>
      <c r="AK4">
        <v>1</v>
      </c>
      <c r="AL4">
        <v>1</v>
      </c>
      <c r="AN4">
        <v>0</v>
      </c>
      <c r="AO4">
        <v>1</v>
      </c>
      <c r="AP4">
        <v>0</v>
      </c>
      <c r="AQ4">
        <v>0</v>
      </c>
      <c r="AR4">
        <v>0</v>
      </c>
      <c r="AS4" t="s">
        <v>3</v>
      </c>
      <c r="AT4">
        <v>1.55</v>
      </c>
      <c r="AU4" t="s">
        <v>3</v>
      </c>
      <c r="AV4">
        <v>0</v>
      </c>
      <c r="AW4">
        <v>2</v>
      </c>
      <c r="AX4">
        <v>45038490</v>
      </c>
      <c r="AY4">
        <v>1</v>
      </c>
      <c r="AZ4">
        <v>0</v>
      </c>
      <c r="BA4">
        <v>4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CX4">
        <f>Y4*Source!I28</f>
        <v>1.50505E-2</v>
      </c>
      <c r="CY4">
        <f>AB4</f>
        <v>125.13</v>
      </c>
      <c r="CZ4">
        <f>AF4</f>
        <v>125.13</v>
      </c>
      <c r="DA4">
        <f>AJ4</f>
        <v>1</v>
      </c>
      <c r="DB4">
        <v>0</v>
      </c>
    </row>
    <row r="5" spans="1:106" x14ac:dyDescent="0.2">
      <c r="A5">
        <f>ROW(Source!A28)</f>
        <v>28</v>
      </c>
      <c r="B5">
        <v>45037306</v>
      </c>
      <c r="C5">
        <v>45037417</v>
      </c>
      <c r="D5">
        <v>22653672</v>
      </c>
      <c r="E5">
        <v>22652947</v>
      </c>
      <c r="F5">
        <v>1</v>
      </c>
      <c r="G5">
        <v>22652947</v>
      </c>
      <c r="H5">
        <v>2</v>
      </c>
      <c r="I5" t="s">
        <v>630</v>
      </c>
      <c r="J5" t="s">
        <v>3</v>
      </c>
      <c r="K5" t="s">
        <v>631</v>
      </c>
      <c r="L5">
        <v>1344</v>
      </c>
      <c r="N5">
        <v>1008</v>
      </c>
      <c r="O5" t="s">
        <v>632</v>
      </c>
      <c r="P5" t="s">
        <v>632</v>
      </c>
      <c r="Q5">
        <v>1</v>
      </c>
      <c r="W5">
        <v>0</v>
      </c>
      <c r="X5">
        <v>-1180195794</v>
      </c>
      <c r="Y5">
        <v>3.72</v>
      </c>
      <c r="AA5">
        <v>0</v>
      </c>
      <c r="AB5">
        <v>1</v>
      </c>
      <c r="AC5">
        <v>0</v>
      </c>
      <c r="AD5">
        <v>0</v>
      </c>
      <c r="AE5">
        <v>0</v>
      </c>
      <c r="AF5">
        <v>1</v>
      </c>
      <c r="AG5">
        <v>0</v>
      </c>
      <c r="AH5">
        <v>0</v>
      </c>
      <c r="AI5">
        <v>1</v>
      </c>
      <c r="AJ5">
        <v>1</v>
      </c>
      <c r="AK5">
        <v>1</v>
      </c>
      <c r="AL5">
        <v>1</v>
      </c>
      <c r="AN5">
        <v>0</v>
      </c>
      <c r="AO5">
        <v>1</v>
      </c>
      <c r="AP5">
        <v>0</v>
      </c>
      <c r="AQ5">
        <v>0</v>
      </c>
      <c r="AR5">
        <v>0</v>
      </c>
      <c r="AS5" t="s">
        <v>3</v>
      </c>
      <c r="AT5">
        <v>3.72</v>
      </c>
      <c r="AU5" t="s">
        <v>3</v>
      </c>
      <c r="AV5">
        <v>0</v>
      </c>
      <c r="AW5">
        <v>2</v>
      </c>
      <c r="AX5">
        <v>45038491</v>
      </c>
      <c r="AY5">
        <v>1</v>
      </c>
      <c r="AZ5">
        <v>0</v>
      </c>
      <c r="BA5">
        <v>5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CX5">
        <f>Y5*Source!I28</f>
        <v>3.6121199999999999E-2</v>
      </c>
      <c r="CY5">
        <f>AB5</f>
        <v>1</v>
      </c>
      <c r="CZ5">
        <f>AF5</f>
        <v>1</v>
      </c>
      <c r="DA5">
        <f>AJ5</f>
        <v>1</v>
      </c>
      <c r="DB5">
        <v>0</v>
      </c>
    </row>
    <row r="6" spans="1:106" x14ac:dyDescent="0.2">
      <c r="A6">
        <f>ROW(Source!A28)</f>
        <v>28</v>
      </c>
      <c r="B6">
        <v>45037306</v>
      </c>
      <c r="C6">
        <v>45037417</v>
      </c>
      <c r="D6">
        <v>22674637</v>
      </c>
      <c r="E6">
        <v>22652947</v>
      </c>
      <c r="F6">
        <v>1</v>
      </c>
      <c r="G6">
        <v>22652947</v>
      </c>
      <c r="H6">
        <v>3</v>
      </c>
      <c r="I6" t="s">
        <v>27</v>
      </c>
      <c r="J6" t="s">
        <v>3</v>
      </c>
      <c r="K6" t="s">
        <v>28</v>
      </c>
      <c r="L6">
        <v>1348</v>
      </c>
      <c r="N6">
        <v>1009</v>
      </c>
      <c r="O6" t="s">
        <v>29</v>
      </c>
      <c r="P6" t="s">
        <v>29</v>
      </c>
      <c r="Q6">
        <v>1000</v>
      </c>
      <c r="W6">
        <v>0</v>
      </c>
      <c r="X6">
        <v>-269224915</v>
      </c>
      <c r="Y6">
        <v>0.30896000000000001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1</v>
      </c>
      <c r="AJ6">
        <v>1</v>
      </c>
      <c r="AK6">
        <v>1</v>
      </c>
      <c r="AL6">
        <v>1</v>
      </c>
      <c r="AN6">
        <v>0</v>
      </c>
      <c r="AO6">
        <v>0</v>
      </c>
      <c r="AP6">
        <v>0</v>
      </c>
      <c r="AQ6">
        <v>0</v>
      </c>
      <c r="AR6">
        <v>0</v>
      </c>
      <c r="AS6" t="s">
        <v>3</v>
      </c>
      <c r="AT6">
        <v>0.30896000000000001</v>
      </c>
      <c r="AU6" t="s">
        <v>3</v>
      </c>
      <c r="AV6">
        <v>0</v>
      </c>
      <c r="AW6">
        <v>1</v>
      </c>
      <c r="AX6">
        <v>-1</v>
      </c>
      <c r="AY6">
        <v>0</v>
      </c>
      <c r="AZ6">
        <v>0</v>
      </c>
      <c r="BA6" t="s">
        <v>3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CX6">
        <f>Y6*Source!I28</f>
        <v>3.0000016000000002E-3</v>
      </c>
      <c r="CY6">
        <f>AA6</f>
        <v>0</v>
      </c>
      <c r="CZ6">
        <f>AE6</f>
        <v>0</v>
      </c>
      <c r="DA6">
        <f>AI6</f>
        <v>1</v>
      </c>
      <c r="DB6">
        <v>0</v>
      </c>
    </row>
    <row r="7" spans="1:106" x14ac:dyDescent="0.2">
      <c r="A7">
        <f>ROW(Source!A29)</f>
        <v>29</v>
      </c>
      <c r="B7">
        <v>45037307</v>
      </c>
      <c r="C7">
        <v>45037417</v>
      </c>
      <c r="D7">
        <v>22652952</v>
      </c>
      <c r="E7">
        <v>22652947</v>
      </c>
      <c r="F7">
        <v>1</v>
      </c>
      <c r="G7">
        <v>22652947</v>
      </c>
      <c r="H7">
        <v>1</v>
      </c>
      <c r="I7" t="s">
        <v>617</v>
      </c>
      <c r="J7" t="s">
        <v>3</v>
      </c>
      <c r="K7" t="s">
        <v>618</v>
      </c>
      <c r="L7">
        <v>1191</v>
      </c>
      <c r="N7">
        <v>1013</v>
      </c>
      <c r="O7" t="s">
        <v>619</v>
      </c>
      <c r="P7" t="s">
        <v>619</v>
      </c>
      <c r="Q7">
        <v>1</v>
      </c>
      <c r="W7">
        <v>0</v>
      </c>
      <c r="X7">
        <v>476480486</v>
      </c>
      <c r="Y7">
        <v>155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1</v>
      </c>
      <c r="AJ7">
        <v>1</v>
      </c>
      <c r="AK7">
        <v>1</v>
      </c>
      <c r="AL7">
        <v>1</v>
      </c>
      <c r="AN7">
        <v>0</v>
      </c>
      <c r="AO7">
        <v>1</v>
      </c>
      <c r="AP7">
        <v>0</v>
      </c>
      <c r="AQ7">
        <v>0</v>
      </c>
      <c r="AR7">
        <v>0</v>
      </c>
      <c r="AS7" t="s">
        <v>3</v>
      </c>
      <c r="AT7">
        <v>155</v>
      </c>
      <c r="AU7" t="s">
        <v>3</v>
      </c>
      <c r="AV7">
        <v>1</v>
      </c>
      <c r="AW7">
        <v>2</v>
      </c>
      <c r="AX7">
        <v>45038487</v>
      </c>
      <c r="AY7">
        <v>1</v>
      </c>
      <c r="AZ7">
        <v>0</v>
      </c>
      <c r="BA7">
        <v>6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CX7">
        <f>Y7*Source!I29</f>
        <v>1.50505</v>
      </c>
      <c r="CY7">
        <f>AD7</f>
        <v>0</v>
      </c>
      <c r="CZ7">
        <f>AH7</f>
        <v>0</v>
      </c>
      <c r="DA7">
        <f>AL7</f>
        <v>1</v>
      </c>
      <c r="DB7">
        <v>0</v>
      </c>
    </row>
    <row r="8" spans="1:106" x14ac:dyDescent="0.2">
      <c r="A8">
        <f>ROW(Source!A29)</f>
        <v>29</v>
      </c>
      <c r="B8">
        <v>45037307</v>
      </c>
      <c r="C8">
        <v>45037417</v>
      </c>
      <c r="D8">
        <v>22725479</v>
      </c>
      <c r="E8">
        <v>1</v>
      </c>
      <c r="F8">
        <v>1</v>
      </c>
      <c r="G8">
        <v>22652947</v>
      </c>
      <c r="H8">
        <v>2</v>
      </c>
      <c r="I8" t="s">
        <v>620</v>
      </c>
      <c r="J8" t="s">
        <v>621</v>
      </c>
      <c r="K8" t="s">
        <v>622</v>
      </c>
      <c r="L8">
        <v>1367</v>
      </c>
      <c r="N8">
        <v>1011</v>
      </c>
      <c r="O8" t="s">
        <v>623</v>
      </c>
      <c r="P8" t="s">
        <v>623</v>
      </c>
      <c r="Q8">
        <v>1</v>
      </c>
      <c r="W8">
        <v>0</v>
      </c>
      <c r="X8">
        <v>-1426791</v>
      </c>
      <c r="Y8">
        <v>37.5</v>
      </c>
      <c r="AA8">
        <v>0</v>
      </c>
      <c r="AB8">
        <v>621.67999999999995</v>
      </c>
      <c r="AC8">
        <v>376.99</v>
      </c>
      <c r="AD8">
        <v>0</v>
      </c>
      <c r="AE8">
        <v>0</v>
      </c>
      <c r="AF8">
        <v>60.77</v>
      </c>
      <c r="AG8">
        <v>18.48</v>
      </c>
      <c r="AH8">
        <v>0</v>
      </c>
      <c r="AI8">
        <v>1</v>
      </c>
      <c r="AJ8">
        <v>10.23</v>
      </c>
      <c r="AK8">
        <v>20.399999999999999</v>
      </c>
      <c r="AL8">
        <v>1</v>
      </c>
      <c r="AN8">
        <v>0</v>
      </c>
      <c r="AO8">
        <v>1</v>
      </c>
      <c r="AP8">
        <v>0</v>
      </c>
      <c r="AQ8">
        <v>0</v>
      </c>
      <c r="AR8">
        <v>0</v>
      </c>
      <c r="AS8" t="s">
        <v>3</v>
      </c>
      <c r="AT8">
        <v>37.5</v>
      </c>
      <c r="AU8" t="s">
        <v>3</v>
      </c>
      <c r="AV8">
        <v>0</v>
      </c>
      <c r="AW8">
        <v>2</v>
      </c>
      <c r="AX8">
        <v>45038488</v>
      </c>
      <c r="AY8">
        <v>1</v>
      </c>
      <c r="AZ8">
        <v>0</v>
      </c>
      <c r="BA8">
        <v>7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CX8">
        <f>Y8*Source!I29</f>
        <v>0.36412499999999998</v>
      </c>
      <c r="CY8">
        <f>AB8</f>
        <v>621.67999999999995</v>
      </c>
      <c r="CZ8">
        <f>AF8</f>
        <v>60.77</v>
      </c>
      <c r="DA8">
        <f>AJ8</f>
        <v>10.23</v>
      </c>
      <c r="DB8">
        <v>0</v>
      </c>
    </row>
    <row r="9" spans="1:106" x14ac:dyDescent="0.2">
      <c r="A9">
        <f>ROW(Source!A29)</f>
        <v>29</v>
      </c>
      <c r="B9">
        <v>45037307</v>
      </c>
      <c r="C9">
        <v>45037417</v>
      </c>
      <c r="D9">
        <v>22725938</v>
      </c>
      <c r="E9">
        <v>1</v>
      </c>
      <c r="F9">
        <v>1</v>
      </c>
      <c r="G9">
        <v>22652947</v>
      </c>
      <c r="H9">
        <v>2</v>
      </c>
      <c r="I9" t="s">
        <v>624</v>
      </c>
      <c r="J9" t="s">
        <v>625</v>
      </c>
      <c r="K9" t="s">
        <v>626</v>
      </c>
      <c r="L9">
        <v>1367</v>
      </c>
      <c r="N9">
        <v>1011</v>
      </c>
      <c r="O9" t="s">
        <v>623</v>
      </c>
      <c r="P9" t="s">
        <v>623</v>
      </c>
      <c r="Q9">
        <v>1</v>
      </c>
      <c r="W9">
        <v>0</v>
      </c>
      <c r="X9">
        <v>-48163219</v>
      </c>
      <c r="Y9">
        <v>75</v>
      </c>
      <c r="AA9">
        <v>0</v>
      </c>
      <c r="AB9">
        <v>4.9000000000000004</v>
      </c>
      <c r="AC9">
        <v>0.82</v>
      </c>
      <c r="AD9">
        <v>0</v>
      </c>
      <c r="AE9">
        <v>0</v>
      </c>
      <c r="AF9">
        <v>3.16</v>
      </c>
      <c r="AG9">
        <v>0.04</v>
      </c>
      <c r="AH9">
        <v>0</v>
      </c>
      <c r="AI9">
        <v>1</v>
      </c>
      <c r="AJ9">
        <v>1.55</v>
      </c>
      <c r="AK9">
        <v>20.399999999999999</v>
      </c>
      <c r="AL9">
        <v>1</v>
      </c>
      <c r="AN9">
        <v>0</v>
      </c>
      <c r="AO9">
        <v>1</v>
      </c>
      <c r="AP9">
        <v>0</v>
      </c>
      <c r="AQ9">
        <v>0</v>
      </c>
      <c r="AR9">
        <v>0</v>
      </c>
      <c r="AS9" t="s">
        <v>3</v>
      </c>
      <c r="AT9">
        <v>75</v>
      </c>
      <c r="AU9" t="s">
        <v>3</v>
      </c>
      <c r="AV9">
        <v>0</v>
      </c>
      <c r="AW9">
        <v>2</v>
      </c>
      <c r="AX9">
        <v>45038489</v>
      </c>
      <c r="AY9">
        <v>1</v>
      </c>
      <c r="AZ9">
        <v>0</v>
      </c>
      <c r="BA9">
        <v>8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CX9">
        <f>Y9*Source!I29</f>
        <v>0.72824999999999995</v>
      </c>
      <c r="CY9">
        <f>AB9</f>
        <v>4.9000000000000004</v>
      </c>
      <c r="CZ9">
        <f>AF9</f>
        <v>3.16</v>
      </c>
      <c r="DA9">
        <f>AJ9</f>
        <v>1.55</v>
      </c>
      <c r="DB9">
        <v>0</v>
      </c>
    </row>
    <row r="10" spans="1:106" x14ac:dyDescent="0.2">
      <c r="A10">
        <f>ROW(Source!A29)</f>
        <v>29</v>
      </c>
      <c r="B10">
        <v>45037307</v>
      </c>
      <c r="C10">
        <v>45037417</v>
      </c>
      <c r="D10">
        <v>22725314</v>
      </c>
      <c r="E10">
        <v>1</v>
      </c>
      <c r="F10">
        <v>1</v>
      </c>
      <c r="G10">
        <v>22652947</v>
      </c>
      <c r="H10">
        <v>2</v>
      </c>
      <c r="I10" t="s">
        <v>627</v>
      </c>
      <c r="J10" t="s">
        <v>628</v>
      </c>
      <c r="K10" t="s">
        <v>629</v>
      </c>
      <c r="L10">
        <v>1367</v>
      </c>
      <c r="N10">
        <v>1011</v>
      </c>
      <c r="O10" t="s">
        <v>623</v>
      </c>
      <c r="P10" t="s">
        <v>623</v>
      </c>
      <c r="Q10">
        <v>1</v>
      </c>
      <c r="W10">
        <v>0</v>
      </c>
      <c r="X10">
        <v>856318566</v>
      </c>
      <c r="Y10">
        <v>1.55</v>
      </c>
      <c r="AA10">
        <v>0</v>
      </c>
      <c r="AB10">
        <v>1241.29</v>
      </c>
      <c r="AC10">
        <v>504.7</v>
      </c>
      <c r="AD10">
        <v>0</v>
      </c>
      <c r="AE10">
        <v>0</v>
      </c>
      <c r="AF10">
        <v>125.13</v>
      </c>
      <c r="AG10">
        <v>24.74</v>
      </c>
      <c r="AH10">
        <v>0</v>
      </c>
      <c r="AI10">
        <v>1</v>
      </c>
      <c r="AJ10">
        <v>9.92</v>
      </c>
      <c r="AK10">
        <v>20.399999999999999</v>
      </c>
      <c r="AL10">
        <v>1</v>
      </c>
      <c r="AN10">
        <v>0</v>
      </c>
      <c r="AO10">
        <v>1</v>
      </c>
      <c r="AP10">
        <v>0</v>
      </c>
      <c r="AQ10">
        <v>0</v>
      </c>
      <c r="AR10">
        <v>0</v>
      </c>
      <c r="AS10" t="s">
        <v>3</v>
      </c>
      <c r="AT10">
        <v>1.55</v>
      </c>
      <c r="AU10" t="s">
        <v>3</v>
      </c>
      <c r="AV10">
        <v>0</v>
      </c>
      <c r="AW10">
        <v>2</v>
      </c>
      <c r="AX10">
        <v>45038490</v>
      </c>
      <c r="AY10">
        <v>1</v>
      </c>
      <c r="AZ10">
        <v>0</v>
      </c>
      <c r="BA10">
        <v>9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CX10">
        <f>Y10*Source!I29</f>
        <v>1.50505E-2</v>
      </c>
      <c r="CY10">
        <f>AB10</f>
        <v>1241.29</v>
      </c>
      <c r="CZ10">
        <f>AF10</f>
        <v>125.13</v>
      </c>
      <c r="DA10">
        <f>AJ10</f>
        <v>9.92</v>
      </c>
      <c r="DB10">
        <v>0</v>
      </c>
    </row>
    <row r="11" spans="1:106" x14ac:dyDescent="0.2">
      <c r="A11">
        <f>ROW(Source!A29)</f>
        <v>29</v>
      </c>
      <c r="B11">
        <v>45037307</v>
      </c>
      <c r="C11">
        <v>45037417</v>
      </c>
      <c r="D11">
        <v>22653672</v>
      </c>
      <c r="E11">
        <v>22652947</v>
      </c>
      <c r="F11">
        <v>1</v>
      </c>
      <c r="G11">
        <v>22652947</v>
      </c>
      <c r="H11">
        <v>2</v>
      </c>
      <c r="I11" t="s">
        <v>630</v>
      </c>
      <c r="J11" t="s">
        <v>3</v>
      </c>
      <c r="K11" t="s">
        <v>631</v>
      </c>
      <c r="L11">
        <v>1344</v>
      </c>
      <c r="N11">
        <v>1008</v>
      </c>
      <c r="O11" t="s">
        <v>632</v>
      </c>
      <c r="P11" t="s">
        <v>632</v>
      </c>
      <c r="Q11">
        <v>1</v>
      </c>
      <c r="W11">
        <v>0</v>
      </c>
      <c r="X11">
        <v>-1180195794</v>
      </c>
      <c r="Y11">
        <v>3.72</v>
      </c>
      <c r="AA11">
        <v>0</v>
      </c>
      <c r="AB11">
        <v>1</v>
      </c>
      <c r="AC11">
        <v>0</v>
      </c>
      <c r="AD11">
        <v>0</v>
      </c>
      <c r="AE11">
        <v>0</v>
      </c>
      <c r="AF11">
        <v>1</v>
      </c>
      <c r="AG11">
        <v>0</v>
      </c>
      <c r="AH11">
        <v>0</v>
      </c>
      <c r="AI11">
        <v>1</v>
      </c>
      <c r="AJ11">
        <v>1</v>
      </c>
      <c r="AK11">
        <v>1</v>
      </c>
      <c r="AL11">
        <v>1</v>
      </c>
      <c r="AN11">
        <v>0</v>
      </c>
      <c r="AO11">
        <v>1</v>
      </c>
      <c r="AP11">
        <v>0</v>
      </c>
      <c r="AQ11">
        <v>0</v>
      </c>
      <c r="AR11">
        <v>0</v>
      </c>
      <c r="AS11" t="s">
        <v>3</v>
      </c>
      <c r="AT11">
        <v>3.72</v>
      </c>
      <c r="AU11" t="s">
        <v>3</v>
      </c>
      <c r="AV11">
        <v>0</v>
      </c>
      <c r="AW11">
        <v>2</v>
      </c>
      <c r="AX11">
        <v>45038491</v>
      </c>
      <c r="AY11">
        <v>1</v>
      </c>
      <c r="AZ11">
        <v>0</v>
      </c>
      <c r="BA11">
        <v>10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CX11">
        <f>Y11*Source!I29</f>
        <v>3.6121199999999999E-2</v>
      </c>
      <c r="CY11">
        <f>AB11</f>
        <v>1</v>
      </c>
      <c r="CZ11">
        <f>AF11</f>
        <v>1</v>
      </c>
      <c r="DA11">
        <f>AJ11</f>
        <v>1</v>
      </c>
      <c r="DB11">
        <v>0</v>
      </c>
    </row>
    <row r="12" spans="1:106" x14ac:dyDescent="0.2">
      <c r="A12">
        <f>ROW(Source!A29)</f>
        <v>29</v>
      </c>
      <c r="B12">
        <v>45037307</v>
      </c>
      <c r="C12">
        <v>45037417</v>
      </c>
      <c r="D12">
        <v>22674637</v>
      </c>
      <c r="E12">
        <v>22652947</v>
      </c>
      <c r="F12">
        <v>1</v>
      </c>
      <c r="G12">
        <v>22652947</v>
      </c>
      <c r="H12">
        <v>3</v>
      </c>
      <c r="I12" t="s">
        <v>27</v>
      </c>
      <c r="J12" t="s">
        <v>3</v>
      </c>
      <c r="K12" t="s">
        <v>28</v>
      </c>
      <c r="L12">
        <v>1348</v>
      </c>
      <c r="N12">
        <v>1009</v>
      </c>
      <c r="O12" t="s">
        <v>29</v>
      </c>
      <c r="P12" t="s">
        <v>29</v>
      </c>
      <c r="Q12">
        <v>1000</v>
      </c>
      <c r="W12">
        <v>0</v>
      </c>
      <c r="X12">
        <v>-269224915</v>
      </c>
      <c r="Y12">
        <v>0.30896000000000001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1</v>
      </c>
      <c r="AJ12">
        <v>1</v>
      </c>
      <c r="AK12">
        <v>1</v>
      </c>
      <c r="AL12">
        <v>1</v>
      </c>
      <c r="AN12">
        <v>0</v>
      </c>
      <c r="AO12">
        <v>0</v>
      </c>
      <c r="AP12">
        <v>0</v>
      </c>
      <c r="AQ12">
        <v>0</v>
      </c>
      <c r="AR12">
        <v>0</v>
      </c>
      <c r="AS12" t="s">
        <v>3</v>
      </c>
      <c r="AT12">
        <v>0.30896000000000001</v>
      </c>
      <c r="AU12" t="s">
        <v>3</v>
      </c>
      <c r="AV12">
        <v>0</v>
      </c>
      <c r="AW12">
        <v>1</v>
      </c>
      <c r="AX12">
        <v>-1</v>
      </c>
      <c r="AY12">
        <v>0</v>
      </c>
      <c r="AZ12">
        <v>0</v>
      </c>
      <c r="BA12" t="s">
        <v>3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CX12">
        <f>Y12*Source!I29</f>
        <v>3.0000016000000002E-3</v>
      </c>
      <c r="CY12">
        <f>AA12</f>
        <v>0</v>
      </c>
      <c r="CZ12">
        <f>AE12</f>
        <v>0</v>
      </c>
      <c r="DA12">
        <f>AI12</f>
        <v>1</v>
      </c>
      <c r="DB12">
        <v>0</v>
      </c>
    </row>
    <row r="13" spans="1:106" x14ac:dyDescent="0.2">
      <c r="A13">
        <f>ROW(Source!A32)</f>
        <v>32</v>
      </c>
      <c r="B13">
        <v>45037306</v>
      </c>
      <c r="C13">
        <v>45037430</v>
      </c>
      <c r="D13">
        <v>22652952</v>
      </c>
      <c r="E13">
        <v>22652947</v>
      </c>
      <c r="F13">
        <v>1</v>
      </c>
      <c r="G13">
        <v>22652947</v>
      </c>
      <c r="H13">
        <v>1</v>
      </c>
      <c r="I13" t="s">
        <v>617</v>
      </c>
      <c r="J13" t="s">
        <v>3</v>
      </c>
      <c r="K13" t="s">
        <v>618</v>
      </c>
      <c r="L13">
        <v>1191</v>
      </c>
      <c r="N13">
        <v>1013</v>
      </c>
      <c r="O13" t="s">
        <v>619</v>
      </c>
      <c r="P13" t="s">
        <v>619</v>
      </c>
      <c r="Q13">
        <v>1</v>
      </c>
      <c r="W13">
        <v>0</v>
      </c>
      <c r="X13">
        <v>476480486</v>
      </c>
      <c r="Y13">
        <v>378.40749999999997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1</v>
      </c>
      <c r="AJ13">
        <v>1</v>
      </c>
      <c r="AK13">
        <v>1</v>
      </c>
      <c r="AL13">
        <v>1</v>
      </c>
      <c r="AN13">
        <v>0</v>
      </c>
      <c r="AO13">
        <v>1</v>
      </c>
      <c r="AP13">
        <v>1</v>
      </c>
      <c r="AQ13">
        <v>0</v>
      </c>
      <c r="AR13">
        <v>0</v>
      </c>
      <c r="AS13" t="s">
        <v>3</v>
      </c>
      <c r="AT13">
        <v>329.05</v>
      </c>
      <c r="AU13" t="s">
        <v>37</v>
      </c>
      <c r="AV13">
        <v>1</v>
      </c>
      <c r="AW13">
        <v>2</v>
      </c>
      <c r="AX13">
        <v>45038492</v>
      </c>
      <c r="AY13">
        <v>1</v>
      </c>
      <c r="AZ13">
        <v>0</v>
      </c>
      <c r="BA13">
        <v>11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CX13">
        <f>Y13*Source!I32</f>
        <v>12.449606749999999</v>
      </c>
      <c r="CY13">
        <f>AD13</f>
        <v>0</v>
      </c>
      <c r="CZ13">
        <f>AH13</f>
        <v>0</v>
      </c>
      <c r="DA13">
        <f>AL13</f>
        <v>1</v>
      </c>
      <c r="DB13">
        <v>0</v>
      </c>
    </row>
    <row r="14" spans="1:106" x14ac:dyDescent="0.2">
      <c r="A14">
        <f>ROW(Source!A33)</f>
        <v>33</v>
      </c>
      <c r="B14">
        <v>45037307</v>
      </c>
      <c r="C14">
        <v>45037430</v>
      </c>
      <c r="D14">
        <v>22652952</v>
      </c>
      <c r="E14">
        <v>22652947</v>
      </c>
      <c r="F14">
        <v>1</v>
      </c>
      <c r="G14">
        <v>22652947</v>
      </c>
      <c r="H14">
        <v>1</v>
      </c>
      <c r="I14" t="s">
        <v>617</v>
      </c>
      <c r="J14" t="s">
        <v>3</v>
      </c>
      <c r="K14" t="s">
        <v>618</v>
      </c>
      <c r="L14">
        <v>1191</v>
      </c>
      <c r="N14">
        <v>1013</v>
      </c>
      <c r="O14" t="s">
        <v>619</v>
      </c>
      <c r="P14" t="s">
        <v>619</v>
      </c>
      <c r="Q14">
        <v>1</v>
      </c>
      <c r="W14">
        <v>0</v>
      </c>
      <c r="X14">
        <v>476480486</v>
      </c>
      <c r="Y14">
        <v>378.40749999999997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1</v>
      </c>
      <c r="AJ14">
        <v>1</v>
      </c>
      <c r="AK14">
        <v>1</v>
      </c>
      <c r="AL14">
        <v>1</v>
      </c>
      <c r="AN14">
        <v>0</v>
      </c>
      <c r="AO14">
        <v>1</v>
      </c>
      <c r="AP14">
        <v>1</v>
      </c>
      <c r="AQ14">
        <v>0</v>
      </c>
      <c r="AR14">
        <v>0</v>
      </c>
      <c r="AS14" t="s">
        <v>3</v>
      </c>
      <c r="AT14">
        <v>329.05</v>
      </c>
      <c r="AU14" t="s">
        <v>37</v>
      </c>
      <c r="AV14">
        <v>1</v>
      </c>
      <c r="AW14">
        <v>2</v>
      </c>
      <c r="AX14">
        <v>45038492</v>
      </c>
      <c r="AY14">
        <v>1</v>
      </c>
      <c r="AZ14">
        <v>0</v>
      </c>
      <c r="BA14">
        <v>12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CX14">
        <f>Y14*Source!I33</f>
        <v>12.449606749999999</v>
      </c>
      <c r="CY14">
        <f>AD14</f>
        <v>0</v>
      </c>
      <c r="CZ14">
        <f>AH14</f>
        <v>0</v>
      </c>
      <c r="DA14">
        <f>AL14</f>
        <v>1</v>
      </c>
      <c r="DB14">
        <v>0</v>
      </c>
    </row>
    <row r="15" spans="1:106" x14ac:dyDescent="0.2">
      <c r="A15">
        <f>ROW(Source!A34)</f>
        <v>34</v>
      </c>
      <c r="B15">
        <v>45037306</v>
      </c>
      <c r="C15">
        <v>45037433</v>
      </c>
      <c r="D15">
        <v>22652952</v>
      </c>
      <c r="E15">
        <v>22652947</v>
      </c>
      <c r="F15">
        <v>1</v>
      </c>
      <c r="G15">
        <v>22652947</v>
      </c>
      <c r="H15">
        <v>1</v>
      </c>
      <c r="I15" t="s">
        <v>617</v>
      </c>
      <c r="J15" t="s">
        <v>3</v>
      </c>
      <c r="K15" t="s">
        <v>618</v>
      </c>
      <c r="L15">
        <v>1191</v>
      </c>
      <c r="N15">
        <v>1013</v>
      </c>
      <c r="O15" t="s">
        <v>619</v>
      </c>
      <c r="P15" t="s">
        <v>619</v>
      </c>
      <c r="Q15">
        <v>1</v>
      </c>
      <c r="W15">
        <v>0</v>
      </c>
      <c r="X15">
        <v>476480486</v>
      </c>
      <c r="Y15">
        <v>47.3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1</v>
      </c>
      <c r="AJ15">
        <v>1</v>
      </c>
      <c r="AK15">
        <v>1</v>
      </c>
      <c r="AL15">
        <v>1</v>
      </c>
      <c r="AN15">
        <v>0</v>
      </c>
      <c r="AO15">
        <v>1</v>
      </c>
      <c r="AP15">
        <v>0</v>
      </c>
      <c r="AQ15">
        <v>0</v>
      </c>
      <c r="AR15">
        <v>0</v>
      </c>
      <c r="AS15" t="s">
        <v>3</v>
      </c>
      <c r="AT15">
        <v>47.3</v>
      </c>
      <c r="AU15" t="s">
        <v>3</v>
      </c>
      <c r="AV15">
        <v>1</v>
      </c>
      <c r="AW15">
        <v>2</v>
      </c>
      <c r="AX15">
        <v>45038493</v>
      </c>
      <c r="AY15">
        <v>1</v>
      </c>
      <c r="AZ15">
        <v>0</v>
      </c>
      <c r="BA15">
        <v>13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CX15">
        <f>Y15*Source!I34</f>
        <v>4.1103699999999996</v>
      </c>
      <c r="CY15">
        <f>AD15</f>
        <v>0</v>
      </c>
      <c r="CZ15">
        <f>AH15</f>
        <v>0</v>
      </c>
      <c r="DA15">
        <f>AL15</f>
        <v>1</v>
      </c>
      <c r="DB15">
        <v>0</v>
      </c>
    </row>
    <row r="16" spans="1:106" x14ac:dyDescent="0.2">
      <c r="A16">
        <f>ROW(Source!A34)</f>
        <v>34</v>
      </c>
      <c r="B16">
        <v>45037306</v>
      </c>
      <c r="C16">
        <v>45037433</v>
      </c>
      <c r="D16">
        <v>22653672</v>
      </c>
      <c r="E16">
        <v>22652947</v>
      </c>
      <c r="F16">
        <v>1</v>
      </c>
      <c r="G16">
        <v>22652947</v>
      </c>
      <c r="H16">
        <v>2</v>
      </c>
      <c r="I16" t="s">
        <v>630</v>
      </c>
      <c r="J16" t="s">
        <v>3</v>
      </c>
      <c r="K16" t="s">
        <v>631</v>
      </c>
      <c r="L16">
        <v>1344</v>
      </c>
      <c r="N16">
        <v>1008</v>
      </c>
      <c r="O16" t="s">
        <v>632</v>
      </c>
      <c r="P16" t="s">
        <v>632</v>
      </c>
      <c r="Q16">
        <v>1</v>
      </c>
      <c r="W16">
        <v>0</v>
      </c>
      <c r="X16">
        <v>-1180195794</v>
      </c>
      <c r="Y16">
        <v>203.98</v>
      </c>
      <c r="AA16">
        <v>0</v>
      </c>
      <c r="AB16">
        <v>1</v>
      </c>
      <c r="AC16">
        <v>0</v>
      </c>
      <c r="AD16">
        <v>0</v>
      </c>
      <c r="AE16">
        <v>0</v>
      </c>
      <c r="AF16">
        <v>1</v>
      </c>
      <c r="AG16">
        <v>0</v>
      </c>
      <c r="AH16">
        <v>0</v>
      </c>
      <c r="AI16">
        <v>1</v>
      </c>
      <c r="AJ16">
        <v>1</v>
      </c>
      <c r="AK16">
        <v>1</v>
      </c>
      <c r="AL16">
        <v>1</v>
      </c>
      <c r="AN16">
        <v>0</v>
      </c>
      <c r="AO16">
        <v>1</v>
      </c>
      <c r="AP16">
        <v>0</v>
      </c>
      <c r="AQ16">
        <v>0</v>
      </c>
      <c r="AR16">
        <v>0</v>
      </c>
      <c r="AS16" t="s">
        <v>3</v>
      </c>
      <c r="AT16">
        <v>203.98</v>
      </c>
      <c r="AU16" t="s">
        <v>3</v>
      </c>
      <c r="AV16">
        <v>0</v>
      </c>
      <c r="AW16">
        <v>2</v>
      </c>
      <c r="AX16">
        <v>45038494</v>
      </c>
      <c r="AY16">
        <v>1</v>
      </c>
      <c r="AZ16">
        <v>0</v>
      </c>
      <c r="BA16">
        <v>14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CX16">
        <f>Y16*Source!I34</f>
        <v>17.725861999999999</v>
      </c>
      <c r="CY16">
        <f>AB16</f>
        <v>1</v>
      </c>
      <c r="CZ16">
        <f>AF16</f>
        <v>1</v>
      </c>
      <c r="DA16">
        <f>AJ16</f>
        <v>1</v>
      </c>
      <c r="DB16">
        <v>0</v>
      </c>
    </row>
    <row r="17" spans="1:106" x14ac:dyDescent="0.2">
      <c r="A17">
        <f>ROW(Source!A34)</f>
        <v>34</v>
      </c>
      <c r="B17">
        <v>45037306</v>
      </c>
      <c r="C17">
        <v>45037433</v>
      </c>
      <c r="D17">
        <v>22674637</v>
      </c>
      <c r="E17">
        <v>22652947</v>
      </c>
      <c r="F17">
        <v>1</v>
      </c>
      <c r="G17">
        <v>22652947</v>
      </c>
      <c r="H17">
        <v>3</v>
      </c>
      <c r="I17" t="s">
        <v>27</v>
      </c>
      <c r="J17" t="s">
        <v>3</v>
      </c>
      <c r="K17" t="s">
        <v>50</v>
      </c>
      <c r="L17">
        <v>1348</v>
      </c>
      <c r="N17">
        <v>1009</v>
      </c>
      <c r="O17" t="s">
        <v>29</v>
      </c>
      <c r="P17" t="s">
        <v>29</v>
      </c>
      <c r="Q17">
        <v>1000</v>
      </c>
      <c r="W17">
        <v>1</v>
      </c>
      <c r="X17">
        <v>1489638031</v>
      </c>
      <c r="Y17">
        <v>-2.5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1</v>
      </c>
      <c r="AJ17">
        <v>1</v>
      </c>
      <c r="AK17">
        <v>1</v>
      </c>
      <c r="AL17">
        <v>1</v>
      </c>
      <c r="AN17">
        <v>0</v>
      </c>
      <c r="AO17">
        <v>1</v>
      </c>
      <c r="AP17">
        <v>0</v>
      </c>
      <c r="AQ17">
        <v>0</v>
      </c>
      <c r="AR17">
        <v>0</v>
      </c>
      <c r="AS17" t="s">
        <v>3</v>
      </c>
      <c r="AT17">
        <v>-2.5</v>
      </c>
      <c r="AU17" t="s">
        <v>3</v>
      </c>
      <c r="AV17">
        <v>0</v>
      </c>
      <c r="AW17">
        <v>2</v>
      </c>
      <c r="AX17">
        <v>45038495</v>
      </c>
      <c r="AY17">
        <v>1</v>
      </c>
      <c r="AZ17">
        <v>6144</v>
      </c>
      <c r="BA17">
        <v>15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CX17">
        <f>Y17*Source!I34</f>
        <v>-0.21725</v>
      </c>
      <c r="CY17">
        <f>AA17</f>
        <v>0</v>
      </c>
      <c r="CZ17">
        <f>AE17</f>
        <v>0</v>
      </c>
      <c r="DA17">
        <f>AI17</f>
        <v>1</v>
      </c>
      <c r="DB17">
        <v>0</v>
      </c>
    </row>
    <row r="18" spans="1:106" x14ac:dyDescent="0.2">
      <c r="A18">
        <f>ROW(Source!A35)</f>
        <v>35</v>
      </c>
      <c r="B18">
        <v>45037307</v>
      </c>
      <c r="C18">
        <v>45037433</v>
      </c>
      <c r="D18">
        <v>22652952</v>
      </c>
      <c r="E18">
        <v>22652947</v>
      </c>
      <c r="F18">
        <v>1</v>
      </c>
      <c r="G18">
        <v>22652947</v>
      </c>
      <c r="H18">
        <v>1</v>
      </c>
      <c r="I18" t="s">
        <v>617</v>
      </c>
      <c r="J18" t="s">
        <v>3</v>
      </c>
      <c r="K18" t="s">
        <v>618</v>
      </c>
      <c r="L18">
        <v>1191</v>
      </c>
      <c r="N18">
        <v>1013</v>
      </c>
      <c r="O18" t="s">
        <v>619</v>
      </c>
      <c r="P18" t="s">
        <v>619</v>
      </c>
      <c r="Q18">
        <v>1</v>
      </c>
      <c r="W18">
        <v>0</v>
      </c>
      <c r="X18">
        <v>476480486</v>
      </c>
      <c r="Y18">
        <v>47.3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1</v>
      </c>
      <c r="AJ18">
        <v>1</v>
      </c>
      <c r="AK18">
        <v>1</v>
      </c>
      <c r="AL18">
        <v>1</v>
      </c>
      <c r="AN18">
        <v>0</v>
      </c>
      <c r="AO18">
        <v>1</v>
      </c>
      <c r="AP18">
        <v>0</v>
      </c>
      <c r="AQ18">
        <v>0</v>
      </c>
      <c r="AR18">
        <v>0</v>
      </c>
      <c r="AS18" t="s">
        <v>3</v>
      </c>
      <c r="AT18">
        <v>47.3</v>
      </c>
      <c r="AU18" t="s">
        <v>3</v>
      </c>
      <c r="AV18">
        <v>1</v>
      </c>
      <c r="AW18">
        <v>2</v>
      </c>
      <c r="AX18">
        <v>45038493</v>
      </c>
      <c r="AY18">
        <v>1</v>
      </c>
      <c r="AZ18">
        <v>0</v>
      </c>
      <c r="BA18">
        <v>16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CX18">
        <f>Y18*Source!I35</f>
        <v>4.1103699999999996</v>
      </c>
      <c r="CY18">
        <f>AD18</f>
        <v>0</v>
      </c>
      <c r="CZ18">
        <f>AH18</f>
        <v>0</v>
      </c>
      <c r="DA18">
        <f>AL18</f>
        <v>1</v>
      </c>
      <c r="DB18">
        <v>0</v>
      </c>
    </row>
    <row r="19" spans="1:106" x14ac:dyDescent="0.2">
      <c r="A19">
        <f>ROW(Source!A35)</f>
        <v>35</v>
      </c>
      <c r="B19">
        <v>45037307</v>
      </c>
      <c r="C19">
        <v>45037433</v>
      </c>
      <c r="D19">
        <v>22653672</v>
      </c>
      <c r="E19">
        <v>22652947</v>
      </c>
      <c r="F19">
        <v>1</v>
      </c>
      <c r="G19">
        <v>22652947</v>
      </c>
      <c r="H19">
        <v>2</v>
      </c>
      <c r="I19" t="s">
        <v>630</v>
      </c>
      <c r="J19" t="s">
        <v>3</v>
      </c>
      <c r="K19" t="s">
        <v>631</v>
      </c>
      <c r="L19">
        <v>1344</v>
      </c>
      <c r="N19">
        <v>1008</v>
      </c>
      <c r="O19" t="s">
        <v>632</v>
      </c>
      <c r="P19" t="s">
        <v>632</v>
      </c>
      <c r="Q19">
        <v>1</v>
      </c>
      <c r="W19">
        <v>0</v>
      </c>
      <c r="X19">
        <v>-1180195794</v>
      </c>
      <c r="Y19">
        <v>203.98</v>
      </c>
      <c r="AA19">
        <v>0</v>
      </c>
      <c r="AB19">
        <v>1</v>
      </c>
      <c r="AC19">
        <v>0</v>
      </c>
      <c r="AD19">
        <v>0</v>
      </c>
      <c r="AE19">
        <v>0</v>
      </c>
      <c r="AF19">
        <v>1</v>
      </c>
      <c r="AG19">
        <v>0</v>
      </c>
      <c r="AH19">
        <v>0</v>
      </c>
      <c r="AI19">
        <v>1</v>
      </c>
      <c r="AJ19">
        <v>1</v>
      </c>
      <c r="AK19">
        <v>1</v>
      </c>
      <c r="AL19">
        <v>1</v>
      </c>
      <c r="AN19">
        <v>0</v>
      </c>
      <c r="AO19">
        <v>1</v>
      </c>
      <c r="AP19">
        <v>0</v>
      </c>
      <c r="AQ19">
        <v>0</v>
      </c>
      <c r="AR19">
        <v>0</v>
      </c>
      <c r="AS19" t="s">
        <v>3</v>
      </c>
      <c r="AT19">
        <v>203.98</v>
      </c>
      <c r="AU19" t="s">
        <v>3</v>
      </c>
      <c r="AV19">
        <v>0</v>
      </c>
      <c r="AW19">
        <v>2</v>
      </c>
      <c r="AX19">
        <v>45038494</v>
      </c>
      <c r="AY19">
        <v>1</v>
      </c>
      <c r="AZ19">
        <v>0</v>
      </c>
      <c r="BA19">
        <v>17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CX19">
        <f>Y19*Source!I35</f>
        <v>17.725861999999999</v>
      </c>
      <c r="CY19">
        <f>AB19</f>
        <v>1</v>
      </c>
      <c r="CZ19">
        <f>AF19</f>
        <v>1</v>
      </c>
      <c r="DA19">
        <f>AJ19</f>
        <v>1</v>
      </c>
      <c r="DB19">
        <v>0</v>
      </c>
    </row>
    <row r="20" spans="1:106" x14ac:dyDescent="0.2">
      <c r="A20">
        <f>ROW(Source!A35)</f>
        <v>35</v>
      </c>
      <c r="B20">
        <v>45037307</v>
      </c>
      <c r="C20">
        <v>45037433</v>
      </c>
      <c r="D20">
        <v>22674637</v>
      </c>
      <c r="E20">
        <v>22652947</v>
      </c>
      <c r="F20">
        <v>1</v>
      </c>
      <c r="G20">
        <v>22652947</v>
      </c>
      <c r="H20">
        <v>3</v>
      </c>
      <c r="I20" t="s">
        <v>27</v>
      </c>
      <c r="J20" t="s">
        <v>3</v>
      </c>
      <c r="K20" t="s">
        <v>50</v>
      </c>
      <c r="L20">
        <v>1348</v>
      </c>
      <c r="N20">
        <v>1009</v>
      </c>
      <c r="O20" t="s">
        <v>29</v>
      </c>
      <c r="P20" t="s">
        <v>29</v>
      </c>
      <c r="Q20">
        <v>1000</v>
      </c>
      <c r="W20">
        <v>1</v>
      </c>
      <c r="X20">
        <v>1489638031</v>
      </c>
      <c r="Y20">
        <v>-2.5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1</v>
      </c>
      <c r="AJ20">
        <v>1</v>
      </c>
      <c r="AK20">
        <v>1</v>
      </c>
      <c r="AL20">
        <v>1</v>
      </c>
      <c r="AN20">
        <v>0</v>
      </c>
      <c r="AO20">
        <v>1</v>
      </c>
      <c r="AP20">
        <v>0</v>
      </c>
      <c r="AQ20">
        <v>0</v>
      </c>
      <c r="AR20">
        <v>0</v>
      </c>
      <c r="AS20" t="s">
        <v>3</v>
      </c>
      <c r="AT20">
        <v>-2.5</v>
      </c>
      <c r="AU20" t="s">
        <v>3</v>
      </c>
      <c r="AV20">
        <v>0</v>
      </c>
      <c r="AW20">
        <v>2</v>
      </c>
      <c r="AX20">
        <v>45038495</v>
      </c>
      <c r="AY20">
        <v>1</v>
      </c>
      <c r="AZ20">
        <v>6144</v>
      </c>
      <c r="BA20">
        <v>18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CX20">
        <f>Y20*Source!I35</f>
        <v>-0.21725</v>
      </c>
      <c r="CY20">
        <f>AA20</f>
        <v>0</v>
      </c>
      <c r="CZ20">
        <f>AE20</f>
        <v>0</v>
      </c>
      <c r="DA20">
        <f>AI20</f>
        <v>1</v>
      </c>
      <c r="DB20">
        <v>0</v>
      </c>
    </row>
    <row r="21" spans="1:106" x14ac:dyDescent="0.2">
      <c r="A21">
        <f>ROW(Source!A38)</f>
        <v>38</v>
      </c>
      <c r="B21">
        <v>45037306</v>
      </c>
      <c r="C21">
        <v>45037441</v>
      </c>
      <c r="D21">
        <v>22652952</v>
      </c>
      <c r="E21">
        <v>22652947</v>
      </c>
      <c r="F21">
        <v>1</v>
      </c>
      <c r="G21">
        <v>22652947</v>
      </c>
      <c r="H21">
        <v>1</v>
      </c>
      <c r="I21" t="s">
        <v>617</v>
      </c>
      <c r="J21" t="s">
        <v>3</v>
      </c>
      <c r="K21" t="s">
        <v>618</v>
      </c>
      <c r="L21">
        <v>1191</v>
      </c>
      <c r="N21">
        <v>1013</v>
      </c>
      <c r="O21" t="s">
        <v>619</v>
      </c>
      <c r="P21" t="s">
        <v>619</v>
      </c>
      <c r="Q21">
        <v>1</v>
      </c>
      <c r="W21">
        <v>0</v>
      </c>
      <c r="X21">
        <v>476480486</v>
      </c>
      <c r="Y21">
        <v>4.9334999999999996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1</v>
      </c>
      <c r="AJ21">
        <v>1</v>
      </c>
      <c r="AK21">
        <v>1</v>
      </c>
      <c r="AL21">
        <v>1</v>
      </c>
      <c r="AN21">
        <v>0</v>
      </c>
      <c r="AO21">
        <v>1</v>
      </c>
      <c r="AP21">
        <v>1</v>
      </c>
      <c r="AQ21">
        <v>0</v>
      </c>
      <c r="AR21">
        <v>0</v>
      </c>
      <c r="AS21" t="s">
        <v>3</v>
      </c>
      <c r="AT21">
        <v>4.29</v>
      </c>
      <c r="AU21" t="s">
        <v>37</v>
      </c>
      <c r="AV21">
        <v>1</v>
      </c>
      <c r="AW21">
        <v>2</v>
      </c>
      <c r="AX21">
        <v>45038496</v>
      </c>
      <c r="AY21">
        <v>1</v>
      </c>
      <c r="AZ21">
        <v>0</v>
      </c>
      <c r="BA21">
        <v>19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CX21">
        <f>Y21*Source!I38</f>
        <v>0.95759234999999987</v>
      </c>
      <c r="CY21">
        <f>AD21</f>
        <v>0</v>
      </c>
      <c r="CZ21">
        <f>AH21</f>
        <v>0</v>
      </c>
      <c r="DA21">
        <f>AL21</f>
        <v>1</v>
      </c>
      <c r="DB21">
        <v>0</v>
      </c>
    </row>
    <row r="22" spans="1:106" x14ac:dyDescent="0.2">
      <c r="A22">
        <f>ROW(Source!A38)</f>
        <v>38</v>
      </c>
      <c r="B22">
        <v>45037306</v>
      </c>
      <c r="C22">
        <v>45037441</v>
      </c>
      <c r="D22">
        <v>22725479</v>
      </c>
      <c r="E22">
        <v>1</v>
      </c>
      <c r="F22">
        <v>1</v>
      </c>
      <c r="G22">
        <v>22652947</v>
      </c>
      <c r="H22">
        <v>2</v>
      </c>
      <c r="I22" t="s">
        <v>620</v>
      </c>
      <c r="J22" t="s">
        <v>621</v>
      </c>
      <c r="K22" t="s">
        <v>622</v>
      </c>
      <c r="L22">
        <v>1367</v>
      </c>
      <c r="N22">
        <v>1011</v>
      </c>
      <c r="O22" t="s">
        <v>623</v>
      </c>
      <c r="P22" t="s">
        <v>623</v>
      </c>
      <c r="Q22">
        <v>1</v>
      </c>
      <c r="W22">
        <v>0</v>
      </c>
      <c r="X22">
        <v>-1426791</v>
      </c>
      <c r="Y22">
        <v>0.375</v>
      </c>
      <c r="AA22">
        <v>0</v>
      </c>
      <c r="AB22">
        <v>60.77</v>
      </c>
      <c r="AC22">
        <v>18.48</v>
      </c>
      <c r="AD22">
        <v>0</v>
      </c>
      <c r="AE22">
        <v>0</v>
      </c>
      <c r="AF22">
        <v>60.77</v>
      </c>
      <c r="AG22">
        <v>18.48</v>
      </c>
      <c r="AH22">
        <v>0</v>
      </c>
      <c r="AI22">
        <v>1</v>
      </c>
      <c r="AJ22">
        <v>1</v>
      </c>
      <c r="AK22">
        <v>1</v>
      </c>
      <c r="AL22">
        <v>1</v>
      </c>
      <c r="AN22">
        <v>0</v>
      </c>
      <c r="AO22">
        <v>1</v>
      </c>
      <c r="AP22">
        <v>1</v>
      </c>
      <c r="AQ22">
        <v>0</v>
      </c>
      <c r="AR22">
        <v>0</v>
      </c>
      <c r="AS22" t="s">
        <v>3</v>
      </c>
      <c r="AT22">
        <v>0.3</v>
      </c>
      <c r="AU22" t="s">
        <v>36</v>
      </c>
      <c r="AV22">
        <v>0</v>
      </c>
      <c r="AW22">
        <v>2</v>
      </c>
      <c r="AX22">
        <v>45038497</v>
      </c>
      <c r="AY22">
        <v>1</v>
      </c>
      <c r="AZ22">
        <v>0</v>
      </c>
      <c r="BA22">
        <v>20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CX22">
        <f>Y22*Source!I38</f>
        <v>7.2787500000000005E-2</v>
      </c>
      <c r="CY22">
        <f t="shared" ref="CY22:CY29" si="0">AB22</f>
        <v>60.77</v>
      </c>
      <c r="CZ22">
        <f t="shared" ref="CZ22:CZ29" si="1">AF22</f>
        <v>60.77</v>
      </c>
      <c r="DA22">
        <f t="shared" ref="DA22:DA29" si="2">AJ22</f>
        <v>1</v>
      </c>
      <c r="DB22">
        <v>0</v>
      </c>
    </row>
    <row r="23" spans="1:106" x14ac:dyDescent="0.2">
      <c r="A23">
        <f>ROW(Source!A38)</f>
        <v>38</v>
      </c>
      <c r="B23">
        <v>45037306</v>
      </c>
      <c r="C23">
        <v>45037441</v>
      </c>
      <c r="D23">
        <v>22725196</v>
      </c>
      <c r="E23">
        <v>1</v>
      </c>
      <c r="F23">
        <v>1</v>
      </c>
      <c r="G23">
        <v>22652947</v>
      </c>
      <c r="H23">
        <v>2</v>
      </c>
      <c r="I23" t="s">
        <v>633</v>
      </c>
      <c r="J23" t="s">
        <v>634</v>
      </c>
      <c r="K23" t="s">
        <v>635</v>
      </c>
      <c r="L23">
        <v>1367</v>
      </c>
      <c r="N23">
        <v>1011</v>
      </c>
      <c r="O23" t="s">
        <v>623</v>
      </c>
      <c r="P23" t="s">
        <v>623</v>
      </c>
      <c r="Q23">
        <v>1</v>
      </c>
      <c r="W23">
        <v>0</v>
      </c>
      <c r="X23">
        <v>1022351366</v>
      </c>
      <c r="Y23">
        <v>0.375</v>
      </c>
      <c r="AA23">
        <v>0</v>
      </c>
      <c r="AB23">
        <v>106.74</v>
      </c>
      <c r="AC23">
        <v>19.2</v>
      </c>
      <c r="AD23">
        <v>0</v>
      </c>
      <c r="AE23">
        <v>0</v>
      </c>
      <c r="AF23">
        <v>106.74</v>
      </c>
      <c r="AG23">
        <v>19.2</v>
      </c>
      <c r="AH23">
        <v>0</v>
      </c>
      <c r="AI23">
        <v>1</v>
      </c>
      <c r="AJ23">
        <v>1</v>
      </c>
      <c r="AK23">
        <v>1</v>
      </c>
      <c r="AL23">
        <v>1</v>
      </c>
      <c r="AN23">
        <v>0</v>
      </c>
      <c r="AO23">
        <v>1</v>
      </c>
      <c r="AP23">
        <v>1</v>
      </c>
      <c r="AQ23">
        <v>0</v>
      </c>
      <c r="AR23">
        <v>0</v>
      </c>
      <c r="AS23" t="s">
        <v>3</v>
      </c>
      <c r="AT23">
        <v>0.3</v>
      </c>
      <c r="AU23" t="s">
        <v>36</v>
      </c>
      <c r="AV23">
        <v>0</v>
      </c>
      <c r="AW23">
        <v>2</v>
      </c>
      <c r="AX23">
        <v>45038498</v>
      </c>
      <c r="AY23">
        <v>1</v>
      </c>
      <c r="AZ23">
        <v>0</v>
      </c>
      <c r="BA23">
        <v>21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CX23">
        <f>Y23*Source!I38</f>
        <v>7.2787500000000005E-2</v>
      </c>
      <c r="CY23">
        <f t="shared" si="0"/>
        <v>106.74</v>
      </c>
      <c r="CZ23">
        <f t="shared" si="1"/>
        <v>106.74</v>
      </c>
      <c r="DA23">
        <f t="shared" si="2"/>
        <v>1</v>
      </c>
      <c r="DB23">
        <v>0</v>
      </c>
    </row>
    <row r="24" spans="1:106" x14ac:dyDescent="0.2">
      <c r="A24">
        <f>ROW(Source!A38)</f>
        <v>38</v>
      </c>
      <c r="B24">
        <v>45037306</v>
      </c>
      <c r="C24">
        <v>45037441</v>
      </c>
      <c r="D24">
        <v>22725285</v>
      </c>
      <c r="E24">
        <v>1</v>
      </c>
      <c r="F24">
        <v>1</v>
      </c>
      <c r="G24">
        <v>22652947</v>
      </c>
      <c r="H24">
        <v>2</v>
      </c>
      <c r="I24" t="s">
        <v>636</v>
      </c>
      <c r="J24" t="s">
        <v>637</v>
      </c>
      <c r="K24" t="s">
        <v>638</v>
      </c>
      <c r="L24">
        <v>1367</v>
      </c>
      <c r="N24">
        <v>1011</v>
      </c>
      <c r="O24" t="s">
        <v>623</v>
      </c>
      <c r="P24" t="s">
        <v>623</v>
      </c>
      <c r="Q24">
        <v>1</v>
      </c>
      <c r="W24">
        <v>0</v>
      </c>
      <c r="X24">
        <v>1778166765</v>
      </c>
      <c r="Y24">
        <v>0.375</v>
      </c>
      <c r="AA24">
        <v>0</v>
      </c>
      <c r="AB24">
        <v>148.88999999999999</v>
      </c>
      <c r="AC24">
        <v>28.61</v>
      </c>
      <c r="AD24">
        <v>0</v>
      </c>
      <c r="AE24">
        <v>0</v>
      </c>
      <c r="AF24">
        <v>148.88999999999999</v>
      </c>
      <c r="AG24">
        <v>28.61</v>
      </c>
      <c r="AH24">
        <v>0</v>
      </c>
      <c r="AI24">
        <v>1</v>
      </c>
      <c r="AJ24">
        <v>1</v>
      </c>
      <c r="AK24">
        <v>1</v>
      </c>
      <c r="AL24">
        <v>1</v>
      </c>
      <c r="AN24">
        <v>0</v>
      </c>
      <c r="AO24">
        <v>1</v>
      </c>
      <c r="AP24">
        <v>1</v>
      </c>
      <c r="AQ24">
        <v>0</v>
      </c>
      <c r="AR24">
        <v>0</v>
      </c>
      <c r="AS24" t="s">
        <v>3</v>
      </c>
      <c r="AT24">
        <v>0.3</v>
      </c>
      <c r="AU24" t="s">
        <v>36</v>
      </c>
      <c r="AV24">
        <v>0</v>
      </c>
      <c r="AW24">
        <v>2</v>
      </c>
      <c r="AX24">
        <v>45038499</v>
      </c>
      <c r="AY24">
        <v>1</v>
      </c>
      <c r="AZ24">
        <v>0</v>
      </c>
      <c r="BA24">
        <v>22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CX24">
        <f>Y24*Source!I38</f>
        <v>7.2787500000000005E-2</v>
      </c>
      <c r="CY24">
        <f t="shared" si="0"/>
        <v>148.88999999999999</v>
      </c>
      <c r="CZ24">
        <f t="shared" si="1"/>
        <v>148.88999999999999</v>
      </c>
      <c r="DA24">
        <f t="shared" si="2"/>
        <v>1</v>
      </c>
      <c r="DB24">
        <v>0</v>
      </c>
    </row>
    <row r="25" spans="1:106" x14ac:dyDescent="0.2">
      <c r="A25">
        <f>ROW(Source!A38)</f>
        <v>38</v>
      </c>
      <c r="B25">
        <v>45037306</v>
      </c>
      <c r="C25">
        <v>45037441</v>
      </c>
      <c r="D25">
        <v>22725287</v>
      </c>
      <c r="E25">
        <v>1</v>
      </c>
      <c r="F25">
        <v>1</v>
      </c>
      <c r="G25">
        <v>22652947</v>
      </c>
      <c r="H25">
        <v>2</v>
      </c>
      <c r="I25" t="s">
        <v>639</v>
      </c>
      <c r="J25" t="s">
        <v>640</v>
      </c>
      <c r="K25" t="s">
        <v>641</v>
      </c>
      <c r="L25">
        <v>1367</v>
      </c>
      <c r="N25">
        <v>1011</v>
      </c>
      <c r="O25" t="s">
        <v>623</v>
      </c>
      <c r="P25" t="s">
        <v>623</v>
      </c>
      <c r="Q25">
        <v>1</v>
      </c>
      <c r="W25">
        <v>0</v>
      </c>
      <c r="X25">
        <v>1341797380</v>
      </c>
      <c r="Y25">
        <v>0.375</v>
      </c>
      <c r="AA25">
        <v>0</v>
      </c>
      <c r="AB25">
        <v>249.15</v>
      </c>
      <c r="AC25">
        <v>42.85</v>
      </c>
      <c r="AD25">
        <v>0</v>
      </c>
      <c r="AE25">
        <v>0</v>
      </c>
      <c r="AF25">
        <v>249.15</v>
      </c>
      <c r="AG25">
        <v>42.85</v>
      </c>
      <c r="AH25">
        <v>0</v>
      </c>
      <c r="AI25">
        <v>1</v>
      </c>
      <c r="AJ25">
        <v>1</v>
      </c>
      <c r="AK25">
        <v>1</v>
      </c>
      <c r="AL25">
        <v>1</v>
      </c>
      <c r="AN25">
        <v>0</v>
      </c>
      <c r="AO25">
        <v>1</v>
      </c>
      <c r="AP25">
        <v>1</v>
      </c>
      <c r="AQ25">
        <v>0</v>
      </c>
      <c r="AR25">
        <v>0</v>
      </c>
      <c r="AS25" t="s">
        <v>3</v>
      </c>
      <c r="AT25">
        <v>0.3</v>
      </c>
      <c r="AU25" t="s">
        <v>36</v>
      </c>
      <c r="AV25">
        <v>0</v>
      </c>
      <c r="AW25">
        <v>2</v>
      </c>
      <c r="AX25">
        <v>45038500</v>
      </c>
      <c r="AY25">
        <v>1</v>
      </c>
      <c r="AZ25">
        <v>0</v>
      </c>
      <c r="BA25">
        <v>23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CX25">
        <f>Y25*Source!I38</f>
        <v>7.2787500000000005E-2</v>
      </c>
      <c r="CY25">
        <f t="shared" si="0"/>
        <v>249.15</v>
      </c>
      <c r="CZ25">
        <f t="shared" si="1"/>
        <v>249.15</v>
      </c>
      <c r="DA25">
        <f t="shared" si="2"/>
        <v>1</v>
      </c>
      <c r="DB25">
        <v>0</v>
      </c>
    </row>
    <row r="26" spans="1:106" x14ac:dyDescent="0.2">
      <c r="A26">
        <f>ROW(Source!A38)</f>
        <v>38</v>
      </c>
      <c r="B26">
        <v>45037306</v>
      </c>
      <c r="C26">
        <v>45037441</v>
      </c>
      <c r="D26">
        <v>22725271</v>
      </c>
      <c r="E26">
        <v>1</v>
      </c>
      <c r="F26">
        <v>1</v>
      </c>
      <c r="G26">
        <v>22652947</v>
      </c>
      <c r="H26">
        <v>2</v>
      </c>
      <c r="I26" t="s">
        <v>642</v>
      </c>
      <c r="J26" t="s">
        <v>643</v>
      </c>
      <c r="K26" t="s">
        <v>644</v>
      </c>
      <c r="L26">
        <v>1367</v>
      </c>
      <c r="N26">
        <v>1011</v>
      </c>
      <c r="O26" t="s">
        <v>623</v>
      </c>
      <c r="P26" t="s">
        <v>623</v>
      </c>
      <c r="Q26">
        <v>1</v>
      </c>
      <c r="W26">
        <v>0</v>
      </c>
      <c r="X26">
        <v>-251987950</v>
      </c>
      <c r="Y26">
        <v>0.375</v>
      </c>
      <c r="AA26">
        <v>0</v>
      </c>
      <c r="AB26">
        <v>84.82</v>
      </c>
      <c r="AC26">
        <v>22.85</v>
      </c>
      <c r="AD26">
        <v>0</v>
      </c>
      <c r="AE26">
        <v>0</v>
      </c>
      <c r="AF26">
        <v>84.82</v>
      </c>
      <c r="AG26">
        <v>22.85</v>
      </c>
      <c r="AH26">
        <v>0</v>
      </c>
      <c r="AI26">
        <v>1</v>
      </c>
      <c r="AJ26">
        <v>1</v>
      </c>
      <c r="AK26">
        <v>1</v>
      </c>
      <c r="AL26">
        <v>1</v>
      </c>
      <c r="AN26">
        <v>0</v>
      </c>
      <c r="AO26">
        <v>1</v>
      </c>
      <c r="AP26">
        <v>1</v>
      </c>
      <c r="AQ26">
        <v>0</v>
      </c>
      <c r="AR26">
        <v>0</v>
      </c>
      <c r="AS26" t="s">
        <v>3</v>
      </c>
      <c r="AT26">
        <v>0.3</v>
      </c>
      <c r="AU26" t="s">
        <v>36</v>
      </c>
      <c r="AV26">
        <v>0</v>
      </c>
      <c r="AW26">
        <v>2</v>
      </c>
      <c r="AX26">
        <v>45038501</v>
      </c>
      <c r="AY26">
        <v>1</v>
      </c>
      <c r="AZ26">
        <v>0</v>
      </c>
      <c r="BA26">
        <v>24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CX26">
        <f>Y26*Source!I38</f>
        <v>7.2787500000000005E-2</v>
      </c>
      <c r="CY26">
        <f t="shared" si="0"/>
        <v>84.82</v>
      </c>
      <c r="CZ26">
        <f t="shared" si="1"/>
        <v>84.82</v>
      </c>
      <c r="DA26">
        <f t="shared" si="2"/>
        <v>1</v>
      </c>
      <c r="DB26">
        <v>0</v>
      </c>
    </row>
    <row r="27" spans="1:106" x14ac:dyDescent="0.2">
      <c r="A27">
        <f>ROW(Source!A38)</f>
        <v>38</v>
      </c>
      <c r="B27">
        <v>45037306</v>
      </c>
      <c r="C27">
        <v>45037441</v>
      </c>
      <c r="D27">
        <v>22725302</v>
      </c>
      <c r="E27">
        <v>1</v>
      </c>
      <c r="F27">
        <v>1</v>
      </c>
      <c r="G27">
        <v>22652947</v>
      </c>
      <c r="H27">
        <v>2</v>
      </c>
      <c r="I27" t="s">
        <v>645</v>
      </c>
      <c r="J27" t="s">
        <v>646</v>
      </c>
      <c r="K27" t="s">
        <v>647</v>
      </c>
      <c r="L27">
        <v>1367</v>
      </c>
      <c r="N27">
        <v>1011</v>
      </c>
      <c r="O27" t="s">
        <v>623</v>
      </c>
      <c r="P27" t="s">
        <v>623</v>
      </c>
      <c r="Q27">
        <v>1</v>
      </c>
      <c r="W27">
        <v>0</v>
      </c>
      <c r="X27">
        <v>-1272456651</v>
      </c>
      <c r="Y27">
        <v>0.375</v>
      </c>
      <c r="AA27">
        <v>0</v>
      </c>
      <c r="AB27">
        <v>124.6</v>
      </c>
      <c r="AC27">
        <v>28.4</v>
      </c>
      <c r="AD27">
        <v>0</v>
      </c>
      <c r="AE27">
        <v>0</v>
      </c>
      <c r="AF27">
        <v>124.6</v>
      </c>
      <c r="AG27">
        <v>28.4</v>
      </c>
      <c r="AH27">
        <v>0</v>
      </c>
      <c r="AI27">
        <v>1</v>
      </c>
      <c r="AJ27">
        <v>1</v>
      </c>
      <c r="AK27">
        <v>1</v>
      </c>
      <c r="AL27">
        <v>1</v>
      </c>
      <c r="AN27">
        <v>0</v>
      </c>
      <c r="AO27">
        <v>1</v>
      </c>
      <c r="AP27">
        <v>1</v>
      </c>
      <c r="AQ27">
        <v>0</v>
      </c>
      <c r="AR27">
        <v>0</v>
      </c>
      <c r="AS27" t="s">
        <v>3</v>
      </c>
      <c r="AT27">
        <v>0.3</v>
      </c>
      <c r="AU27" t="s">
        <v>36</v>
      </c>
      <c r="AV27">
        <v>0</v>
      </c>
      <c r="AW27">
        <v>2</v>
      </c>
      <c r="AX27">
        <v>45038502</v>
      </c>
      <c r="AY27">
        <v>1</v>
      </c>
      <c r="AZ27">
        <v>0</v>
      </c>
      <c r="BA27">
        <v>25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CX27">
        <f>Y27*Source!I38</f>
        <v>7.2787500000000005E-2</v>
      </c>
      <c r="CY27">
        <f t="shared" si="0"/>
        <v>124.6</v>
      </c>
      <c r="CZ27">
        <f t="shared" si="1"/>
        <v>124.6</v>
      </c>
      <c r="DA27">
        <f t="shared" si="2"/>
        <v>1</v>
      </c>
      <c r="DB27">
        <v>0</v>
      </c>
    </row>
    <row r="28" spans="1:106" x14ac:dyDescent="0.2">
      <c r="A28">
        <f>ROW(Source!A38)</f>
        <v>38</v>
      </c>
      <c r="B28">
        <v>45037306</v>
      </c>
      <c r="C28">
        <v>45037441</v>
      </c>
      <c r="D28">
        <v>22725275</v>
      </c>
      <c r="E28">
        <v>1</v>
      </c>
      <c r="F28">
        <v>1</v>
      </c>
      <c r="G28">
        <v>22652947</v>
      </c>
      <c r="H28">
        <v>2</v>
      </c>
      <c r="I28" t="s">
        <v>648</v>
      </c>
      <c r="J28" t="s">
        <v>649</v>
      </c>
      <c r="K28" t="s">
        <v>650</v>
      </c>
      <c r="L28">
        <v>1367</v>
      </c>
      <c r="N28">
        <v>1011</v>
      </c>
      <c r="O28" t="s">
        <v>623</v>
      </c>
      <c r="P28" t="s">
        <v>623</v>
      </c>
      <c r="Q28">
        <v>1</v>
      </c>
      <c r="W28">
        <v>0</v>
      </c>
      <c r="X28">
        <v>1933621517</v>
      </c>
      <c r="Y28">
        <v>0.375</v>
      </c>
      <c r="AA28">
        <v>0</v>
      </c>
      <c r="AB28">
        <v>88.4</v>
      </c>
      <c r="AC28">
        <v>23.18</v>
      </c>
      <c r="AD28">
        <v>0</v>
      </c>
      <c r="AE28">
        <v>0</v>
      </c>
      <c r="AF28">
        <v>88.4</v>
      </c>
      <c r="AG28">
        <v>23.18</v>
      </c>
      <c r="AH28">
        <v>0</v>
      </c>
      <c r="AI28">
        <v>1</v>
      </c>
      <c r="AJ28">
        <v>1</v>
      </c>
      <c r="AK28">
        <v>1</v>
      </c>
      <c r="AL28">
        <v>1</v>
      </c>
      <c r="AN28">
        <v>0</v>
      </c>
      <c r="AO28">
        <v>1</v>
      </c>
      <c r="AP28">
        <v>1</v>
      </c>
      <c r="AQ28">
        <v>0</v>
      </c>
      <c r="AR28">
        <v>0</v>
      </c>
      <c r="AS28" t="s">
        <v>3</v>
      </c>
      <c r="AT28">
        <v>0.3</v>
      </c>
      <c r="AU28" t="s">
        <v>36</v>
      </c>
      <c r="AV28">
        <v>0</v>
      </c>
      <c r="AW28">
        <v>2</v>
      </c>
      <c r="AX28">
        <v>45038503</v>
      </c>
      <c r="AY28">
        <v>1</v>
      </c>
      <c r="AZ28">
        <v>0</v>
      </c>
      <c r="BA28">
        <v>26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CX28">
        <f>Y28*Source!I38</f>
        <v>7.2787500000000005E-2</v>
      </c>
      <c r="CY28">
        <f t="shared" si="0"/>
        <v>88.4</v>
      </c>
      <c r="CZ28">
        <f t="shared" si="1"/>
        <v>88.4</v>
      </c>
      <c r="DA28">
        <f t="shared" si="2"/>
        <v>1</v>
      </c>
      <c r="DB28">
        <v>0</v>
      </c>
    </row>
    <row r="29" spans="1:106" x14ac:dyDescent="0.2">
      <c r="A29">
        <f>ROW(Source!A38)</f>
        <v>38</v>
      </c>
      <c r="B29">
        <v>45037306</v>
      </c>
      <c r="C29">
        <v>45037441</v>
      </c>
      <c r="D29">
        <v>22725276</v>
      </c>
      <c r="E29">
        <v>1</v>
      </c>
      <c r="F29">
        <v>1</v>
      </c>
      <c r="G29">
        <v>22652947</v>
      </c>
      <c r="H29">
        <v>2</v>
      </c>
      <c r="I29" t="s">
        <v>651</v>
      </c>
      <c r="J29" t="s">
        <v>652</v>
      </c>
      <c r="K29" t="s">
        <v>653</v>
      </c>
      <c r="L29">
        <v>1367</v>
      </c>
      <c r="N29">
        <v>1011</v>
      </c>
      <c r="O29" t="s">
        <v>623</v>
      </c>
      <c r="P29" t="s">
        <v>623</v>
      </c>
      <c r="Q29">
        <v>1</v>
      </c>
      <c r="W29">
        <v>0</v>
      </c>
      <c r="X29">
        <v>2023875219</v>
      </c>
      <c r="Y29">
        <v>1.125</v>
      </c>
      <c r="AA29">
        <v>0</v>
      </c>
      <c r="AB29">
        <v>178.02</v>
      </c>
      <c r="AC29">
        <v>23.5</v>
      </c>
      <c r="AD29">
        <v>0</v>
      </c>
      <c r="AE29">
        <v>0</v>
      </c>
      <c r="AF29">
        <v>178.02</v>
      </c>
      <c r="AG29">
        <v>23.5</v>
      </c>
      <c r="AH29">
        <v>0</v>
      </c>
      <c r="AI29">
        <v>1</v>
      </c>
      <c r="AJ29">
        <v>1</v>
      </c>
      <c r="AK29">
        <v>1</v>
      </c>
      <c r="AL29">
        <v>1</v>
      </c>
      <c r="AN29">
        <v>0</v>
      </c>
      <c r="AO29">
        <v>1</v>
      </c>
      <c r="AP29">
        <v>1</v>
      </c>
      <c r="AQ29">
        <v>0</v>
      </c>
      <c r="AR29">
        <v>0</v>
      </c>
      <c r="AS29" t="s">
        <v>3</v>
      </c>
      <c r="AT29">
        <v>0.9</v>
      </c>
      <c r="AU29" t="s">
        <v>36</v>
      </c>
      <c r="AV29">
        <v>0</v>
      </c>
      <c r="AW29">
        <v>2</v>
      </c>
      <c r="AX29">
        <v>45038504</v>
      </c>
      <c r="AY29">
        <v>1</v>
      </c>
      <c r="AZ29">
        <v>0</v>
      </c>
      <c r="BA29">
        <v>27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CX29">
        <f>Y29*Source!I38</f>
        <v>0.21836249999999999</v>
      </c>
      <c r="CY29">
        <f t="shared" si="0"/>
        <v>178.02</v>
      </c>
      <c r="CZ29">
        <f t="shared" si="1"/>
        <v>178.02</v>
      </c>
      <c r="DA29">
        <f t="shared" si="2"/>
        <v>1</v>
      </c>
      <c r="DB29">
        <v>0</v>
      </c>
    </row>
    <row r="30" spans="1:106" x14ac:dyDescent="0.2">
      <c r="A30">
        <f>ROW(Source!A38)</f>
        <v>38</v>
      </c>
      <c r="B30">
        <v>45037306</v>
      </c>
      <c r="C30">
        <v>45037441</v>
      </c>
      <c r="D30">
        <v>22719662</v>
      </c>
      <c r="E30">
        <v>1</v>
      </c>
      <c r="F30">
        <v>1</v>
      </c>
      <c r="G30">
        <v>22652947</v>
      </c>
      <c r="H30">
        <v>3</v>
      </c>
      <c r="I30" t="s">
        <v>654</v>
      </c>
      <c r="J30" t="s">
        <v>655</v>
      </c>
      <c r="K30" t="s">
        <v>656</v>
      </c>
      <c r="L30">
        <v>1348</v>
      </c>
      <c r="N30">
        <v>1009</v>
      </c>
      <c r="O30" t="s">
        <v>29</v>
      </c>
      <c r="P30" t="s">
        <v>29</v>
      </c>
      <c r="Q30">
        <v>1000</v>
      </c>
      <c r="W30">
        <v>0</v>
      </c>
      <c r="X30">
        <v>253159774</v>
      </c>
      <c r="Y30">
        <v>0.04</v>
      </c>
      <c r="AA30">
        <v>1445.87</v>
      </c>
      <c r="AB30">
        <v>0</v>
      </c>
      <c r="AC30">
        <v>0</v>
      </c>
      <c r="AD30">
        <v>0</v>
      </c>
      <c r="AE30">
        <v>1445.87</v>
      </c>
      <c r="AF30">
        <v>0</v>
      </c>
      <c r="AG30">
        <v>0</v>
      </c>
      <c r="AH30">
        <v>0</v>
      </c>
      <c r="AI30">
        <v>1</v>
      </c>
      <c r="AJ30">
        <v>1</v>
      </c>
      <c r="AK30">
        <v>1</v>
      </c>
      <c r="AL30">
        <v>1</v>
      </c>
      <c r="AN30">
        <v>0</v>
      </c>
      <c r="AO30">
        <v>1</v>
      </c>
      <c r="AP30">
        <v>0</v>
      </c>
      <c r="AQ30">
        <v>0</v>
      </c>
      <c r="AR30">
        <v>0</v>
      </c>
      <c r="AS30" t="s">
        <v>3</v>
      </c>
      <c r="AT30">
        <v>0.04</v>
      </c>
      <c r="AU30" t="s">
        <v>3</v>
      </c>
      <c r="AV30">
        <v>0</v>
      </c>
      <c r="AW30">
        <v>2</v>
      </c>
      <c r="AX30">
        <v>45038505</v>
      </c>
      <c r="AY30">
        <v>1</v>
      </c>
      <c r="AZ30">
        <v>0</v>
      </c>
      <c r="BA30">
        <v>28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CX30">
        <f>Y30*Source!I38</f>
        <v>7.7640000000000001E-3</v>
      </c>
      <c r="CY30">
        <f>AA30</f>
        <v>1445.87</v>
      </c>
      <c r="CZ30">
        <f>AE30</f>
        <v>1445.87</v>
      </c>
      <c r="DA30">
        <f>AI30</f>
        <v>1</v>
      </c>
      <c r="DB30">
        <v>0</v>
      </c>
    </row>
    <row r="31" spans="1:106" x14ac:dyDescent="0.2">
      <c r="A31">
        <f>ROW(Source!A38)</f>
        <v>38</v>
      </c>
      <c r="B31">
        <v>45037306</v>
      </c>
      <c r="C31">
        <v>45037441</v>
      </c>
      <c r="D31">
        <v>22719650</v>
      </c>
      <c r="E31">
        <v>1</v>
      </c>
      <c r="F31">
        <v>1</v>
      </c>
      <c r="G31">
        <v>22652947</v>
      </c>
      <c r="H31">
        <v>3</v>
      </c>
      <c r="I31" t="s">
        <v>59</v>
      </c>
      <c r="J31" t="s">
        <v>61</v>
      </c>
      <c r="K31" t="s">
        <v>60</v>
      </c>
      <c r="L31">
        <v>1348</v>
      </c>
      <c r="N31">
        <v>1009</v>
      </c>
      <c r="O31" t="s">
        <v>29</v>
      </c>
      <c r="P31" t="s">
        <v>29</v>
      </c>
      <c r="Q31">
        <v>1000</v>
      </c>
      <c r="W31">
        <v>0</v>
      </c>
      <c r="X31">
        <v>-2137020924</v>
      </c>
      <c r="Y31">
        <v>9.58</v>
      </c>
      <c r="AA31">
        <v>305.75</v>
      </c>
      <c r="AB31">
        <v>0</v>
      </c>
      <c r="AC31">
        <v>0</v>
      </c>
      <c r="AD31">
        <v>0</v>
      </c>
      <c r="AE31">
        <v>305.75</v>
      </c>
      <c r="AF31">
        <v>0</v>
      </c>
      <c r="AG31">
        <v>0</v>
      </c>
      <c r="AH31">
        <v>0</v>
      </c>
      <c r="AI31">
        <v>1</v>
      </c>
      <c r="AJ31">
        <v>1</v>
      </c>
      <c r="AK31">
        <v>1</v>
      </c>
      <c r="AL31">
        <v>1</v>
      </c>
      <c r="AN31">
        <v>0</v>
      </c>
      <c r="AO31">
        <v>0</v>
      </c>
      <c r="AP31">
        <v>0</v>
      </c>
      <c r="AQ31">
        <v>0</v>
      </c>
      <c r="AR31">
        <v>0</v>
      </c>
      <c r="AS31" t="s">
        <v>3</v>
      </c>
      <c r="AT31">
        <v>9.58</v>
      </c>
      <c r="AU31" t="s">
        <v>3</v>
      </c>
      <c r="AV31">
        <v>0</v>
      </c>
      <c r="AW31">
        <v>1</v>
      </c>
      <c r="AX31">
        <v>-1</v>
      </c>
      <c r="AY31">
        <v>0</v>
      </c>
      <c r="AZ31">
        <v>0</v>
      </c>
      <c r="BA31" t="s">
        <v>3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CX31">
        <f>Y31*Source!I38</f>
        <v>1.859478</v>
      </c>
      <c r="CY31">
        <f>AA31</f>
        <v>305.75</v>
      </c>
      <c r="CZ31">
        <f>AE31</f>
        <v>305.75</v>
      </c>
      <c r="DA31">
        <f>AI31</f>
        <v>1</v>
      </c>
      <c r="DB31">
        <v>0</v>
      </c>
    </row>
    <row r="32" spans="1:106" x14ac:dyDescent="0.2">
      <c r="A32">
        <f>ROW(Source!A39)</f>
        <v>39</v>
      </c>
      <c r="B32">
        <v>45037307</v>
      </c>
      <c r="C32">
        <v>45037441</v>
      </c>
      <c r="D32">
        <v>22652952</v>
      </c>
      <c r="E32">
        <v>22652947</v>
      </c>
      <c r="F32">
        <v>1</v>
      </c>
      <c r="G32">
        <v>22652947</v>
      </c>
      <c r="H32">
        <v>1</v>
      </c>
      <c r="I32" t="s">
        <v>617</v>
      </c>
      <c r="J32" t="s">
        <v>3</v>
      </c>
      <c r="K32" t="s">
        <v>618</v>
      </c>
      <c r="L32">
        <v>1191</v>
      </c>
      <c r="N32">
        <v>1013</v>
      </c>
      <c r="O32" t="s">
        <v>619</v>
      </c>
      <c r="P32" t="s">
        <v>619</v>
      </c>
      <c r="Q32">
        <v>1</v>
      </c>
      <c r="W32">
        <v>0</v>
      </c>
      <c r="X32">
        <v>476480486</v>
      </c>
      <c r="Y32">
        <v>4.9334999999999996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1</v>
      </c>
      <c r="AJ32">
        <v>1</v>
      </c>
      <c r="AK32">
        <v>1</v>
      </c>
      <c r="AL32">
        <v>1</v>
      </c>
      <c r="AN32">
        <v>0</v>
      </c>
      <c r="AO32">
        <v>1</v>
      </c>
      <c r="AP32">
        <v>1</v>
      </c>
      <c r="AQ32">
        <v>0</v>
      </c>
      <c r="AR32">
        <v>0</v>
      </c>
      <c r="AS32" t="s">
        <v>3</v>
      </c>
      <c r="AT32">
        <v>4.29</v>
      </c>
      <c r="AU32" t="s">
        <v>37</v>
      </c>
      <c r="AV32">
        <v>1</v>
      </c>
      <c r="AW32">
        <v>2</v>
      </c>
      <c r="AX32">
        <v>45038496</v>
      </c>
      <c r="AY32">
        <v>1</v>
      </c>
      <c r="AZ32">
        <v>0</v>
      </c>
      <c r="BA32">
        <v>30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CX32">
        <f>Y32*Source!I39</f>
        <v>0.95759234999999987</v>
      </c>
      <c r="CY32">
        <f>AD32</f>
        <v>0</v>
      </c>
      <c r="CZ32">
        <f>AH32</f>
        <v>0</v>
      </c>
      <c r="DA32">
        <f>AL32</f>
        <v>1</v>
      </c>
      <c r="DB32">
        <v>0</v>
      </c>
    </row>
    <row r="33" spans="1:106" x14ac:dyDescent="0.2">
      <c r="A33">
        <f>ROW(Source!A39)</f>
        <v>39</v>
      </c>
      <c r="B33">
        <v>45037307</v>
      </c>
      <c r="C33">
        <v>45037441</v>
      </c>
      <c r="D33">
        <v>22725479</v>
      </c>
      <c r="E33">
        <v>1</v>
      </c>
      <c r="F33">
        <v>1</v>
      </c>
      <c r="G33">
        <v>22652947</v>
      </c>
      <c r="H33">
        <v>2</v>
      </c>
      <c r="I33" t="s">
        <v>620</v>
      </c>
      <c r="J33" t="s">
        <v>621</v>
      </c>
      <c r="K33" t="s">
        <v>622</v>
      </c>
      <c r="L33">
        <v>1367</v>
      </c>
      <c r="N33">
        <v>1011</v>
      </c>
      <c r="O33" t="s">
        <v>623</v>
      </c>
      <c r="P33" t="s">
        <v>623</v>
      </c>
      <c r="Q33">
        <v>1</v>
      </c>
      <c r="W33">
        <v>0</v>
      </c>
      <c r="X33">
        <v>-1426791</v>
      </c>
      <c r="Y33">
        <v>0.375</v>
      </c>
      <c r="AA33">
        <v>0</v>
      </c>
      <c r="AB33">
        <v>621.67999999999995</v>
      </c>
      <c r="AC33">
        <v>376.99</v>
      </c>
      <c r="AD33">
        <v>0</v>
      </c>
      <c r="AE33">
        <v>0</v>
      </c>
      <c r="AF33">
        <v>60.77</v>
      </c>
      <c r="AG33">
        <v>18.48</v>
      </c>
      <c r="AH33">
        <v>0</v>
      </c>
      <c r="AI33">
        <v>1</v>
      </c>
      <c r="AJ33">
        <v>10.23</v>
      </c>
      <c r="AK33">
        <v>20.399999999999999</v>
      </c>
      <c r="AL33">
        <v>1</v>
      </c>
      <c r="AN33">
        <v>0</v>
      </c>
      <c r="AO33">
        <v>1</v>
      </c>
      <c r="AP33">
        <v>1</v>
      </c>
      <c r="AQ33">
        <v>0</v>
      </c>
      <c r="AR33">
        <v>0</v>
      </c>
      <c r="AS33" t="s">
        <v>3</v>
      </c>
      <c r="AT33">
        <v>0.3</v>
      </c>
      <c r="AU33" t="s">
        <v>36</v>
      </c>
      <c r="AV33">
        <v>0</v>
      </c>
      <c r="AW33">
        <v>2</v>
      </c>
      <c r="AX33">
        <v>45038497</v>
      </c>
      <c r="AY33">
        <v>1</v>
      </c>
      <c r="AZ33">
        <v>0</v>
      </c>
      <c r="BA33">
        <v>31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CX33">
        <f>Y33*Source!I39</f>
        <v>7.2787500000000005E-2</v>
      </c>
      <c r="CY33">
        <f t="shared" ref="CY33:CY40" si="3">AB33</f>
        <v>621.67999999999995</v>
      </c>
      <c r="CZ33">
        <f t="shared" ref="CZ33:CZ40" si="4">AF33</f>
        <v>60.77</v>
      </c>
      <c r="DA33">
        <f t="shared" ref="DA33:DA40" si="5">AJ33</f>
        <v>10.23</v>
      </c>
      <c r="DB33">
        <v>0</v>
      </c>
    </row>
    <row r="34" spans="1:106" x14ac:dyDescent="0.2">
      <c r="A34">
        <f>ROW(Source!A39)</f>
        <v>39</v>
      </c>
      <c r="B34">
        <v>45037307</v>
      </c>
      <c r="C34">
        <v>45037441</v>
      </c>
      <c r="D34">
        <v>22725196</v>
      </c>
      <c r="E34">
        <v>1</v>
      </c>
      <c r="F34">
        <v>1</v>
      </c>
      <c r="G34">
        <v>22652947</v>
      </c>
      <c r="H34">
        <v>2</v>
      </c>
      <c r="I34" t="s">
        <v>633</v>
      </c>
      <c r="J34" t="s">
        <v>634</v>
      </c>
      <c r="K34" t="s">
        <v>635</v>
      </c>
      <c r="L34">
        <v>1367</v>
      </c>
      <c r="N34">
        <v>1011</v>
      </c>
      <c r="O34" t="s">
        <v>623</v>
      </c>
      <c r="P34" t="s">
        <v>623</v>
      </c>
      <c r="Q34">
        <v>1</v>
      </c>
      <c r="W34">
        <v>0</v>
      </c>
      <c r="X34">
        <v>1022351366</v>
      </c>
      <c r="Y34">
        <v>0.375</v>
      </c>
      <c r="AA34">
        <v>0</v>
      </c>
      <c r="AB34">
        <v>975.6</v>
      </c>
      <c r="AC34">
        <v>391.68</v>
      </c>
      <c r="AD34">
        <v>0</v>
      </c>
      <c r="AE34">
        <v>0</v>
      </c>
      <c r="AF34">
        <v>106.74</v>
      </c>
      <c r="AG34">
        <v>19.2</v>
      </c>
      <c r="AH34">
        <v>0</v>
      </c>
      <c r="AI34">
        <v>1</v>
      </c>
      <c r="AJ34">
        <v>9.14</v>
      </c>
      <c r="AK34">
        <v>20.399999999999999</v>
      </c>
      <c r="AL34">
        <v>1</v>
      </c>
      <c r="AN34">
        <v>0</v>
      </c>
      <c r="AO34">
        <v>1</v>
      </c>
      <c r="AP34">
        <v>1</v>
      </c>
      <c r="AQ34">
        <v>0</v>
      </c>
      <c r="AR34">
        <v>0</v>
      </c>
      <c r="AS34" t="s">
        <v>3</v>
      </c>
      <c r="AT34">
        <v>0.3</v>
      </c>
      <c r="AU34" t="s">
        <v>36</v>
      </c>
      <c r="AV34">
        <v>0</v>
      </c>
      <c r="AW34">
        <v>2</v>
      </c>
      <c r="AX34">
        <v>45038498</v>
      </c>
      <c r="AY34">
        <v>1</v>
      </c>
      <c r="AZ34">
        <v>0</v>
      </c>
      <c r="BA34">
        <v>32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CX34">
        <f>Y34*Source!I39</f>
        <v>7.2787500000000005E-2</v>
      </c>
      <c r="CY34">
        <f t="shared" si="3"/>
        <v>975.6</v>
      </c>
      <c r="CZ34">
        <f t="shared" si="4"/>
        <v>106.74</v>
      </c>
      <c r="DA34">
        <f t="shared" si="5"/>
        <v>9.14</v>
      </c>
      <c r="DB34">
        <v>0</v>
      </c>
    </row>
    <row r="35" spans="1:106" x14ac:dyDescent="0.2">
      <c r="A35">
        <f>ROW(Source!A39)</f>
        <v>39</v>
      </c>
      <c r="B35">
        <v>45037307</v>
      </c>
      <c r="C35">
        <v>45037441</v>
      </c>
      <c r="D35">
        <v>22725285</v>
      </c>
      <c r="E35">
        <v>1</v>
      </c>
      <c r="F35">
        <v>1</v>
      </c>
      <c r="G35">
        <v>22652947</v>
      </c>
      <c r="H35">
        <v>2</v>
      </c>
      <c r="I35" t="s">
        <v>636</v>
      </c>
      <c r="J35" t="s">
        <v>637</v>
      </c>
      <c r="K35" t="s">
        <v>638</v>
      </c>
      <c r="L35">
        <v>1367</v>
      </c>
      <c r="N35">
        <v>1011</v>
      </c>
      <c r="O35" t="s">
        <v>623</v>
      </c>
      <c r="P35" t="s">
        <v>623</v>
      </c>
      <c r="Q35">
        <v>1</v>
      </c>
      <c r="W35">
        <v>0</v>
      </c>
      <c r="X35">
        <v>1778166765</v>
      </c>
      <c r="Y35">
        <v>0.375</v>
      </c>
      <c r="AA35">
        <v>0</v>
      </c>
      <c r="AB35">
        <v>970.76</v>
      </c>
      <c r="AC35">
        <v>583.64</v>
      </c>
      <c r="AD35">
        <v>0</v>
      </c>
      <c r="AE35">
        <v>0</v>
      </c>
      <c r="AF35">
        <v>148.88999999999999</v>
      </c>
      <c r="AG35">
        <v>28.61</v>
      </c>
      <c r="AH35">
        <v>0</v>
      </c>
      <c r="AI35">
        <v>1</v>
      </c>
      <c r="AJ35">
        <v>6.52</v>
      </c>
      <c r="AK35">
        <v>20.399999999999999</v>
      </c>
      <c r="AL35">
        <v>1</v>
      </c>
      <c r="AN35">
        <v>0</v>
      </c>
      <c r="AO35">
        <v>1</v>
      </c>
      <c r="AP35">
        <v>1</v>
      </c>
      <c r="AQ35">
        <v>0</v>
      </c>
      <c r="AR35">
        <v>0</v>
      </c>
      <c r="AS35" t="s">
        <v>3</v>
      </c>
      <c r="AT35">
        <v>0.3</v>
      </c>
      <c r="AU35" t="s">
        <v>36</v>
      </c>
      <c r="AV35">
        <v>0</v>
      </c>
      <c r="AW35">
        <v>2</v>
      </c>
      <c r="AX35">
        <v>45038499</v>
      </c>
      <c r="AY35">
        <v>1</v>
      </c>
      <c r="AZ35">
        <v>0</v>
      </c>
      <c r="BA35">
        <v>33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CX35">
        <f>Y35*Source!I39</f>
        <v>7.2787500000000005E-2</v>
      </c>
      <c r="CY35">
        <f t="shared" si="3"/>
        <v>970.76</v>
      </c>
      <c r="CZ35">
        <f t="shared" si="4"/>
        <v>148.88999999999999</v>
      </c>
      <c r="DA35">
        <f t="shared" si="5"/>
        <v>6.52</v>
      </c>
      <c r="DB35">
        <v>0</v>
      </c>
    </row>
    <row r="36" spans="1:106" x14ac:dyDescent="0.2">
      <c r="A36">
        <f>ROW(Source!A39)</f>
        <v>39</v>
      </c>
      <c r="B36">
        <v>45037307</v>
      </c>
      <c r="C36">
        <v>45037441</v>
      </c>
      <c r="D36">
        <v>22725287</v>
      </c>
      <c r="E36">
        <v>1</v>
      </c>
      <c r="F36">
        <v>1</v>
      </c>
      <c r="G36">
        <v>22652947</v>
      </c>
      <c r="H36">
        <v>2</v>
      </c>
      <c r="I36" t="s">
        <v>639</v>
      </c>
      <c r="J36" t="s">
        <v>640</v>
      </c>
      <c r="K36" t="s">
        <v>641</v>
      </c>
      <c r="L36">
        <v>1367</v>
      </c>
      <c r="N36">
        <v>1011</v>
      </c>
      <c r="O36" t="s">
        <v>623</v>
      </c>
      <c r="P36" t="s">
        <v>623</v>
      </c>
      <c r="Q36">
        <v>1</v>
      </c>
      <c r="W36">
        <v>0</v>
      </c>
      <c r="X36">
        <v>1341797380</v>
      </c>
      <c r="Y36">
        <v>0.375</v>
      </c>
      <c r="AA36">
        <v>0</v>
      </c>
      <c r="AB36">
        <v>2660.92</v>
      </c>
      <c r="AC36">
        <v>874.14</v>
      </c>
      <c r="AD36">
        <v>0</v>
      </c>
      <c r="AE36">
        <v>0</v>
      </c>
      <c r="AF36">
        <v>249.15</v>
      </c>
      <c r="AG36">
        <v>42.85</v>
      </c>
      <c r="AH36">
        <v>0</v>
      </c>
      <c r="AI36">
        <v>1</v>
      </c>
      <c r="AJ36">
        <v>10.68</v>
      </c>
      <c r="AK36">
        <v>20.399999999999999</v>
      </c>
      <c r="AL36">
        <v>1</v>
      </c>
      <c r="AN36">
        <v>0</v>
      </c>
      <c r="AO36">
        <v>1</v>
      </c>
      <c r="AP36">
        <v>1</v>
      </c>
      <c r="AQ36">
        <v>0</v>
      </c>
      <c r="AR36">
        <v>0</v>
      </c>
      <c r="AS36" t="s">
        <v>3</v>
      </c>
      <c r="AT36">
        <v>0.3</v>
      </c>
      <c r="AU36" t="s">
        <v>36</v>
      </c>
      <c r="AV36">
        <v>0</v>
      </c>
      <c r="AW36">
        <v>2</v>
      </c>
      <c r="AX36">
        <v>45038500</v>
      </c>
      <c r="AY36">
        <v>1</v>
      </c>
      <c r="AZ36">
        <v>0</v>
      </c>
      <c r="BA36">
        <v>34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CX36">
        <f>Y36*Source!I39</f>
        <v>7.2787500000000005E-2</v>
      </c>
      <c r="CY36">
        <f t="shared" si="3"/>
        <v>2660.92</v>
      </c>
      <c r="CZ36">
        <f t="shared" si="4"/>
        <v>249.15</v>
      </c>
      <c r="DA36">
        <f t="shared" si="5"/>
        <v>10.68</v>
      </c>
      <c r="DB36">
        <v>0</v>
      </c>
    </row>
    <row r="37" spans="1:106" x14ac:dyDescent="0.2">
      <c r="A37">
        <f>ROW(Source!A39)</f>
        <v>39</v>
      </c>
      <c r="B37">
        <v>45037307</v>
      </c>
      <c r="C37">
        <v>45037441</v>
      </c>
      <c r="D37">
        <v>22725271</v>
      </c>
      <c r="E37">
        <v>1</v>
      </c>
      <c r="F37">
        <v>1</v>
      </c>
      <c r="G37">
        <v>22652947</v>
      </c>
      <c r="H37">
        <v>2</v>
      </c>
      <c r="I37" t="s">
        <v>642</v>
      </c>
      <c r="J37" t="s">
        <v>643</v>
      </c>
      <c r="K37" t="s">
        <v>644</v>
      </c>
      <c r="L37">
        <v>1367</v>
      </c>
      <c r="N37">
        <v>1011</v>
      </c>
      <c r="O37" t="s">
        <v>623</v>
      </c>
      <c r="P37" t="s">
        <v>623</v>
      </c>
      <c r="Q37">
        <v>1</v>
      </c>
      <c r="W37">
        <v>0</v>
      </c>
      <c r="X37">
        <v>-251987950</v>
      </c>
      <c r="Y37">
        <v>0.375</v>
      </c>
      <c r="AA37">
        <v>0</v>
      </c>
      <c r="AB37">
        <v>1034.8</v>
      </c>
      <c r="AC37">
        <v>466.14</v>
      </c>
      <c r="AD37">
        <v>0</v>
      </c>
      <c r="AE37">
        <v>0</v>
      </c>
      <c r="AF37">
        <v>84.82</v>
      </c>
      <c r="AG37">
        <v>22.85</v>
      </c>
      <c r="AH37">
        <v>0</v>
      </c>
      <c r="AI37">
        <v>1</v>
      </c>
      <c r="AJ37">
        <v>12.2</v>
      </c>
      <c r="AK37">
        <v>20.399999999999999</v>
      </c>
      <c r="AL37">
        <v>1</v>
      </c>
      <c r="AN37">
        <v>0</v>
      </c>
      <c r="AO37">
        <v>1</v>
      </c>
      <c r="AP37">
        <v>1</v>
      </c>
      <c r="AQ37">
        <v>0</v>
      </c>
      <c r="AR37">
        <v>0</v>
      </c>
      <c r="AS37" t="s">
        <v>3</v>
      </c>
      <c r="AT37">
        <v>0.3</v>
      </c>
      <c r="AU37" t="s">
        <v>36</v>
      </c>
      <c r="AV37">
        <v>0</v>
      </c>
      <c r="AW37">
        <v>2</v>
      </c>
      <c r="AX37">
        <v>45038501</v>
      </c>
      <c r="AY37">
        <v>1</v>
      </c>
      <c r="AZ37">
        <v>0</v>
      </c>
      <c r="BA37">
        <v>35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CX37">
        <f>Y37*Source!I39</f>
        <v>7.2787500000000005E-2</v>
      </c>
      <c r="CY37">
        <f t="shared" si="3"/>
        <v>1034.8</v>
      </c>
      <c r="CZ37">
        <f t="shared" si="4"/>
        <v>84.82</v>
      </c>
      <c r="DA37">
        <f t="shared" si="5"/>
        <v>12.2</v>
      </c>
      <c r="DB37">
        <v>0</v>
      </c>
    </row>
    <row r="38" spans="1:106" x14ac:dyDescent="0.2">
      <c r="A38">
        <f>ROW(Source!A39)</f>
        <v>39</v>
      </c>
      <c r="B38">
        <v>45037307</v>
      </c>
      <c r="C38">
        <v>45037441</v>
      </c>
      <c r="D38">
        <v>22725302</v>
      </c>
      <c r="E38">
        <v>1</v>
      </c>
      <c r="F38">
        <v>1</v>
      </c>
      <c r="G38">
        <v>22652947</v>
      </c>
      <c r="H38">
        <v>2</v>
      </c>
      <c r="I38" t="s">
        <v>645</v>
      </c>
      <c r="J38" t="s">
        <v>646</v>
      </c>
      <c r="K38" t="s">
        <v>647</v>
      </c>
      <c r="L38">
        <v>1367</v>
      </c>
      <c r="N38">
        <v>1011</v>
      </c>
      <c r="O38" t="s">
        <v>623</v>
      </c>
      <c r="P38" t="s">
        <v>623</v>
      </c>
      <c r="Q38">
        <v>1</v>
      </c>
      <c r="W38">
        <v>0</v>
      </c>
      <c r="X38">
        <v>-1272456651</v>
      </c>
      <c r="Y38">
        <v>0.375</v>
      </c>
      <c r="AA38">
        <v>0</v>
      </c>
      <c r="AB38">
        <v>1003.03</v>
      </c>
      <c r="AC38">
        <v>579.36</v>
      </c>
      <c r="AD38">
        <v>0</v>
      </c>
      <c r="AE38">
        <v>0</v>
      </c>
      <c r="AF38">
        <v>124.6</v>
      </c>
      <c r="AG38">
        <v>28.4</v>
      </c>
      <c r="AH38">
        <v>0</v>
      </c>
      <c r="AI38">
        <v>1</v>
      </c>
      <c r="AJ38">
        <v>8.0500000000000007</v>
      </c>
      <c r="AK38">
        <v>20.399999999999999</v>
      </c>
      <c r="AL38">
        <v>1</v>
      </c>
      <c r="AN38">
        <v>0</v>
      </c>
      <c r="AO38">
        <v>1</v>
      </c>
      <c r="AP38">
        <v>1</v>
      </c>
      <c r="AQ38">
        <v>0</v>
      </c>
      <c r="AR38">
        <v>0</v>
      </c>
      <c r="AS38" t="s">
        <v>3</v>
      </c>
      <c r="AT38">
        <v>0.3</v>
      </c>
      <c r="AU38" t="s">
        <v>36</v>
      </c>
      <c r="AV38">
        <v>0</v>
      </c>
      <c r="AW38">
        <v>2</v>
      </c>
      <c r="AX38">
        <v>45038502</v>
      </c>
      <c r="AY38">
        <v>1</v>
      </c>
      <c r="AZ38">
        <v>0</v>
      </c>
      <c r="BA38">
        <v>36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CX38">
        <f>Y38*Source!I39</f>
        <v>7.2787500000000005E-2</v>
      </c>
      <c r="CY38">
        <f t="shared" si="3"/>
        <v>1003.03</v>
      </c>
      <c r="CZ38">
        <f t="shared" si="4"/>
        <v>124.6</v>
      </c>
      <c r="DA38">
        <f t="shared" si="5"/>
        <v>8.0500000000000007</v>
      </c>
      <c r="DB38">
        <v>0</v>
      </c>
    </row>
    <row r="39" spans="1:106" x14ac:dyDescent="0.2">
      <c r="A39">
        <f>ROW(Source!A39)</f>
        <v>39</v>
      </c>
      <c r="B39">
        <v>45037307</v>
      </c>
      <c r="C39">
        <v>45037441</v>
      </c>
      <c r="D39">
        <v>22725275</v>
      </c>
      <c r="E39">
        <v>1</v>
      </c>
      <c r="F39">
        <v>1</v>
      </c>
      <c r="G39">
        <v>22652947</v>
      </c>
      <c r="H39">
        <v>2</v>
      </c>
      <c r="I39" t="s">
        <v>648</v>
      </c>
      <c r="J39" t="s">
        <v>649</v>
      </c>
      <c r="K39" t="s">
        <v>650</v>
      </c>
      <c r="L39">
        <v>1367</v>
      </c>
      <c r="N39">
        <v>1011</v>
      </c>
      <c r="O39" t="s">
        <v>623</v>
      </c>
      <c r="P39" t="s">
        <v>623</v>
      </c>
      <c r="Q39">
        <v>1</v>
      </c>
      <c r="W39">
        <v>0</v>
      </c>
      <c r="X39">
        <v>1933621517</v>
      </c>
      <c r="Y39">
        <v>0.375</v>
      </c>
      <c r="AA39">
        <v>0</v>
      </c>
      <c r="AB39">
        <v>1100.58</v>
      </c>
      <c r="AC39">
        <v>472.87</v>
      </c>
      <c r="AD39">
        <v>0</v>
      </c>
      <c r="AE39">
        <v>0</v>
      </c>
      <c r="AF39">
        <v>88.4</v>
      </c>
      <c r="AG39">
        <v>23.18</v>
      </c>
      <c r="AH39">
        <v>0</v>
      </c>
      <c r="AI39">
        <v>1</v>
      </c>
      <c r="AJ39">
        <v>12.45</v>
      </c>
      <c r="AK39">
        <v>20.399999999999999</v>
      </c>
      <c r="AL39">
        <v>1</v>
      </c>
      <c r="AN39">
        <v>0</v>
      </c>
      <c r="AO39">
        <v>1</v>
      </c>
      <c r="AP39">
        <v>1</v>
      </c>
      <c r="AQ39">
        <v>0</v>
      </c>
      <c r="AR39">
        <v>0</v>
      </c>
      <c r="AS39" t="s">
        <v>3</v>
      </c>
      <c r="AT39">
        <v>0.3</v>
      </c>
      <c r="AU39" t="s">
        <v>36</v>
      </c>
      <c r="AV39">
        <v>0</v>
      </c>
      <c r="AW39">
        <v>2</v>
      </c>
      <c r="AX39">
        <v>45038503</v>
      </c>
      <c r="AY39">
        <v>1</v>
      </c>
      <c r="AZ39">
        <v>0</v>
      </c>
      <c r="BA39">
        <v>37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CX39">
        <f>Y39*Source!I39</f>
        <v>7.2787500000000005E-2</v>
      </c>
      <c r="CY39">
        <f t="shared" si="3"/>
        <v>1100.58</v>
      </c>
      <c r="CZ39">
        <f t="shared" si="4"/>
        <v>88.4</v>
      </c>
      <c r="DA39">
        <f t="shared" si="5"/>
        <v>12.45</v>
      </c>
      <c r="DB39">
        <v>0</v>
      </c>
    </row>
    <row r="40" spans="1:106" x14ac:dyDescent="0.2">
      <c r="A40">
        <f>ROW(Source!A39)</f>
        <v>39</v>
      </c>
      <c r="B40">
        <v>45037307</v>
      </c>
      <c r="C40">
        <v>45037441</v>
      </c>
      <c r="D40">
        <v>22725276</v>
      </c>
      <c r="E40">
        <v>1</v>
      </c>
      <c r="F40">
        <v>1</v>
      </c>
      <c r="G40">
        <v>22652947</v>
      </c>
      <c r="H40">
        <v>2</v>
      </c>
      <c r="I40" t="s">
        <v>651</v>
      </c>
      <c r="J40" t="s">
        <v>652</v>
      </c>
      <c r="K40" t="s">
        <v>653</v>
      </c>
      <c r="L40">
        <v>1367</v>
      </c>
      <c r="N40">
        <v>1011</v>
      </c>
      <c r="O40" t="s">
        <v>623</v>
      </c>
      <c r="P40" t="s">
        <v>623</v>
      </c>
      <c r="Q40">
        <v>1</v>
      </c>
      <c r="W40">
        <v>0</v>
      </c>
      <c r="X40">
        <v>2023875219</v>
      </c>
      <c r="Y40">
        <v>1.125</v>
      </c>
      <c r="AA40">
        <v>0</v>
      </c>
      <c r="AB40">
        <v>1653.81</v>
      </c>
      <c r="AC40">
        <v>479.4</v>
      </c>
      <c r="AD40">
        <v>0</v>
      </c>
      <c r="AE40">
        <v>0</v>
      </c>
      <c r="AF40">
        <v>178.02</v>
      </c>
      <c r="AG40">
        <v>23.5</v>
      </c>
      <c r="AH40">
        <v>0</v>
      </c>
      <c r="AI40">
        <v>1</v>
      </c>
      <c r="AJ40">
        <v>9.2899999999999991</v>
      </c>
      <c r="AK40">
        <v>20.399999999999999</v>
      </c>
      <c r="AL40">
        <v>1</v>
      </c>
      <c r="AN40">
        <v>0</v>
      </c>
      <c r="AO40">
        <v>1</v>
      </c>
      <c r="AP40">
        <v>1</v>
      </c>
      <c r="AQ40">
        <v>0</v>
      </c>
      <c r="AR40">
        <v>0</v>
      </c>
      <c r="AS40" t="s">
        <v>3</v>
      </c>
      <c r="AT40">
        <v>0.9</v>
      </c>
      <c r="AU40" t="s">
        <v>36</v>
      </c>
      <c r="AV40">
        <v>0</v>
      </c>
      <c r="AW40">
        <v>2</v>
      </c>
      <c r="AX40">
        <v>45038504</v>
      </c>
      <c r="AY40">
        <v>1</v>
      </c>
      <c r="AZ40">
        <v>0</v>
      </c>
      <c r="BA40">
        <v>38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CX40">
        <f>Y40*Source!I39</f>
        <v>0.21836249999999999</v>
      </c>
      <c r="CY40">
        <f t="shared" si="3"/>
        <v>1653.81</v>
      </c>
      <c r="CZ40">
        <f t="shared" si="4"/>
        <v>178.02</v>
      </c>
      <c r="DA40">
        <f t="shared" si="5"/>
        <v>9.2899999999999991</v>
      </c>
      <c r="DB40">
        <v>0</v>
      </c>
    </row>
    <row r="41" spans="1:106" x14ac:dyDescent="0.2">
      <c r="A41">
        <f>ROW(Source!A39)</f>
        <v>39</v>
      </c>
      <c r="B41">
        <v>45037307</v>
      </c>
      <c r="C41">
        <v>45037441</v>
      </c>
      <c r="D41">
        <v>22719662</v>
      </c>
      <c r="E41">
        <v>1</v>
      </c>
      <c r="F41">
        <v>1</v>
      </c>
      <c r="G41">
        <v>22652947</v>
      </c>
      <c r="H41">
        <v>3</v>
      </c>
      <c r="I41" t="s">
        <v>654</v>
      </c>
      <c r="J41" t="s">
        <v>655</v>
      </c>
      <c r="K41" t="s">
        <v>656</v>
      </c>
      <c r="L41">
        <v>1348</v>
      </c>
      <c r="N41">
        <v>1009</v>
      </c>
      <c r="O41" t="s">
        <v>29</v>
      </c>
      <c r="P41" t="s">
        <v>29</v>
      </c>
      <c r="Q41">
        <v>1000</v>
      </c>
      <c r="W41">
        <v>0</v>
      </c>
      <c r="X41">
        <v>253159774</v>
      </c>
      <c r="Y41">
        <v>0.04</v>
      </c>
      <c r="AA41">
        <v>12955</v>
      </c>
      <c r="AB41">
        <v>0</v>
      </c>
      <c r="AC41">
        <v>0</v>
      </c>
      <c r="AD41">
        <v>0</v>
      </c>
      <c r="AE41">
        <v>1445.87</v>
      </c>
      <c r="AF41">
        <v>0</v>
      </c>
      <c r="AG41">
        <v>0</v>
      </c>
      <c r="AH41">
        <v>0</v>
      </c>
      <c r="AI41">
        <v>8.9600000000000009</v>
      </c>
      <c r="AJ41">
        <v>1</v>
      </c>
      <c r="AK41">
        <v>1</v>
      </c>
      <c r="AL41">
        <v>1</v>
      </c>
      <c r="AN41">
        <v>0</v>
      </c>
      <c r="AO41">
        <v>1</v>
      </c>
      <c r="AP41">
        <v>0</v>
      </c>
      <c r="AQ41">
        <v>0</v>
      </c>
      <c r="AR41">
        <v>0</v>
      </c>
      <c r="AS41" t="s">
        <v>3</v>
      </c>
      <c r="AT41">
        <v>0.04</v>
      </c>
      <c r="AU41" t="s">
        <v>3</v>
      </c>
      <c r="AV41">
        <v>0</v>
      </c>
      <c r="AW41">
        <v>2</v>
      </c>
      <c r="AX41">
        <v>45038505</v>
      </c>
      <c r="AY41">
        <v>1</v>
      </c>
      <c r="AZ41">
        <v>0</v>
      </c>
      <c r="BA41">
        <v>39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CX41">
        <f>Y41*Source!I39</f>
        <v>7.7640000000000001E-3</v>
      </c>
      <c r="CY41">
        <f>AA41</f>
        <v>12955</v>
      </c>
      <c r="CZ41">
        <f>AE41</f>
        <v>1445.87</v>
      </c>
      <c r="DA41">
        <f>AI41</f>
        <v>8.9600000000000009</v>
      </c>
      <c r="DB41">
        <v>0</v>
      </c>
    </row>
    <row r="42" spans="1:106" x14ac:dyDescent="0.2">
      <c r="A42">
        <f>ROW(Source!A39)</f>
        <v>39</v>
      </c>
      <c r="B42">
        <v>45037307</v>
      </c>
      <c r="C42">
        <v>45037441</v>
      </c>
      <c r="D42">
        <v>22719650</v>
      </c>
      <c r="E42">
        <v>1</v>
      </c>
      <c r="F42">
        <v>1</v>
      </c>
      <c r="G42">
        <v>22652947</v>
      </c>
      <c r="H42">
        <v>3</v>
      </c>
      <c r="I42" t="s">
        <v>59</v>
      </c>
      <c r="J42" t="s">
        <v>61</v>
      </c>
      <c r="K42" t="s">
        <v>60</v>
      </c>
      <c r="L42">
        <v>1348</v>
      </c>
      <c r="N42">
        <v>1009</v>
      </c>
      <c r="O42" t="s">
        <v>29</v>
      </c>
      <c r="P42" t="s">
        <v>29</v>
      </c>
      <c r="Q42">
        <v>1000</v>
      </c>
      <c r="W42">
        <v>0</v>
      </c>
      <c r="X42">
        <v>-2137020924</v>
      </c>
      <c r="Y42">
        <v>9.58</v>
      </c>
      <c r="AA42">
        <v>2580.5300000000002</v>
      </c>
      <c r="AB42">
        <v>0</v>
      </c>
      <c r="AC42">
        <v>0</v>
      </c>
      <c r="AD42">
        <v>0</v>
      </c>
      <c r="AE42">
        <v>305.75</v>
      </c>
      <c r="AF42">
        <v>0</v>
      </c>
      <c r="AG42">
        <v>0</v>
      </c>
      <c r="AH42">
        <v>0</v>
      </c>
      <c r="AI42">
        <v>8.44</v>
      </c>
      <c r="AJ42">
        <v>1</v>
      </c>
      <c r="AK42">
        <v>1</v>
      </c>
      <c r="AL42">
        <v>1</v>
      </c>
      <c r="AN42">
        <v>0</v>
      </c>
      <c r="AO42">
        <v>0</v>
      </c>
      <c r="AP42">
        <v>0</v>
      </c>
      <c r="AQ42">
        <v>0</v>
      </c>
      <c r="AR42">
        <v>0</v>
      </c>
      <c r="AS42" t="s">
        <v>3</v>
      </c>
      <c r="AT42">
        <v>9.58</v>
      </c>
      <c r="AU42" t="s">
        <v>3</v>
      </c>
      <c r="AV42">
        <v>0</v>
      </c>
      <c r="AW42">
        <v>1</v>
      </c>
      <c r="AX42">
        <v>-1</v>
      </c>
      <c r="AY42">
        <v>0</v>
      </c>
      <c r="AZ42">
        <v>0</v>
      </c>
      <c r="BA42" t="s">
        <v>3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CX42">
        <f>Y42*Source!I39</f>
        <v>1.859478</v>
      </c>
      <c r="CY42">
        <f>AA42</f>
        <v>2580.5300000000002</v>
      </c>
      <c r="CZ42">
        <f>AE42</f>
        <v>305.75</v>
      </c>
      <c r="DA42">
        <f>AI42</f>
        <v>8.44</v>
      </c>
      <c r="DB42">
        <v>0</v>
      </c>
    </row>
    <row r="43" spans="1:106" x14ac:dyDescent="0.2">
      <c r="A43">
        <f>ROW(Source!A42)</f>
        <v>42</v>
      </c>
      <c r="B43">
        <v>45037306</v>
      </c>
      <c r="C43">
        <v>45037465</v>
      </c>
      <c r="D43">
        <v>22652952</v>
      </c>
      <c r="E43">
        <v>22652947</v>
      </c>
      <c r="F43">
        <v>1</v>
      </c>
      <c r="G43">
        <v>22652947</v>
      </c>
      <c r="H43">
        <v>1</v>
      </c>
      <c r="I43" t="s">
        <v>617</v>
      </c>
      <c r="J43" t="s">
        <v>3</v>
      </c>
      <c r="K43" t="s">
        <v>618</v>
      </c>
      <c r="L43">
        <v>1191</v>
      </c>
      <c r="N43">
        <v>1013</v>
      </c>
      <c r="O43" t="s">
        <v>619</v>
      </c>
      <c r="P43" t="s">
        <v>619</v>
      </c>
      <c r="Q43">
        <v>1</v>
      </c>
      <c r="W43">
        <v>0</v>
      </c>
      <c r="X43">
        <v>476480486</v>
      </c>
      <c r="Y43">
        <v>5.4855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1</v>
      </c>
      <c r="AJ43">
        <v>1</v>
      </c>
      <c r="AK43">
        <v>1</v>
      </c>
      <c r="AL43">
        <v>1</v>
      </c>
      <c r="AN43">
        <v>0</v>
      </c>
      <c r="AO43">
        <v>1</v>
      </c>
      <c r="AP43">
        <v>1</v>
      </c>
      <c r="AQ43">
        <v>0</v>
      </c>
      <c r="AR43">
        <v>0</v>
      </c>
      <c r="AS43" t="s">
        <v>3</v>
      </c>
      <c r="AT43">
        <v>0.53</v>
      </c>
      <c r="AU43" t="s">
        <v>68</v>
      </c>
      <c r="AV43">
        <v>1</v>
      </c>
      <c r="AW43">
        <v>2</v>
      </c>
      <c r="AX43">
        <v>45038507</v>
      </c>
      <c r="AY43">
        <v>1</v>
      </c>
      <c r="AZ43">
        <v>0</v>
      </c>
      <c r="BA43">
        <v>41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CX43">
        <f>Y43*Source!I42</f>
        <v>1.06473555</v>
      </c>
      <c r="CY43">
        <f>AD43</f>
        <v>0</v>
      </c>
      <c r="CZ43">
        <f>AH43</f>
        <v>0</v>
      </c>
      <c r="DA43">
        <f>AL43</f>
        <v>1</v>
      </c>
      <c r="DB43">
        <v>0</v>
      </c>
    </row>
    <row r="44" spans="1:106" x14ac:dyDescent="0.2">
      <c r="A44">
        <f>ROW(Source!A42)</f>
        <v>42</v>
      </c>
      <c r="B44">
        <v>45037306</v>
      </c>
      <c r="C44">
        <v>45037465</v>
      </c>
      <c r="D44">
        <v>22725196</v>
      </c>
      <c r="E44">
        <v>1</v>
      </c>
      <c r="F44">
        <v>1</v>
      </c>
      <c r="G44">
        <v>22652947</v>
      </c>
      <c r="H44">
        <v>2</v>
      </c>
      <c r="I44" t="s">
        <v>633</v>
      </c>
      <c r="J44" t="s">
        <v>634</v>
      </c>
      <c r="K44" t="s">
        <v>635</v>
      </c>
      <c r="L44">
        <v>1367</v>
      </c>
      <c r="N44">
        <v>1011</v>
      </c>
      <c r="O44" t="s">
        <v>623</v>
      </c>
      <c r="P44" t="s">
        <v>623</v>
      </c>
      <c r="Q44">
        <v>1</v>
      </c>
      <c r="W44">
        <v>0</v>
      </c>
      <c r="X44">
        <v>1022351366</v>
      </c>
      <c r="Y44">
        <v>0.84374999999999989</v>
      </c>
      <c r="AA44">
        <v>0</v>
      </c>
      <c r="AB44">
        <v>106.74</v>
      </c>
      <c r="AC44">
        <v>19.2</v>
      </c>
      <c r="AD44">
        <v>0</v>
      </c>
      <c r="AE44">
        <v>0</v>
      </c>
      <c r="AF44">
        <v>106.74</v>
      </c>
      <c r="AG44">
        <v>19.2</v>
      </c>
      <c r="AH44">
        <v>0</v>
      </c>
      <c r="AI44">
        <v>1</v>
      </c>
      <c r="AJ44">
        <v>1</v>
      </c>
      <c r="AK44">
        <v>1</v>
      </c>
      <c r="AL44">
        <v>1</v>
      </c>
      <c r="AN44">
        <v>0</v>
      </c>
      <c r="AO44">
        <v>1</v>
      </c>
      <c r="AP44">
        <v>1</v>
      </c>
      <c r="AQ44">
        <v>0</v>
      </c>
      <c r="AR44">
        <v>0</v>
      </c>
      <c r="AS44" t="s">
        <v>3</v>
      </c>
      <c r="AT44">
        <v>7.4999999999999997E-2</v>
      </c>
      <c r="AU44" t="s">
        <v>67</v>
      </c>
      <c r="AV44">
        <v>0</v>
      </c>
      <c r="AW44">
        <v>2</v>
      </c>
      <c r="AX44">
        <v>45038508</v>
      </c>
      <c r="AY44">
        <v>1</v>
      </c>
      <c r="AZ44">
        <v>0</v>
      </c>
      <c r="BA44">
        <v>42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CX44">
        <f>Y44*Source!I42</f>
        <v>0.16377187499999998</v>
      </c>
      <c r="CY44">
        <f>AB44</f>
        <v>106.74</v>
      </c>
      <c r="CZ44">
        <f>AF44</f>
        <v>106.74</v>
      </c>
      <c r="DA44">
        <f>AJ44</f>
        <v>1</v>
      </c>
      <c r="DB44">
        <v>0</v>
      </c>
    </row>
    <row r="45" spans="1:106" x14ac:dyDescent="0.2">
      <c r="A45">
        <f>ROW(Source!A42)</f>
        <v>42</v>
      </c>
      <c r="B45">
        <v>45037306</v>
      </c>
      <c r="C45">
        <v>45037465</v>
      </c>
      <c r="D45">
        <v>22725302</v>
      </c>
      <c r="E45">
        <v>1</v>
      </c>
      <c r="F45">
        <v>1</v>
      </c>
      <c r="G45">
        <v>22652947</v>
      </c>
      <c r="H45">
        <v>2</v>
      </c>
      <c r="I45" t="s">
        <v>645</v>
      </c>
      <c r="J45" t="s">
        <v>646</v>
      </c>
      <c r="K45" t="s">
        <v>647</v>
      </c>
      <c r="L45">
        <v>1367</v>
      </c>
      <c r="N45">
        <v>1011</v>
      </c>
      <c r="O45" t="s">
        <v>623</v>
      </c>
      <c r="P45" t="s">
        <v>623</v>
      </c>
      <c r="Q45">
        <v>1</v>
      </c>
      <c r="W45">
        <v>0</v>
      </c>
      <c r="X45">
        <v>-1272456651</v>
      </c>
      <c r="Y45">
        <v>0.84374999999999989</v>
      </c>
      <c r="AA45">
        <v>0</v>
      </c>
      <c r="AB45">
        <v>124.6</v>
      </c>
      <c r="AC45">
        <v>28.4</v>
      </c>
      <c r="AD45">
        <v>0</v>
      </c>
      <c r="AE45">
        <v>0</v>
      </c>
      <c r="AF45">
        <v>124.6</v>
      </c>
      <c r="AG45">
        <v>28.4</v>
      </c>
      <c r="AH45">
        <v>0</v>
      </c>
      <c r="AI45">
        <v>1</v>
      </c>
      <c r="AJ45">
        <v>1</v>
      </c>
      <c r="AK45">
        <v>1</v>
      </c>
      <c r="AL45">
        <v>1</v>
      </c>
      <c r="AN45">
        <v>0</v>
      </c>
      <c r="AO45">
        <v>1</v>
      </c>
      <c r="AP45">
        <v>1</v>
      </c>
      <c r="AQ45">
        <v>0</v>
      </c>
      <c r="AR45">
        <v>0</v>
      </c>
      <c r="AS45" t="s">
        <v>3</v>
      </c>
      <c r="AT45">
        <v>7.4999999999999997E-2</v>
      </c>
      <c r="AU45" t="s">
        <v>67</v>
      </c>
      <c r="AV45">
        <v>0</v>
      </c>
      <c r="AW45">
        <v>2</v>
      </c>
      <c r="AX45">
        <v>45038509</v>
      </c>
      <c r="AY45">
        <v>1</v>
      </c>
      <c r="AZ45">
        <v>0</v>
      </c>
      <c r="BA45">
        <v>43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CX45">
        <f>Y45*Source!I42</f>
        <v>0.16377187499999998</v>
      </c>
      <c r="CY45">
        <f>AB45</f>
        <v>124.6</v>
      </c>
      <c r="CZ45">
        <f>AF45</f>
        <v>124.6</v>
      </c>
      <c r="DA45">
        <f>AJ45</f>
        <v>1</v>
      </c>
      <c r="DB45">
        <v>0</v>
      </c>
    </row>
    <row r="46" spans="1:106" x14ac:dyDescent="0.2">
      <c r="A46">
        <f>ROW(Source!A42)</f>
        <v>42</v>
      </c>
      <c r="B46">
        <v>45037306</v>
      </c>
      <c r="C46">
        <v>45037465</v>
      </c>
      <c r="D46">
        <v>22719650</v>
      </c>
      <c r="E46">
        <v>1</v>
      </c>
      <c r="F46">
        <v>1</v>
      </c>
      <c r="G46">
        <v>22652947</v>
      </c>
      <c r="H46">
        <v>3</v>
      </c>
      <c r="I46" t="s">
        <v>59</v>
      </c>
      <c r="J46" t="s">
        <v>61</v>
      </c>
      <c r="K46" t="s">
        <v>60</v>
      </c>
      <c r="L46">
        <v>1348</v>
      </c>
      <c r="N46">
        <v>1009</v>
      </c>
      <c r="O46" t="s">
        <v>29</v>
      </c>
      <c r="P46" t="s">
        <v>29</v>
      </c>
      <c r="Q46">
        <v>1000</v>
      </c>
      <c r="W46">
        <v>0</v>
      </c>
      <c r="X46">
        <v>-2137020924</v>
      </c>
      <c r="Y46">
        <v>9.58</v>
      </c>
      <c r="AA46">
        <v>305.75</v>
      </c>
      <c r="AB46">
        <v>0</v>
      </c>
      <c r="AC46">
        <v>0</v>
      </c>
      <c r="AD46">
        <v>0</v>
      </c>
      <c r="AE46">
        <v>305.75</v>
      </c>
      <c r="AF46">
        <v>0</v>
      </c>
      <c r="AG46">
        <v>0</v>
      </c>
      <c r="AH46">
        <v>0</v>
      </c>
      <c r="AI46">
        <v>1</v>
      </c>
      <c r="AJ46">
        <v>1</v>
      </c>
      <c r="AK46">
        <v>1</v>
      </c>
      <c r="AL46">
        <v>1</v>
      </c>
      <c r="AN46">
        <v>0</v>
      </c>
      <c r="AO46">
        <v>0</v>
      </c>
      <c r="AP46">
        <v>1</v>
      </c>
      <c r="AQ46">
        <v>0</v>
      </c>
      <c r="AR46">
        <v>0</v>
      </c>
      <c r="AS46" t="s">
        <v>3</v>
      </c>
      <c r="AT46">
        <v>9.58</v>
      </c>
      <c r="AU46" t="s">
        <v>3</v>
      </c>
      <c r="AV46">
        <v>0</v>
      </c>
      <c r="AW46">
        <v>1</v>
      </c>
      <c r="AX46">
        <v>-1</v>
      </c>
      <c r="AY46">
        <v>0</v>
      </c>
      <c r="AZ46">
        <v>0</v>
      </c>
      <c r="BA46" t="s">
        <v>3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CX46">
        <f>Y46*Source!I42</f>
        <v>1.859478</v>
      </c>
      <c r="CY46">
        <f>AA46</f>
        <v>305.75</v>
      </c>
      <c r="CZ46">
        <f>AE46</f>
        <v>305.75</v>
      </c>
      <c r="DA46">
        <f>AI46</f>
        <v>1</v>
      </c>
      <c r="DB46">
        <v>0</v>
      </c>
    </row>
    <row r="47" spans="1:106" x14ac:dyDescent="0.2">
      <c r="A47">
        <f>ROW(Source!A43)</f>
        <v>43</v>
      </c>
      <c r="B47">
        <v>45037307</v>
      </c>
      <c r="C47">
        <v>45037465</v>
      </c>
      <c r="D47">
        <v>22652952</v>
      </c>
      <c r="E47">
        <v>22652947</v>
      </c>
      <c r="F47">
        <v>1</v>
      </c>
      <c r="G47">
        <v>22652947</v>
      </c>
      <c r="H47">
        <v>1</v>
      </c>
      <c r="I47" t="s">
        <v>617</v>
      </c>
      <c r="J47" t="s">
        <v>3</v>
      </c>
      <c r="K47" t="s">
        <v>618</v>
      </c>
      <c r="L47">
        <v>1191</v>
      </c>
      <c r="N47">
        <v>1013</v>
      </c>
      <c r="O47" t="s">
        <v>619</v>
      </c>
      <c r="P47" t="s">
        <v>619</v>
      </c>
      <c r="Q47">
        <v>1</v>
      </c>
      <c r="W47">
        <v>0</v>
      </c>
      <c r="X47">
        <v>476480486</v>
      </c>
      <c r="Y47">
        <v>5.4855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1</v>
      </c>
      <c r="AJ47">
        <v>1</v>
      </c>
      <c r="AK47">
        <v>1</v>
      </c>
      <c r="AL47">
        <v>1</v>
      </c>
      <c r="AN47">
        <v>0</v>
      </c>
      <c r="AO47">
        <v>1</v>
      </c>
      <c r="AP47">
        <v>1</v>
      </c>
      <c r="AQ47">
        <v>0</v>
      </c>
      <c r="AR47">
        <v>0</v>
      </c>
      <c r="AS47" t="s">
        <v>3</v>
      </c>
      <c r="AT47">
        <v>0.53</v>
      </c>
      <c r="AU47" t="s">
        <v>68</v>
      </c>
      <c r="AV47">
        <v>1</v>
      </c>
      <c r="AW47">
        <v>2</v>
      </c>
      <c r="AX47">
        <v>45038507</v>
      </c>
      <c r="AY47">
        <v>1</v>
      </c>
      <c r="AZ47">
        <v>0</v>
      </c>
      <c r="BA47">
        <v>45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CX47">
        <f>Y47*Source!I43</f>
        <v>1.06473555</v>
      </c>
      <c r="CY47">
        <f>AD47</f>
        <v>0</v>
      </c>
      <c r="CZ47">
        <f>AH47</f>
        <v>0</v>
      </c>
      <c r="DA47">
        <f>AL47</f>
        <v>1</v>
      </c>
      <c r="DB47">
        <v>0</v>
      </c>
    </row>
    <row r="48" spans="1:106" x14ac:dyDescent="0.2">
      <c r="A48">
        <f>ROW(Source!A43)</f>
        <v>43</v>
      </c>
      <c r="B48">
        <v>45037307</v>
      </c>
      <c r="C48">
        <v>45037465</v>
      </c>
      <c r="D48">
        <v>22725196</v>
      </c>
      <c r="E48">
        <v>1</v>
      </c>
      <c r="F48">
        <v>1</v>
      </c>
      <c r="G48">
        <v>22652947</v>
      </c>
      <c r="H48">
        <v>2</v>
      </c>
      <c r="I48" t="s">
        <v>633</v>
      </c>
      <c r="J48" t="s">
        <v>634</v>
      </c>
      <c r="K48" t="s">
        <v>635</v>
      </c>
      <c r="L48">
        <v>1367</v>
      </c>
      <c r="N48">
        <v>1011</v>
      </c>
      <c r="O48" t="s">
        <v>623</v>
      </c>
      <c r="P48" t="s">
        <v>623</v>
      </c>
      <c r="Q48">
        <v>1</v>
      </c>
      <c r="W48">
        <v>0</v>
      </c>
      <c r="X48">
        <v>1022351366</v>
      </c>
      <c r="Y48">
        <v>0.84374999999999989</v>
      </c>
      <c r="AA48">
        <v>0</v>
      </c>
      <c r="AB48">
        <v>975.6</v>
      </c>
      <c r="AC48">
        <v>391.68</v>
      </c>
      <c r="AD48">
        <v>0</v>
      </c>
      <c r="AE48">
        <v>0</v>
      </c>
      <c r="AF48">
        <v>106.74</v>
      </c>
      <c r="AG48">
        <v>19.2</v>
      </c>
      <c r="AH48">
        <v>0</v>
      </c>
      <c r="AI48">
        <v>1</v>
      </c>
      <c r="AJ48">
        <v>9.14</v>
      </c>
      <c r="AK48">
        <v>20.399999999999999</v>
      </c>
      <c r="AL48">
        <v>1</v>
      </c>
      <c r="AN48">
        <v>0</v>
      </c>
      <c r="AO48">
        <v>1</v>
      </c>
      <c r="AP48">
        <v>1</v>
      </c>
      <c r="AQ48">
        <v>0</v>
      </c>
      <c r="AR48">
        <v>0</v>
      </c>
      <c r="AS48" t="s">
        <v>3</v>
      </c>
      <c r="AT48">
        <v>7.4999999999999997E-2</v>
      </c>
      <c r="AU48" t="s">
        <v>67</v>
      </c>
      <c r="AV48">
        <v>0</v>
      </c>
      <c r="AW48">
        <v>2</v>
      </c>
      <c r="AX48">
        <v>45038508</v>
      </c>
      <c r="AY48">
        <v>1</v>
      </c>
      <c r="AZ48">
        <v>0</v>
      </c>
      <c r="BA48">
        <v>46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CX48">
        <f>Y48*Source!I43</f>
        <v>0.16377187499999998</v>
      </c>
      <c r="CY48">
        <f>AB48</f>
        <v>975.6</v>
      </c>
      <c r="CZ48">
        <f>AF48</f>
        <v>106.74</v>
      </c>
      <c r="DA48">
        <f>AJ48</f>
        <v>9.14</v>
      </c>
      <c r="DB48">
        <v>0</v>
      </c>
    </row>
    <row r="49" spans="1:106" x14ac:dyDescent="0.2">
      <c r="A49">
        <f>ROW(Source!A43)</f>
        <v>43</v>
      </c>
      <c r="B49">
        <v>45037307</v>
      </c>
      <c r="C49">
        <v>45037465</v>
      </c>
      <c r="D49">
        <v>22725302</v>
      </c>
      <c r="E49">
        <v>1</v>
      </c>
      <c r="F49">
        <v>1</v>
      </c>
      <c r="G49">
        <v>22652947</v>
      </c>
      <c r="H49">
        <v>2</v>
      </c>
      <c r="I49" t="s">
        <v>645</v>
      </c>
      <c r="J49" t="s">
        <v>646</v>
      </c>
      <c r="K49" t="s">
        <v>647</v>
      </c>
      <c r="L49">
        <v>1367</v>
      </c>
      <c r="N49">
        <v>1011</v>
      </c>
      <c r="O49" t="s">
        <v>623</v>
      </c>
      <c r="P49" t="s">
        <v>623</v>
      </c>
      <c r="Q49">
        <v>1</v>
      </c>
      <c r="W49">
        <v>0</v>
      </c>
      <c r="X49">
        <v>-1272456651</v>
      </c>
      <c r="Y49">
        <v>0.84374999999999989</v>
      </c>
      <c r="AA49">
        <v>0</v>
      </c>
      <c r="AB49">
        <v>1003.03</v>
      </c>
      <c r="AC49">
        <v>579.36</v>
      </c>
      <c r="AD49">
        <v>0</v>
      </c>
      <c r="AE49">
        <v>0</v>
      </c>
      <c r="AF49">
        <v>124.6</v>
      </c>
      <c r="AG49">
        <v>28.4</v>
      </c>
      <c r="AH49">
        <v>0</v>
      </c>
      <c r="AI49">
        <v>1</v>
      </c>
      <c r="AJ49">
        <v>8.0500000000000007</v>
      </c>
      <c r="AK49">
        <v>20.399999999999999</v>
      </c>
      <c r="AL49">
        <v>1</v>
      </c>
      <c r="AN49">
        <v>0</v>
      </c>
      <c r="AO49">
        <v>1</v>
      </c>
      <c r="AP49">
        <v>1</v>
      </c>
      <c r="AQ49">
        <v>0</v>
      </c>
      <c r="AR49">
        <v>0</v>
      </c>
      <c r="AS49" t="s">
        <v>3</v>
      </c>
      <c r="AT49">
        <v>7.4999999999999997E-2</v>
      </c>
      <c r="AU49" t="s">
        <v>67</v>
      </c>
      <c r="AV49">
        <v>0</v>
      </c>
      <c r="AW49">
        <v>2</v>
      </c>
      <c r="AX49">
        <v>45038509</v>
      </c>
      <c r="AY49">
        <v>1</v>
      </c>
      <c r="AZ49">
        <v>0</v>
      </c>
      <c r="BA49">
        <v>47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CX49">
        <f>Y49*Source!I43</f>
        <v>0.16377187499999998</v>
      </c>
      <c r="CY49">
        <f>AB49</f>
        <v>1003.03</v>
      </c>
      <c r="CZ49">
        <f>AF49</f>
        <v>124.6</v>
      </c>
      <c r="DA49">
        <f>AJ49</f>
        <v>8.0500000000000007</v>
      </c>
      <c r="DB49">
        <v>0</v>
      </c>
    </row>
    <row r="50" spans="1:106" x14ac:dyDescent="0.2">
      <c r="A50">
        <f>ROW(Source!A43)</f>
        <v>43</v>
      </c>
      <c r="B50">
        <v>45037307</v>
      </c>
      <c r="C50">
        <v>45037465</v>
      </c>
      <c r="D50">
        <v>22719650</v>
      </c>
      <c r="E50">
        <v>1</v>
      </c>
      <c r="F50">
        <v>1</v>
      </c>
      <c r="G50">
        <v>22652947</v>
      </c>
      <c r="H50">
        <v>3</v>
      </c>
      <c r="I50" t="s">
        <v>59</v>
      </c>
      <c r="J50" t="s">
        <v>61</v>
      </c>
      <c r="K50" t="s">
        <v>60</v>
      </c>
      <c r="L50">
        <v>1348</v>
      </c>
      <c r="N50">
        <v>1009</v>
      </c>
      <c r="O50" t="s">
        <v>29</v>
      </c>
      <c r="P50" t="s">
        <v>29</v>
      </c>
      <c r="Q50">
        <v>1000</v>
      </c>
      <c r="W50">
        <v>0</v>
      </c>
      <c r="X50">
        <v>-2137020924</v>
      </c>
      <c r="Y50">
        <v>9.58</v>
      </c>
      <c r="AA50">
        <v>2580.5300000000002</v>
      </c>
      <c r="AB50">
        <v>0</v>
      </c>
      <c r="AC50">
        <v>0</v>
      </c>
      <c r="AD50">
        <v>0</v>
      </c>
      <c r="AE50">
        <v>305.75</v>
      </c>
      <c r="AF50">
        <v>0</v>
      </c>
      <c r="AG50">
        <v>0</v>
      </c>
      <c r="AH50">
        <v>0</v>
      </c>
      <c r="AI50">
        <v>8.44</v>
      </c>
      <c r="AJ50">
        <v>1</v>
      </c>
      <c r="AK50">
        <v>1</v>
      </c>
      <c r="AL50">
        <v>1</v>
      </c>
      <c r="AN50">
        <v>0</v>
      </c>
      <c r="AO50">
        <v>0</v>
      </c>
      <c r="AP50">
        <v>1</v>
      </c>
      <c r="AQ50">
        <v>0</v>
      </c>
      <c r="AR50">
        <v>0</v>
      </c>
      <c r="AS50" t="s">
        <v>3</v>
      </c>
      <c r="AT50">
        <v>9.58</v>
      </c>
      <c r="AU50" t="s">
        <v>3</v>
      </c>
      <c r="AV50">
        <v>0</v>
      </c>
      <c r="AW50">
        <v>1</v>
      </c>
      <c r="AX50">
        <v>-1</v>
      </c>
      <c r="AY50">
        <v>0</v>
      </c>
      <c r="AZ50">
        <v>0</v>
      </c>
      <c r="BA50" t="s">
        <v>3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CX50">
        <f>Y50*Source!I43</f>
        <v>1.859478</v>
      </c>
      <c r="CY50">
        <f>AA50</f>
        <v>2580.5300000000002</v>
      </c>
      <c r="CZ50">
        <f>AE50</f>
        <v>305.75</v>
      </c>
      <c r="DA50">
        <f>AI50</f>
        <v>8.44</v>
      </c>
      <c r="DB50">
        <v>0</v>
      </c>
    </row>
    <row r="51" spans="1:106" x14ac:dyDescent="0.2">
      <c r="A51">
        <f>ROW(Source!A46)</f>
        <v>46</v>
      </c>
      <c r="B51">
        <v>45037306</v>
      </c>
      <c r="C51">
        <v>45037475</v>
      </c>
      <c r="D51">
        <v>22652952</v>
      </c>
      <c r="E51">
        <v>22652947</v>
      </c>
      <c r="F51">
        <v>1</v>
      </c>
      <c r="G51">
        <v>22652947</v>
      </c>
      <c r="H51">
        <v>1</v>
      </c>
      <c r="I51" t="s">
        <v>617</v>
      </c>
      <c r="J51" t="s">
        <v>3</v>
      </c>
      <c r="K51" t="s">
        <v>618</v>
      </c>
      <c r="L51">
        <v>1191</v>
      </c>
      <c r="N51">
        <v>1013</v>
      </c>
      <c r="O51" t="s">
        <v>619</v>
      </c>
      <c r="P51" t="s">
        <v>619</v>
      </c>
      <c r="Q51">
        <v>1</v>
      </c>
      <c r="W51">
        <v>0</v>
      </c>
      <c r="X51">
        <v>476480486</v>
      </c>
      <c r="Y51">
        <v>46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1</v>
      </c>
      <c r="AJ51">
        <v>1</v>
      </c>
      <c r="AK51">
        <v>1</v>
      </c>
      <c r="AL51">
        <v>1</v>
      </c>
      <c r="AN51">
        <v>0</v>
      </c>
      <c r="AO51">
        <v>1</v>
      </c>
      <c r="AP51">
        <v>1</v>
      </c>
      <c r="AQ51">
        <v>0</v>
      </c>
      <c r="AR51">
        <v>0</v>
      </c>
      <c r="AS51" t="s">
        <v>3</v>
      </c>
      <c r="AT51">
        <v>40</v>
      </c>
      <c r="AU51" t="s">
        <v>37</v>
      </c>
      <c r="AV51">
        <v>1</v>
      </c>
      <c r="AW51">
        <v>2</v>
      </c>
      <c r="AX51">
        <v>45038511</v>
      </c>
      <c r="AY51">
        <v>1</v>
      </c>
      <c r="AZ51">
        <v>0</v>
      </c>
      <c r="BA51">
        <v>49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CX51">
        <f>Y51*Source!I46</f>
        <v>6.0535999999999994</v>
      </c>
      <c r="CY51">
        <f>AD51</f>
        <v>0</v>
      </c>
      <c r="CZ51">
        <f>AH51</f>
        <v>0</v>
      </c>
      <c r="DA51">
        <f>AL51</f>
        <v>1</v>
      </c>
      <c r="DB51">
        <v>0</v>
      </c>
    </row>
    <row r="52" spans="1:106" x14ac:dyDescent="0.2">
      <c r="A52">
        <f>ROW(Source!A46)</f>
        <v>46</v>
      </c>
      <c r="B52">
        <v>45037306</v>
      </c>
      <c r="C52">
        <v>45037475</v>
      </c>
      <c r="D52">
        <v>22720015</v>
      </c>
      <c r="E52">
        <v>1</v>
      </c>
      <c r="F52">
        <v>1</v>
      </c>
      <c r="G52">
        <v>22652947</v>
      </c>
      <c r="H52">
        <v>3</v>
      </c>
      <c r="I52" t="s">
        <v>78</v>
      </c>
      <c r="J52" t="s">
        <v>81</v>
      </c>
      <c r="K52" t="s">
        <v>79</v>
      </c>
      <c r="L52">
        <v>1339</v>
      </c>
      <c r="N52">
        <v>1007</v>
      </c>
      <c r="O52" t="s">
        <v>80</v>
      </c>
      <c r="P52" t="s">
        <v>80</v>
      </c>
      <c r="Q52">
        <v>1</v>
      </c>
      <c r="W52">
        <v>0</v>
      </c>
      <c r="X52">
        <v>92320855</v>
      </c>
      <c r="Y52">
        <v>15</v>
      </c>
      <c r="AA52">
        <v>146.84</v>
      </c>
      <c r="AB52">
        <v>0</v>
      </c>
      <c r="AC52">
        <v>0</v>
      </c>
      <c r="AD52">
        <v>0</v>
      </c>
      <c r="AE52">
        <v>146.84</v>
      </c>
      <c r="AF52">
        <v>0</v>
      </c>
      <c r="AG52">
        <v>0</v>
      </c>
      <c r="AH52">
        <v>0</v>
      </c>
      <c r="AI52">
        <v>1</v>
      </c>
      <c r="AJ52">
        <v>1</v>
      </c>
      <c r="AK52">
        <v>1</v>
      </c>
      <c r="AL52">
        <v>1</v>
      </c>
      <c r="AN52">
        <v>0</v>
      </c>
      <c r="AO52">
        <v>0</v>
      </c>
      <c r="AP52">
        <v>0</v>
      </c>
      <c r="AQ52">
        <v>0</v>
      </c>
      <c r="AR52">
        <v>0</v>
      </c>
      <c r="AS52" t="s">
        <v>3</v>
      </c>
      <c r="AT52">
        <v>15</v>
      </c>
      <c r="AU52" t="s">
        <v>3</v>
      </c>
      <c r="AV52">
        <v>0</v>
      </c>
      <c r="AW52">
        <v>1</v>
      </c>
      <c r="AX52">
        <v>-1</v>
      </c>
      <c r="AY52">
        <v>0</v>
      </c>
      <c r="AZ52">
        <v>0</v>
      </c>
      <c r="BA52" t="s">
        <v>3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CX52">
        <f>Y52*Source!I46</f>
        <v>1.974</v>
      </c>
      <c r="CY52">
        <f>AA52</f>
        <v>146.84</v>
      </c>
      <c r="CZ52">
        <f>AE52</f>
        <v>146.84</v>
      </c>
      <c r="DA52">
        <f>AI52</f>
        <v>1</v>
      </c>
      <c r="DB52">
        <v>0</v>
      </c>
    </row>
    <row r="53" spans="1:106" x14ac:dyDescent="0.2">
      <c r="A53">
        <f>ROW(Source!A47)</f>
        <v>47</v>
      </c>
      <c r="B53">
        <v>45037307</v>
      </c>
      <c r="C53">
        <v>45037475</v>
      </c>
      <c r="D53">
        <v>22652952</v>
      </c>
      <c r="E53">
        <v>22652947</v>
      </c>
      <c r="F53">
        <v>1</v>
      </c>
      <c r="G53">
        <v>22652947</v>
      </c>
      <c r="H53">
        <v>1</v>
      </c>
      <c r="I53" t="s">
        <v>617</v>
      </c>
      <c r="J53" t="s">
        <v>3</v>
      </c>
      <c r="K53" t="s">
        <v>618</v>
      </c>
      <c r="L53">
        <v>1191</v>
      </c>
      <c r="N53">
        <v>1013</v>
      </c>
      <c r="O53" t="s">
        <v>619</v>
      </c>
      <c r="P53" t="s">
        <v>619</v>
      </c>
      <c r="Q53">
        <v>1</v>
      </c>
      <c r="W53">
        <v>0</v>
      </c>
      <c r="X53">
        <v>476480486</v>
      </c>
      <c r="Y53">
        <v>46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1</v>
      </c>
      <c r="AJ53">
        <v>1</v>
      </c>
      <c r="AK53">
        <v>1</v>
      </c>
      <c r="AL53">
        <v>1</v>
      </c>
      <c r="AN53">
        <v>0</v>
      </c>
      <c r="AO53">
        <v>1</v>
      </c>
      <c r="AP53">
        <v>1</v>
      </c>
      <c r="AQ53">
        <v>0</v>
      </c>
      <c r="AR53">
        <v>0</v>
      </c>
      <c r="AS53" t="s">
        <v>3</v>
      </c>
      <c r="AT53">
        <v>40</v>
      </c>
      <c r="AU53" t="s">
        <v>37</v>
      </c>
      <c r="AV53">
        <v>1</v>
      </c>
      <c r="AW53">
        <v>2</v>
      </c>
      <c r="AX53">
        <v>45038511</v>
      </c>
      <c r="AY53">
        <v>1</v>
      </c>
      <c r="AZ53">
        <v>0</v>
      </c>
      <c r="BA53">
        <v>51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CX53">
        <f>Y53*Source!I47</f>
        <v>6.0535999999999994</v>
      </c>
      <c r="CY53">
        <f>AD53</f>
        <v>0</v>
      </c>
      <c r="CZ53">
        <f>AH53</f>
        <v>0</v>
      </c>
      <c r="DA53">
        <f>AL53</f>
        <v>1</v>
      </c>
      <c r="DB53">
        <v>0</v>
      </c>
    </row>
    <row r="54" spans="1:106" x14ac:dyDescent="0.2">
      <c r="A54">
        <f>ROW(Source!A47)</f>
        <v>47</v>
      </c>
      <c r="B54">
        <v>45037307</v>
      </c>
      <c r="C54">
        <v>45037475</v>
      </c>
      <c r="D54">
        <v>22720015</v>
      </c>
      <c r="E54">
        <v>1</v>
      </c>
      <c r="F54">
        <v>1</v>
      </c>
      <c r="G54">
        <v>22652947</v>
      </c>
      <c r="H54">
        <v>3</v>
      </c>
      <c r="I54" t="s">
        <v>78</v>
      </c>
      <c r="J54" t="s">
        <v>81</v>
      </c>
      <c r="K54" t="s">
        <v>79</v>
      </c>
      <c r="L54">
        <v>1339</v>
      </c>
      <c r="N54">
        <v>1007</v>
      </c>
      <c r="O54" t="s">
        <v>80</v>
      </c>
      <c r="P54" t="s">
        <v>80</v>
      </c>
      <c r="Q54">
        <v>1</v>
      </c>
      <c r="W54">
        <v>0</v>
      </c>
      <c r="X54">
        <v>92320855</v>
      </c>
      <c r="Y54">
        <v>15</v>
      </c>
      <c r="AA54">
        <v>682.81</v>
      </c>
      <c r="AB54">
        <v>0</v>
      </c>
      <c r="AC54">
        <v>0</v>
      </c>
      <c r="AD54">
        <v>0</v>
      </c>
      <c r="AE54">
        <v>146.84</v>
      </c>
      <c r="AF54">
        <v>0</v>
      </c>
      <c r="AG54">
        <v>0</v>
      </c>
      <c r="AH54">
        <v>0</v>
      </c>
      <c r="AI54">
        <v>4.6500000000000004</v>
      </c>
      <c r="AJ54">
        <v>1</v>
      </c>
      <c r="AK54">
        <v>1</v>
      </c>
      <c r="AL54">
        <v>1</v>
      </c>
      <c r="AN54">
        <v>0</v>
      </c>
      <c r="AO54">
        <v>0</v>
      </c>
      <c r="AP54">
        <v>0</v>
      </c>
      <c r="AQ54">
        <v>0</v>
      </c>
      <c r="AR54">
        <v>0</v>
      </c>
      <c r="AS54" t="s">
        <v>3</v>
      </c>
      <c r="AT54">
        <v>15</v>
      </c>
      <c r="AU54" t="s">
        <v>3</v>
      </c>
      <c r="AV54">
        <v>0</v>
      </c>
      <c r="AW54">
        <v>1</v>
      </c>
      <c r="AX54">
        <v>-1</v>
      </c>
      <c r="AY54">
        <v>0</v>
      </c>
      <c r="AZ54">
        <v>0</v>
      </c>
      <c r="BA54" t="s">
        <v>3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CX54">
        <f>Y54*Source!I47</f>
        <v>1.974</v>
      </c>
      <c r="CY54">
        <f>AA54</f>
        <v>682.81</v>
      </c>
      <c r="CZ54">
        <f>AE54</f>
        <v>146.84</v>
      </c>
      <c r="DA54">
        <f>AI54</f>
        <v>4.6500000000000004</v>
      </c>
      <c r="DB54">
        <v>0</v>
      </c>
    </row>
    <row r="55" spans="1:106" x14ac:dyDescent="0.2">
      <c r="A55">
        <f>ROW(Source!A50)</f>
        <v>50</v>
      </c>
      <c r="B55">
        <v>45037306</v>
      </c>
      <c r="C55">
        <v>45037481</v>
      </c>
      <c r="D55">
        <v>22652952</v>
      </c>
      <c r="E55">
        <v>22652947</v>
      </c>
      <c r="F55">
        <v>1</v>
      </c>
      <c r="G55">
        <v>22652947</v>
      </c>
      <c r="H55">
        <v>1</v>
      </c>
      <c r="I55" t="s">
        <v>617</v>
      </c>
      <c r="J55" t="s">
        <v>3</v>
      </c>
      <c r="K55" t="s">
        <v>618</v>
      </c>
      <c r="L55">
        <v>1191</v>
      </c>
      <c r="N55">
        <v>1013</v>
      </c>
      <c r="O55" t="s">
        <v>619</v>
      </c>
      <c r="P55" t="s">
        <v>619</v>
      </c>
      <c r="Q55">
        <v>1</v>
      </c>
      <c r="W55">
        <v>0</v>
      </c>
      <c r="X55">
        <v>476480486</v>
      </c>
      <c r="Y55">
        <v>6.0374999999999996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1</v>
      </c>
      <c r="AJ55">
        <v>1</v>
      </c>
      <c r="AK55">
        <v>1</v>
      </c>
      <c r="AL55">
        <v>1</v>
      </c>
      <c r="AN55">
        <v>0</v>
      </c>
      <c r="AO55">
        <v>1</v>
      </c>
      <c r="AP55">
        <v>1</v>
      </c>
      <c r="AQ55">
        <v>0</v>
      </c>
      <c r="AR55">
        <v>0</v>
      </c>
      <c r="AS55" t="s">
        <v>3</v>
      </c>
      <c r="AT55">
        <v>5.25</v>
      </c>
      <c r="AU55" t="s">
        <v>37</v>
      </c>
      <c r="AV55">
        <v>1</v>
      </c>
      <c r="AW55">
        <v>2</v>
      </c>
      <c r="AX55">
        <v>45038513</v>
      </c>
      <c r="AY55">
        <v>1</v>
      </c>
      <c r="AZ55">
        <v>0</v>
      </c>
      <c r="BA55">
        <v>53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CX55">
        <f>Y55*Source!I50</f>
        <v>0.79453499999999988</v>
      </c>
      <c r="CY55">
        <f>AD55</f>
        <v>0</v>
      </c>
      <c r="CZ55">
        <f>AH55</f>
        <v>0</v>
      </c>
      <c r="DA55">
        <f>AL55</f>
        <v>1</v>
      </c>
      <c r="DB55">
        <v>0</v>
      </c>
    </row>
    <row r="56" spans="1:106" x14ac:dyDescent="0.2">
      <c r="A56">
        <f>ROW(Source!A50)</f>
        <v>50</v>
      </c>
      <c r="B56">
        <v>45037306</v>
      </c>
      <c r="C56">
        <v>45037481</v>
      </c>
      <c r="D56">
        <v>22700967</v>
      </c>
      <c r="E56">
        <v>1</v>
      </c>
      <c r="F56">
        <v>1</v>
      </c>
      <c r="G56">
        <v>22652947</v>
      </c>
      <c r="H56">
        <v>3</v>
      </c>
      <c r="I56" t="s">
        <v>273</v>
      </c>
      <c r="J56" t="s">
        <v>275</v>
      </c>
      <c r="K56" t="s">
        <v>274</v>
      </c>
      <c r="L56">
        <v>1339</v>
      </c>
      <c r="N56">
        <v>1007</v>
      </c>
      <c r="O56" t="s">
        <v>80</v>
      </c>
      <c r="P56" t="s">
        <v>80</v>
      </c>
      <c r="Q56">
        <v>1</v>
      </c>
      <c r="W56">
        <v>0</v>
      </c>
      <c r="X56">
        <v>-862991314</v>
      </c>
      <c r="Y56">
        <v>10</v>
      </c>
      <c r="AA56">
        <v>7.07</v>
      </c>
      <c r="AB56">
        <v>0</v>
      </c>
      <c r="AC56">
        <v>0</v>
      </c>
      <c r="AD56">
        <v>0</v>
      </c>
      <c r="AE56">
        <v>7.07</v>
      </c>
      <c r="AF56">
        <v>0</v>
      </c>
      <c r="AG56">
        <v>0</v>
      </c>
      <c r="AH56">
        <v>0</v>
      </c>
      <c r="AI56">
        <v>1</v>
      </c>
      <c r="AJ56">
        <v>1</v>
      </c>
      <c r="AK56">
        <v>1</v>
      </c>
      <c r="AL56">
        <v>1</v>
      </c>
      <c r="AN56">
        <v>0</v>
      </c>
      <c r="AO56">
        <v>1</v>
      </c>
      <c r="AP56">
        <v>0</v>
      </c>
      <c r="AQ56">
        <v>0</v>
      </c>
      <c r="AR56">
        <v>0</v>
      </c>
      <c r="AS56" t="s">
        <v>3</v>
      </c>
      <c r="AT56">
        <v>10</v>
      </c>
      <c r="AU56" t="s">
        <v>3</v>
      </c>
      <c r="AV56">
        <v>0</v>
      </c>
      <c r="AW56">
        <v>2</v>
      </c>
      <c r="AX56">
        <v>45038514</v>
      </c>
      <c r="AY56">
        <v>1</v>
      </c>
      <c r="AZ56">
        <v>0</v>
      </c>
      <c r="BA56">
        <v>54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CX56">
        <f>Y56*Source!I50</f>
        <v>1.3159999999999998</v>
      </c>
      <c r="CY56">
        <f>AA56</f>
        <v>7.07</v>
      </c>
      <c r="CZ56">
        <f>AE56</f>
        <v>7.07</v>
      </c>
      <c r="DA56">
        <f>AI56</f>
        <v>1</v>
      </c>
      <c r="DB56">
        <v>0</v>
      </c>
    </row>
    <row r="57" spans="1:106" x14ac:dyDescent="0.2">
      <c r="A57">
        <f>ROW(Source!A50)</f>
        <v>50</v>
      </c>
      <c r="B57">
        <v>45037306</v>
      </c>
      <c r="C57">
        <v>45037481</v>
      </c>
      <c r="D57">
        <v>22720019</v>
      </c>
      <c r="E57">
        <v>1</v>
      </c>
      <c r="F57">
        <v>1</v>
      </c>
      <c r="G57">
        <v>22652947</v>
      </c>
      <c r="H57">
        <v>3</v>
      </c>
      <c r="I57" t="s">
        <v>87</v>
      </c>
      <c r="J57" t="s">
        <v>90</v>
      </c>
      <c r="K57" t="s">
        <v>88</v>
      </c>
      <c r="L57">
        <v>1346</v>
      </c>
      <c r="N57">
        <v>1009</v>
      </c>
      <c r="O57" t="s">
        <v>89</v>
      </c>
      <c r="P57" t="s">
        <v>89</v>
      </c>
      <c r="Q57">
        <v>1</v>
      </c>
      <c r="W57">
        <v>0</v>
      </c>
      <c r="X57">
        <v>735025367</v>
      </c>
      <c r="Y57">
        <v>4</v>
      </c>
      <c r="AA57">
        <v>57.93</v>
      </c>
      <c r="AB57">
        <v>0</v>
      </c>
      <c r="AC57">
        <v>0</v>
      </c>
      <c r="AD57">
        <v>0</v>
      </c>
      <c r="AE57">
        <v>57.93</v>
      </c>
      <c r="AF57">
        <v>0</v>
      </c>
      <c r="AG57">
        <v>0</v>
      </c>
      <c r="AH57">
        <v>0</v>
      </c>
      <c r="AI57">
        <v>1</v>
      </c>
      <c r="AJ57">
        <v>1</v>
      </c>
      <c r="AK57">
        <v>1</v>
      </c>
      <c r="AL57">
        <v>1</v>
      </c>
      <c r="AN57">
        <v>0</v>
      </c>
      <c r="AO57">
        <v>0</v>
      </c>
      <c r="AP57">
        <v>0</v>
      </c>
      <c r="AQ57">
        <v>0</v>
      </c>
      <c r="AR57">
        <v>0</v>
      </c>
      <c r="AS57" t="s">
        <v>3</v>
      </c>
      <c r="AT57">
        <v>4</v>
      </c>
      <c r="AU57" t="s">
        <v>3</v>
      </c>
      <c r="AV57">
        <v>0</v>
      </c>
      <c r="AW57">
        <v>1</v>
      </c>
      <c r="AX57">
        <v>-1</v>
      </c>
      <c r="AY57">
        <v>0</v>
      </c>
      <c r="AZ57">
        <v>0</v>
      </c>
      <c r="BA57" t="s">
        <v>3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CX57">
        <f>Y57*Source!I50</f>
        <v>0.52639999999999998</v>
      </c>
      <c r="CY57">
        <f>AA57</f>
        <v>57.93</v>
      </c>
      <c r="CZ57">
        <f>AE57</f>
        <v>57.93</v>
      </c>
      <c r="DA57">
        <f>AI57</f>
        <v>1</v>
      </c>
      <c r="DB57">
        <v>0</v>
      </c>
    </row>
    <row r="58" spans="1:106" x14ac:dyDescent="0.2">
      <c r="A58">
        <f>ROW(Source!A51)</f>
        <v>51</v>
      </c>
      <c r="B58">
        <v>45037307</v>
      </c>
      <c r="C58">
        <v>45037481</v>
      </c>
      <c r="D58">
        <v>22652952</v>
      </c>
      <c r="E58">
        <v>22652947</v>
      </c>
      <c r="F58">
        <v>1</v>
      </c>
      <c r="G58">
        <v>22652947</v>
      </c>
      <c r="H58">
        <v>1</v>
      </c>
      <c r="I58" t="s">
        <v>617</v>
      </c>
      <c r="J58" t="s">
        <v>3</v>
      </c>
      <c r="K58" t="s">
        <v>618</v>
      </c>
      <c r="L58">
        <v>1191</v>
      </c>
      <c r="N58">
        <v>1013</v>
      </c>
      <c r="O58" t="s">
        <v>619</v>
      </c>
      <c r="P58" t="s">
        <v>619</v>
      </c>
      <c r="Q58">
        <v>1</v>
      </c>
      <c r="W58">
        <v>0</v>
      </c>
      <c r="X58">
        <v>476480486</v>
      </c>
      <c r="Y58">
        <v>6.0374999999999996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1</v>
      </c>
      <c r="AJ58">
        <v>1</v>
      </c>
      <c r="AK58">
        <v>1</v>
      </c>
      <c r="AL58">
        <v>1</v>
      </c>
      <c r="AN58">
        <v>0</v>
      </c>
      <c r="AO58">
        <v>1</v>
      </c>
      <c r="AP58">
        <v>1</v>
      </c>
      <c r="AQ58">
        <v>0</v>
      </c>
      <c r="AR58">
        <v>0</v>
      </c>
      <c r="AS58" t="s">
        <v>3</v>
      </c>
      <c r="AT58">
        <v>5.25</v>
      </c>
      <c r="AU58" t="s">
        <v>37</v>
      </c>
      <c r="AV58">
        <v>1</v>
      </c>
      <c r="AW58">
        <v>2</v>
      </c>
      <c r="AX58">
        <v>45038513</v>
      </c>
      <c r="AY58">
        <v>1</v>
      </c>
      <c r="AZ58">
        <v>0</v>
      </c>
      <c r="BA58">
        <v>56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CX58">
        <f>Y58*Source!I51</f>
        <v>0.79453499999999988</v>
      </c>
      <c r="CY58">
        <f>AD58</f>
        <v>0</v>
      </c>
      <c r="CZ58">
        <f>AH58</f>
        <v>0</v>
      </c>
      <c r="DA58">
        <f>AL58</f>
        <v>1</v>
      </c>
      <c r="DB58">
        <v>0</v>
      </c>
    </row>
    <row r="59" spans="1:106" x14ac:dyDescent="0.2">
      <c r="A59">
        <f>ROW(Source!A51)</f>
        <v>51</v>
      </c>
      <c r="B59">
        <v>45037307</v>
      </c>
      <c r="C59">
        <v>45037481</v>
      </c>
      <c r="D59">
        <v>22700967</v>
      </c>
      <c r="E59">
        <v>1</v>
      </c>
      <c r="F59">
        <v>1</v>
      </c>
      <c r="G59">
        <v>22652947</v>
      </c>
      <c r="H59">
        <v>3</v>
      </c>
      <c r="I59" t="s">
        <v>273</v>
      </c>
      <c r="J59" t="s">
        <v>275</v>
      </c>
      <c r="K59" t="s">
        <v>274</v>
      </c>
      <c r="L59">
        <v>1339</v>
      </c>
      <c r="N59">
        <v>1007</v>
      </c>
      <c r="O59" t="s">
        <v>80</v>
      </c>
      <c r="P59" t="s">
        <v>80</v>
      </c>
      <c r="Q59">
        <v>1</v>
      </c>
      <c r="W59">
        <v>0</v>
      </c>
      <c r="X59">
        <v>-862991314</v>
      </c>
      <c r="Y59">
        <v>10</v>
      </c>
      <c r="AA59">
        <v>29.98</v>
      </c>
      <c r="AB59">
        <v>0</v>
      </c>
      <c r="AC59">
        <v>0</v>
      </c>
      <c r="AD59">
        <v>0</v>
      </c>
      <c r="AE59">
        <v>7.07</v>
      </c>
      <c r="AF59">
        <v>0</v>
      </c>
      <c r="AG59">
        <v>0</v>
      </c>
      <c r="AH59">
        <v>0</v>
      </c>
      <c r="AI59">
        <v>4.24</v>
      </c>
      <c r="AJ59">
        <v>1</v>
      </c>
      <c r="AK59">
        <v>1</v>
      </c>
      <c r="AL59">
        <v>1</v>
      </c>
      <c r="AN59">
        <v>0</v>
      </c>
      <c r="AO59">
        <v>1</v>
      </c>
      <c r="AP59">
        <v>0</v>
      </c>
      <c r="AQ59">
        <v>0</v>
      </c>
      <c r="AR59">
        <v>0</v>
      </c>
      <c r="AS59" t="s">
        <v>3</v>
      </c>
      <c r="AT59">
        <v>10</v>
      </c>
      <c r="AU59" t="s">
        <v>3</v>
      </c>
      <c r="AV59">
        <v>0</v>
      </c>
      <c r="AW59">
        <v>2</v>
      </c>
      <c r="AX59">
        <v>45038514</v>
      </c>
      <c r="AY59">
        <v>1</v>
      </c>
      <c r="AZ59">
        <v>0</v>
      </c>
      <c r="BA59">
        <v>57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CX59">
        <f>Y59*Source!I51</f>
        <v>1.3159999999999998</v>
      </c>
      <c r="CY59">
        <f>AA59</f>
        <v>29.98</v>
      </c>
      <c r="CZ59">
        <f>AE59</f>
        <v>7.07</v>
      </c>
      <c r="DA59">
        <f>AI59</f>
        <v>4.24</v>
      </c>
      <c r="DB59">
        <v>0</v>
      </c>
    </row>
    <row r="60" spans="1:106" x14ac:dyDescent="0.2">
      <c r="A60">
        <f>ROW(Source!A51)</f>
        <v>51</v>
      </c>
      <c r="B60">
        <v>45037307</v>
      </c>
      <c r="C60">
        <v>45037481</v>
      </c>
      <c r="D60">
        <v>22720019</v>
      </c>
      <c r="E60">
        <v>1</v>
      </c>
      <c r="F60">
        <v>1</v>
      </c>
      <c r="G60">
        <v>22652947</v>
      </c>
      <c r="H60">
        <v>3</v>
      </c>
      <c r="I60" t="s">
        <v>87</v>
      </c>
      <c r="J60" t="s">
        <v>90</v>
      </c>
      <c r="K60" t="s">
        <v>88</v>
      </c>
      <c r="L60">
        <v>1346</v>
      </c>
      <c r="N60">
        <v>1009</v>
      </c>
      <c r="O60" t="s">
        <v>89</v>
      </c>
      <c r="P60" t="s">
        <v>89</v>
      </c>
      <c r="Q60">
        <v>1</v>
      </c>
      <c r="W60">
        <v>0</v>
      </c>
      <c r="X60">
        <v>735025367</v>
      </c>
      <c r="Y60">
        <v>4</v>
      </c>
      <c r="AA60">
        <v>139.03</v>
      </c>
      <c r="AB60">
        <v>0</v>
      </c>
      <c r="AC60">
        <v>0</v>
      </c>
      <c r="AD60">
        <v>0</v>
      </c>
      <c r="AE60">
        <v>57.93</v>
      </c>
      <c r="AF60">
        <v>0</v>
      </c>
      <c r="AG60">
        <v>0</v>
      </c>
      <c r="AH60">
        <v>0</v>
      </c>
      <c r="AI60">
        <v>2.4</v>
      </c>
      <c r="AJ60">
        <v>1</v>
      </c>
      <c r="AK60">
        <v>1</v>
      </c>
      <c r="AL60">
        <v>1</v>
      </c>
      <c r="AN60">
        <v>0</v>
      </c>
      <c r="AO60">
        <v>0</v>
      </c>
      <c r="AP60">
        <v>0</v>
      </c>
      <c r="AQ60">
        <v>0</v>
      </c>
      <c r="AR60">
        <v>0</v>
      </c>
      <c r="AS60" t="s">
        <v>3</v>
      </c>
      <c r="AT60">
        <v>4</v>
      </c>
      <c r="AU60" t="s">
        <v>3</v>
      </c>
      <c r="AV60">
        <v>0</v>
      </c>
      <c r="AW60">
        <v>1</v>
      </c>
      <c r="AX60">
        <v>-1</v>
      </c>
      <c r="AY60">
        <v>0</v>
      </c>
      <c r="AZ60">
        <v>0</v>
      </c>
      <c r="BA60" t="s">
        <v>3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X60">
        <f>Y60*Source!I51</f>
        <v>0.52639999999999998</v>
      </c>
      <c r="CY60">
        <f>AA60</f>
        <v>139.03</v>
      </c>
      <c r="CZ60">
        <f>AE60</f>
        <v>57.93</v>
      </c>
      <c r="DA60">
        <f>AI60</f>
        <v>2.4</v>
      </c>
      <c r="DB60">
        <v>0</v>
      </c>
    </row>
    <row r="61" spans="1:106" x14ac:dyDescent="0.2">
      <c r="A61">
        <f>ROW(Source!A54)</f>
        <v>54</v>
      </c>
      <c r="B61">
        <v>45037306</v>
      </c>
      <c r="C61">
        <v>45037489</v>
      </c>
      <c r="D61">
        <v>22652952</v>
      </c>
      <c r="E61">
        <v>22652947</v>
      </c>
      <c r="F61">
        <v>1</v>
      </c>
      <c r="G61">
        <v>22652947</v>
      </c>
      <c r="H61">
        <v>1</v>
      </c>
      <c r="I61" t="s">
        <v>617</v>
      </c>
      <c r="J61" t="s">
        <v>3</v>
      </c>
      <c r="K61" t="s">
        <v>618</v>
      </c>
      <c r="L61">
        <v>1191</v>
      </c>
      <c r="N61">
        <v>1013</v>
      </c>
      <c r="O61" t="s">
        <v>619</v>
      </c>
      <c r="P61" t="s">
        <v>619</v>
      </c>
      <c r="Q61">
        <v>1</v>
      </c>
      <c r="W61">
        <v>0</v>
      </c>
      <c r="X61">
        <v>476480486</v>
      </c>
      <c r="Y61">
        <v>0.12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1</v>
      </c>
      <c r="AK61">
        <v>1</v>
      </c>
      <c r="AL61">
        <v>1</v>
      </c>
      <c r="AN61">
        <v>0</v>
      </c>
      <c r="AO61">
        <v>1</v>
      </c>
      <c r="AP61">
        <v>0</v>
      </c>
      <c r="AQ61">
        <v>0</v>
      </c>
      <c r="AR61">
        <v>0</v>
      </c>
      <c r="AS61" t="s">
        <v>3</v>
      </c>
      <c r="AT61">
        <v>0.12</v>
      </c>
      <c r="AU61" t="s">
        <v>3</v>
      </c>
      <c r="AV61">
        <v>1</v>
      </c>
      <c r="AW61">
        <v>2</v>
      </c>
      <c r="AX61">
        <v>45038516</v>
      </c>
      <c r="AY61">
        <v>1</v>
      </c>
      <c r="AZ61">
        <v>0</v>
      </c>
      <c r="BA61">
        <v>59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CX61">
        <f>Y61*Source!I54</f>
        <v>0.62519999999999998</v>
      </c>
      <c r="CY61">
        <f>AD61</f>
        <v>0</v>
      </c>
      <c r="CZ61">
        <f>AH61</f>
        <v>0</v>
      </c>
      <c r="DA61">
        <f>AL61</f>
        <v>1</v>
      </c>
      <c r="DB61">
        <v>0</v>
      </c>
    </row>
    <row r="62" spans="1:106" x14ac:dyDescent="0.2">
      <c r="A62">
        <f>ROW(Source!A54)</f>
        <v>54</v>
      </c>
      <c r="B62">
        <v>45037306</v>
      </c>
      <c r="C62">
        <v>45037489</v>
      </c>
      <c r="D62">
        <v>22725578</v>
      </c>
      <c r="E62">
        <v>1</v>
      </c>
      <c r="F62">
        <v>1</v>
      </c>
      <c r="G62">
        <v>22652947</v>
      </c>
      <c r="H62">
        <v>2</v>
      </c>
      <c r="I62" t="s">
        <v>657</v>
      </c>
      <c r="J62" t="s">
        <v>658</v>
      </c>
      <c r="K62" t="s">
        <v>659</v>
      </c>
      <c r="L62">
        <v>1367</v>
      </c>
      <c r="N62">
        <v>1011</v>
      </c>
      <c r="O62" t="s">
        <v>623</v>
      </c>
      <c r="P62" t="s">
        <v>623</v>
      </c>
      <c r="Q62">
        <v>1</v>
      </c>
      <c r="W62">
        <v>0</v>
      </c>
      <c r="X62">
        <v>-869219575</v>
      </c>
      <c r="Y62">
        <v>0.02</v>
      </c>
      <c r="AA62">
        <v>0</v>
      </c>
      <c r="AB62">
        <v>43.4</v>
      </c>
      <c r="AC62">
        <v>2.68</v>
      </c>
      <c r="AD62">
        <v>0</v>
      </c>
      <c r="AE62">
        <v>0</v>
      </c>
      <c r="AF62">
        <v>43.4</v>
      </c>
      <c r="AG62">
        <v>2.68</v>
      </c>
      <c r="AH62">
        <v>0</v>
      </c>
      <c r="AI62">
        <v>1</v>
      </c>
      <c r="AJ62">
        <v>1</v>
      </c>
      <c r="AK62">
        <v>1</v>
      </c>
      <c r="AL62">
        <v>1</v>
      </c>
      <c r="AN62">
        <v>0</v>
      </c>
      <c r="AO62">
        <v>1</v>
      </c>
      <c r="AP62">
        <v>0</v>
      </c>
      <c r="AQ62">
        <v>0</v>
      </c>
      <c r="AR62">
        <v>0</v>
      </c>
      <c r="AS62" t="s">
        <v>3</v>
      </c>
      <c r="AT62">
        <v>0.02</v>
      </c>
      <c r="AU62" t="s">
        <v>3</v>
      </c>
      <c r="AV62">
        <v>0</v>
      </c>
      <c r="AW62">
        <v>2</v>
      </c>
      <c r="AX62">
        <v>45038517</v>
      </c>
      <c r="AY62">
        <v>1</v>
      </c>
      <c r="AZ62">
        <v>0</v>
      </c>
      <c r="BA62">
        <v>60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CX62">
        <f>Y62*Source!I54</f>
        <v>0.1042</v>
      </c>
      <c r="CY62">
        <f>AB62</f>
        <v>43.4</v>
      </c>
      <c r="CZ62">
        <f>AF62</f>
        <v>43.4</v>
      </c>
      <c r="DA62">
        <f>AJ62</f>
        <v>1</v>
      </c>
      <c r="DB62">
        <v>0</v>
      </c>
    </row>
    <row r="63" spans="1:106" x14ac:dyDescent="0.2">
      <c r="A63">
        <f>ROW(Source!A54)</f>
        <v>54</v>
      </c>
      <c r="B63">
        <v>45037306</v>
      </c>
      <c r="C63">
        <v>45037489</v>
      </c>
      <c r="D63">
        <v>22725860</v>
      </c>
      <c r="E63">
        <v>1</v>
      </c>
      <c r="F63">
        <v>1</v>
      </c>
      <c r="G63">
        <v>22652947</v>
      </c>
      <c r="H63">
        <v>2</v>
      </c>
      <c r="I63" t="s">
        <v>660</v>
      </c>
      <c r="J63" t="s">
        <v>661</v>
      </c>
      <c r="K63" t="s">
        <v>662</v>
      </c>
      <c r="L63">
        <v>1367</v>
      </c>
      <c r="N63">
        <v>1011</v>
      </c>
      <c r="O63" t="s">
        <v>623</v>
      </c>
      <c r="P63" t="s">
        <v>623</v>
      </c>
      <c r="Q63">
        <v>1</v>
      </c>
      <c r="W63">
        <v>0</v>
      </c>
      <c r="X63">
        <v>-628430174</v>
      </c>
      <c r="Y63">
        <v>0.01</v>
      </c>
      <c r="AA63">
        <v>0</v>
      </c>
      <c r="AB63">
        <v>76.81</v>
      </c>
      <c r="AC63">
        <v>14.36</v>
      </c>
      <c r="AD63">
        <v>0</v>
      </c>
      <c r="AE63">
        <v>0</v>
      </c>
      <c r="AF63">
        <v>76.81</v>
      </c>
      <c r="AG63">
        <v>14.36</v>
      </c>
      <c r="AH63">
        <v>0</v>
      </c>
      <c r="AI63">
        <v>1</v>
      </c>
      <c r="AJ63">
        <v>1</v>
      </c>
      <c r="AK63">
        <v>1</v>
      </c>
      <c r="AL63">
        <v>1</v>
      </c>
      <c r="AN63">
        <v>0</v>
      </c>
      <c r="AO63">
        <v>1</v>
      </c>
      <c r="AP63">
        <v>0</v>
      </c>
      <c r="AQ63">
        <v>0</v>
      </c>
      <c r="AR63">
        <v>0</v>
      </c>
      <c r="AS63" t="s">
        <v>3</v>
      </c>
      <c r="AT63">
        <v>0.01</v>
      </c>
      <c r="AU63" t="s">
        <v>3</v>
      </c>
      <c r="AV63">
        <v>0</v>
      </c>
      <c r="AW63">
        <v>2</v>
      </c>
      <c r="AX63">
        <v>45038518</v>
      </c>
      <c r="AY63">
        <v>1</v>
      </c>
      <c r="AZ63">
        <v>0</v>
      </c>
      <c r="BA63">
        <v>61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CX63">
        <f>Y63*Source!I54</f>
        <v>5.21E-2</v>
      </c>
      <c r="CY63">
        <f>AB63</f>
        <v>76.81</v>
      </c>
      <c r="CZ63">
        <f>AF63</f>
        <v>76.81</v>
      </c>
      <c r="DA63">
        <f>AJ63</f>
        <v>1</v>
      </c>
      <c r="DB63">
        <v>0</v>
      </c>
    </row>
    <row r="64" spans="1:106" x14ac:dyDescent="0.2">
      <c r="A64">
        <f>ROW(Source!A54)</f>
        <v>54</v>
      </c>
      <c r="B64">
        <v>45037306</v>
      </c>
      <c r="C64">
        <v>45037489</v>
      </c>
      <c r="D64">
        <v>22725906</v>
      </c>
      <c r="E64">
        <v>1</v>
      </c>
      <c r="F64">
        <v>1</v>
      </c>
      <c r="G64">
        <v>22652947</v>
      </c>
      <c r="H64">
        <v>2</v>
      </c>
      <c r="I64" t="s">
        <v>663</v>
      </c>
      <c r="J64" t="s">
        <v>664</v>
      </c>
      <c r="K64" t="s">
        <v>665</v>
      </c>
      <c r="L64">
        <v>1367</v>
      </c>
      <c r="N64">
        <v>1011</v>
      </c>
      <c r="O64" t="s">
        <v>623</v>
      </c>
      <c r="P64" t="s">
        <v>623</v>
      </c>
      <c r="Q64">
        <v>1</v>
      </c>
      <c r="W64">
        <v>0</v>
      </c>
      <c r="X64">
        <v>-875577540</v>
      </c>
      <c r="Y64">
        <v>0.01</v>
      </c>
      <c r="AA64">
        <v>0</v>
      </c>
      <c r="AB64">
        <v>0.68</v>
      </c>
      <c r="AC64">
        <v>0.04</v>
      </c>
      <c r="AD64">
        <v>0</v>
      </c>
      <c r="AE64">
        <v>0</v>
      </c>
      <c r="AF64">
        <v>0.68</v>
      </c>
      <c r="AG64">
        <v>0.04</v>
      </c>
      <c r="AH64">
        <v>0</v>
      </c>
      <c r="AI64">
        <v>1</v>
      </c>
      <c r="AJ64">
        <v>1</v>
      </c>
      <c r="AK64">
        <v>1</v>
      </c>
      <c r="AL64">
        <v>1</v>
      </c>
      <c r="AN64">
        <v>0</v>
      </c>
      <c r="AO64">
        <v>1</v>
      </c>
      <c r="AP64">
        <v>0</v>
      </c>
      <c r="AQ64">
        <v>0</v>
      </c>
      <c r="AR64">
        <v>0</v>
      </c>
      <c r="AS64" t="s">
        <v>3</v>
      </c>
      <c r="AT64">
        <v>0.01</v>
      </c>
      <c r="AU64" t="s">
        <v>3</v>
      </c>
      <c r="AV64">
        <v>0</v>
      </c>
      <c r="AW64">
        <v>2</v>
      </c>
      <c r="AX64">
        <v>45038519</v>
      </c>
      <c r="AY64">
        <v>1</v>
      </c>
      <c r="AZ64">
        <v>0</v>
      </c>
      <c r="BA64">
        <v>62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CX64">
        <f>Y64*Source!I54</f>
        <v>5.21E-2</v>
      </c>
      <c r="CY64">
        <f>AB64</f>
        <v>0.68</v>
      </c>
      <c r="CZ64">
        <f>AF64</f>
        <v>0.68</v>
      </c>
      <c r="DA64">
        <f>AJ64</f>
        <v>1</v>
      </c>
      <c r="DB64">
        <v>0</v>
      </c>
    </row>
    <row r="65" spans="1:106" x14ac:dyDescent="0.2">
      <c r="A65">
        <f>ROW(Source!A54)</f>
        <v>54</v>
      </c>
      <c r="B65">
        <v>45037306</v>
      </c>
      <c r="C65">
        <v>45037489</v>
      </c>
      <c r="D65">
        <v>22702279</v>
      </c>
      <c r="E65">
        <v>1</v>
      </c>
      <c r="F65">
        <v>1</v>
      </c>
      <c r="G65">
        <v>22652947</v>
      </c>
      <c r="H65">
        <v>3</v>
      </c>
      <c r="I65" t="s">
        <v>666</v>
      </c>
      <c r="J65" t="s">
        <v>667</v>
      </c>
      <c r="K65" t="s">
        <v>668</v>
      </c>
      <c r="L65">
        <v>1348</v>
      </c>
      <c r="N65">
        <v>1009</v>
      </c>
      <c r="O65" t="s">
        <v>29</v>
      </c>
      <c r="P65" t="s">
        <v>29</v>
      </c>
      <c r="Q65">
        <v>1000</v>
      </c>
      <c r="W65">
        <v>0</v>
      </c>
      <c r="X65">
        <v>1310716689</v>
      </c>
      <c r="Y65">
        <v>3.0000000000000001E-5</v>
      </c>
      <c r="AA65">
        <v>7191.81</v>
      </c>
      <c r="AB65">
        <v>0</v>
      </c>
      <c r="AC65">
        <v>0</v>
      </c>
      <c r="AD65">
        <v>0</v>
      </c>
      <c r="AE65">
        <v>7191.81</v>
      </c>
      <c r="AF65">
        <v>0</v>
      </c>
      <c r="AG65">
        <v>0</v>
      </c>
      <c r="AH65">
        <v>0</v>
      </c>
      <c r="AI65">
        <v>1</v>
      </c>
      <c r="AJ65">
        <v>1</v>
      </c>
      <c r="AK65">
        <v>1</v>
      </c>
      <c r="AL65">
        <v>1</v>
      </c>
      <c r="AN65">
        <v>0</v>
      </c>
      <c r="AO65">
        <v>1</v>
      </c>
      <c r="AP65">
        <v>0</v>
      </c>
      <c r="AQ65">
        <v>0</v>
      </c>
      <c r="AR65">
        <v>0</v>
      </c>
      <c r="AS65" t="s">
        <v>3</v>
      </c>
      <c r="AT65">
        <v>3.0000000000000001E-5</v>
      </c>
      <c r="AU65" t="s">
        <v>3</v>
      </c>
      <c r="AV65">
        <v>0</v>
      </c>
      <c r="AW65">
        <v>2</v>
      </c>
      <c r="AX65">
        <v>45038521</v>
      </c>
      <c r="AY65">
        <v>1</v>
      </c>
      <c r="AZ65">
        <v>0</v>
      </c>
      <c r="BA65">
        <v>64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CX65">
        <f>Y65*Source!I54</f>
        <v>1.563E-4</v>
      </c>
      <c r="CY65">
        <f>AA65</f>
        <v>7191.81</v>
      </c>
      <c r="CZ65">
        <f>AE65</f>
        <v>7191.81</v>
      </c>
      <c r="DA65">
        <f>AI65</f>
        <v>1</v>
      </c>
      <c r="DB65">
        <v>0</v>
      </c>
    </row>
    <row r="66" spans="1:106" x14ac:dyDescent="0.2">
      <c r="A66">
        <f>ROW(Source!A54)</f>
        <v>54</v>
      </c>
      <c r="B66">
        <v>45037306</v>
      </c>
      <c r="C66">
        <v>45037489</v>
      </c>
      <c r="D66">
        <v>22723889</v>
      </c>
      <c r="E66">
        <v>1</v>
      </c>
      <c r="F66">
        <v>1</v>
      </c>
      <c r="G66">
        <v>22652947</v>
      </c>
      <c r="H66">
        <v>3</v>
      </c>
      <c r="I66" t="s">
        <v>99</v>
      </c>
      <c r="J66" t="s">
        <v>102</v>
      </c>
      <c r="K66" t="s">
        <v>100</v>
      </c>
      <c r="L66">
        <v>1327</v>
      </c>
      <c r="N66">
        <v>1005</v>
      </c>
      <c r="O66" t="s">
        <v>101</v>
      </c>
      <c r="P66" t="s">
        <v>101</v>
      </c>
      <c r="Q66">
        <v>1</v>
      </c>
      <c r="W66">
        <v>0</v>
      </c>
      <c r="X66">
        <v>1093334536</v>
      </c>
      <c r="Y66">
        <v>1</v>
      </c>
      <c r="AA66">
        <v>358.54</v>
      </c>
      <c r="AB66">
        <v>0</v>
      </c>
      <c r="AC66">
        <v>0</v>
      </c>
      <c r="AD66">
        <v>0</v>
      </c>
      <c r="AE66">
        <v>358.54</v>
      </c>
      <c r="AF66">
        <v>0</v>
      </c>
      <c r="AG66">
        <v>0</v>
      </c>
      <c r="AH66">
        <v>0</v>
      </c>
      <c r="AI66">
        <v>1</v>
      </c>
      <c r="AJ66">
        <v>1</v>
      </c>
      <c r="AK66">
        <v>1</v>
      </c>
      <c r="AL66">
        <v>1</v>
      </c>
      <c r="AN66">
        <v>0</v>
      </c>
      <c r="AO66">
        <v>0</v>
      </c>
      <c r="AP66">
        <v>0</v>
      </c>
      <c r="AQ66">
        <v>0</v>
      </c>
      <c r="AR66">
        <v>0</v>
      </c>
      <c r="AS66" t="s">
        <v>3</v>
      </c>
      <c r="AT66">
        <v>1</v>
      </c>
      <c r="AU66" t="s">
        <v>3</v>
      </c>
      <c r="AV66">
        <v>0</v>
      </c>
      <c r="AW66">
        <v>1</v>
      </c>
      <c r="AX66">
        <v>-1</v>
      </c>
      <c r="AY66">
        <v>0</v>
      </c>
      <c r="AZ66">
        <v>0</v>
      </c>
      <c r="BA66" t="s">
        <v>3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CX66">
        <f>Y66*Source!I54</f>
        <v>5.21</v>
      </c>
      <c r="CY66">
        <f>AA66</f>
        <v>358.54</v>
      </c>
      <c r="CZ66">
        <f>AE66</f>
        <v>358.54</v>
      </c>
      <c r="DA66">
        <f>AI66</f>
        <v>1</v>
      </c>
      <c r="DB66">
        <v>0</v>
      </c>
    </row>
    <row r="67" spans="1:106" x14ac:dyDescent="0.2">
      <c r="A67">
        <f>ROW(Source!A55)</f>
        <v>55</v>
      </c>
      <c r="B67">
        <v>45037307</v>
      </c>
      <c r="C67">
        <v>45037489</v>
      </c>
      <c r="D67">
        <v>22652952</v>
      </c>
      <c r="E67">
        <v>22652947</v>
      </c>
      <c r="F67">
        <v>1</v>
      </c>
      <c r="G67">
        <v>22652947</v>
      </c>
      <c r="H67">
        <v>1</v>
      </c>
      <c r="I67" t="s">
        <v>617</v>
      </c>
      <c r="J67" t="s">
        <v>3</v>
      </c>
      <c r="K67" t="s">
        <v>618</v>
      </c>
      <c r="L67">
        <v>1191</v>
      </c>
      <c r="N67">
        <v>1013</v>
      </c>
      <c r="O67" t="s">
        <v>619</v>
      </c>
      <c r="P67" t="s">
        <v>619</v>
      </c>
      <c r="Q67">
        <v>1</v>
      </c>
      <c r="W67">
        <v>0</v>
      </c>
      <c r="X67">
        <v>476480486</v>
      </c>
      <c r="Y67">
        <v>0.12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1</v>
      </c>
      <c r="AJ67">
        <v>1</v>
      </c>
      <c r="AK67">
        <v>1</v>
      </c>
      <c r="AL67">
        <v>1</v>
      </c>
      <c r="AN67">
        <v>0</v>
      </c>
      <c r="AO67">
        <v>1</v>
      </c>
      <c r="AP67">
        <v>0</v>
      </c>
      <c r="AQ67">
        <v>0</v>
      </c>
      <c r="AR67">
        <v>0</v>
      </c>
      <c r="AS67" t="s">
        <v>3</v>
      </c>
      <c r="AT67">
        <v>0.12</v>
      </c>
      <c r="AU67" t="s">
        <v>3</v>
      </c>
      <c r="AV67">
        <v>1</v>
      </c>
      <c r="AW67">
        <v>2</v>
      </c>
      <c r="AX67">
        <v>45038516</v>
      </c>
      <c r="AY67">
        <v>1</v>
      </c>
      <c r="AZ67">
        <v>0</v>
      </c>
      <c r="BA67">
        <v>66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CX67">
        <f>Y67*Source!I55</f>
        <v>0.62519999999999998</v>
      </c>
      <c r="CY67">
        <f>AD67</f>
        <v>0</v>
      </c>
      <c r="CZ67">
        <f>AH67</f>
        <v>0</v>
      </c>
      <c r="DA67">
        <f>AL67</f>
        <v>1</v>
      </c>
      <c r="DB67">
        <v>0</v>
      </c>
    </row>
    <row r="68" spans="1:106" x14ac:dyDescent="0.2">
      <c r="A68">
        <f>ROW(Source!A55)</f>
        <v>55</v>
      </c>
      <c r="B68">
        <v>45037307</v>
      </c>
      <c r="C68">
        <v>45037489</v>
      </c>
      <c r="D68">
        <v>22725578</v>
      </c>
      <c r="E68">
        <v>1</v>
      </c>
      <c r="F68">
        <v>1</v>
      </c>
      <c r="G68">
        <v>22652947</v>
      </c>
      <c r="H68">
        <v>2</v>
      </c>
      <c r="I68" t="s">
        <v>657</v>
      </c>
      <c r="J68" t="s">
        <v>658</v>
      </c>
      <c r="K68" t="s">
        <v>659</v>
      </c>
      <c r="L68">
        <v>1367</v>
      </c>
      <c r="N68">
        <v>1011</v>
      </c>
      <c r="O68" t="s">
        <v>623</v>
      </c>
      <c r="P68" t="s">
        <v>623</v>
      </c>
      <c r="Q68">
        <v>1</v>
      </c>
      <c r="W68">
        <v>0</v>
      </c>
      <c r="X68">
        <v>-869219575</v>
      </c>
      <c r="Y68">
        <v>0.02</v>
      </c>
      <c r="AA68">
        <v>0</v>
      </c>
      <c r="AB68">
        <v>268.64999999999998</v>
      </c>
      <c r="AC68">
        <v>54.67</v>
      </c>
      <c r="AD68">
        <v>0</v>
      </c>
      <c r="AE68">
        <v>0</v>
      </c>
      <c r="AF68">
        <v>43.4</v>
      </c>
      <c r="AG68">
        <v>2.68</v>
      </c>
      <c r="AH68">
        <v>0</v>
      </c>
      <c r="AI68">
        <v>1</v>
      </c>
      <c r="AJ68">
        <v>6.19</v>
      </c>
      <c r="AK68">
        <v>20.399999999999999</v>
      </c>
      <c r="AL68">
        <v>1</v>
      </c>
      <c r="AN68">
        <v>0</v>
      </c>
      <c r="AO68">
        <v>1</v>
      </c>
      <c r="AP68">
        <v>0</v>
      </c>
      <c r="AQ68">
        <v>0</v>
      </c>
      <c r="AR68">
        <v>0</v>
      </c>
      <c r="AS68" t="s">
        <v>3</v>
      </c>
      <c r="AT68">
        <v>0.02</v>
      </c>
      <c r="AU68" t="s">
        <v>3</v>
      </c>
      <c r="AV68">
        <v>0</v>
      </c>
      <c r="AW68">
        <v>2</v>
      </c>
      <c r="AX68">
        <v>45038517</v>
      </c>
      <c r="AY68">
        <v>1</v>
      </c>
      <c r="AZ68">
        <v>0</v>
      </c>
      <c r="BA68">
        <v>67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CX68">
        <f>Y68*Source!I55</f>
        <v>0.1042</v>
      </c>
      <c r="CY68">
        <f>AB68</f>
        <v>268.64999999999998</v>
      </c>
      <c r="CZ68">
        <f>AF68</f>
        <v>43.4</v>
      </c>
      <c r="DA68">
        <f>AJ68</f>
        <v>6.19</v>
      </c>
      <c r="DB68">
        <v>0</v>
      </c>
    </row>
    <row r="69" spans="1:106" x14ac:dyDescent="0.2">
      <c r="A69">
        <f>ROW(Source!A55)</f>
        <v>55</v>
      </c>
      <c r="B69">
        <v>45037307</v>
      </c>
      <c r="C69">
        <v>45037489</v>
      </c>
      <c r="D69">
        <v>22725860</v>
      </c>
      <c r="E69">
        <v>1</v>
      </c>
      <c r="F69">
        <v>1</v>
      </c>
      <c r="G69">
        <v>22652947</v>
      </c>
      <c r="H69">
        <v>2</v>
      </c>
      <c r="I69" t="s">
        <v>660</v>
      </c>
      <c r="J69" t="s">
        <v>661</v>
      </c>
      <c r="K69" t="s">
        <v>662</v>
      </c>
      <c r="L69">
        <v>1367</v>
      </c>
      <c r="N69">
        <v>1011</v>
      </c>
      <c r="O69" t="s">
        <v>623</v>
      </c>
      <c r="P69" t="s">
        <v>623</v>
      </c>
      <c r="Q69">
        <v>1</v>
      </c>
      <c r="W69">
        <v>0</v>
      </c>
      <c r="X69">
        <v>-628430174</v>
      </c>
      <c r="Y69">
        <v>0.01</v>
      </c>
      <c r="AA69">
        <v>0</v>
      </c>
      <c r="AB69">
        <v>606.79999999999995</v>
      </c>
      <c r="AC69">
        <v>292.94</v>
      </c>
      <c r="AD69">
        <v>0</v>
      </c>
      <c r="AE69">
        <v>0</v>
      </c>
      <c r="AF69">
        <v>76.81</v>
      </c>
      <c r="AG69">
        <v>14.36</v>
      </c>
      <c r="AH69">
        <v>0</v>
      </c>
      <c r="AI69">
        <v>1</v>
      </c>
      <c r="AJ69">
        <v>7.9</v>
      </c>
      <c r="AK69">
        <v>20.399999999999999</v>
      </c>
      <c r="AL69">
        <v>1</v>
      </c>
      <c r="AN69">
        <v>0</v>
      </c>
      <c r="AO69">
        <v>1</v>
      </c>
      <c r="AP69">
        <v>0</v>
      </c>
      <c r="AQ69">
        <v>0</v>
      </c>
      <c r="AR69">
        <v>0</v>
      </c>
      <c r="AS69" t="s">
        <v>3</v>
      </c>
      <c r="AT69">
        <v>0.01</v>
      </c>
      <c r="AU69" t="s">
        <v>3</v>
      </c>
      <c r="AV69">
        <v>0</v>
      </c>
      <c r="AW69">
        <v>2</v>
      </c>
      <c r="AX69">
        <v>45038518</v>
      </c>
      <c r="AY69">
        <v>1</v>
      </c>
      <c r="AZ69">
        <v>0</v>
      </c>
      <c r="BA69">
        <v>68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CX69">
        <f>Y69*Source!I55</f>
        <v>5.21E-2</v>
      </c>
      <c r="CY69">
        <f>AB69</f>
        <v>606.79999999999995</v>
      </c>
      <c r="CZ69">
        <f>AF69</f>
        <v>76.81</v>
      </c>
      <c r="DA69">
        <f>AJ69</f>
        <v>7.9</v>
      </c>
      <c r="DB69">
        <v>0</v>
      </c>
    </row>
    <row r="70" spans="1:106" x14ac:dyDescent="0.2">
      <c r="A70">
        <f>ROW(Source!A55)</f>
        <v>55</v>
      </c>
      <c r="B70">
        <v>45037307</v>
      </c>
      <c r="C70">
        <v>45037489</v>
      </c>
      <c r="D70">
        <v>22725906</v>
      </c>
      <c r="E70">
        <v>1</v>
      </c>
      <c r="F70">
        <v>1</v>
      </c>
      <c r="G70">
        <v>22652947</v>
      </c>
      <c r="H70">
        <v>2</v>
      </c>
      <c r="I70" t="s">
        <v>663</v>
      </c>
      <c r="J70" t="s">
        <v>664</v>
      </c>
      <c r="K70" t="s">
        <v>665</v>
      </c>
      <c r="L70">
        <v>1367</v>
      </c>
      <c r="N70">
        <v>1011</v>
      </c>
      <c r="O70" t="s">
        <v>623</v>
      </c>
      <c r="P70" t="s">
        <v>623</v>
      </c>
      <c r="Q70">
        <v>1</v>
      </c>
      <c r="W70">
        <v>0</v>
      </c>
      <c r="X70">
        <v>-875577540</v>
      </c>
      <c r="Y70">
        <v>0.01</v>
      </c>
      <c r="AA70">
        <v>0</v>
      </c>
      <c r="AB70">
        <v>4.82</v>
      </c>
      <c r="AC70">
        <v>0.82</v>
      </c>
      <c r="AD70">
        <v>0</v>
      </c>
      <c r="AE70">
        <v>0</v>
      </c>
      <c r="AF70">
        <v>0.68</v>
      </c>
      <c r="AG70">
        <v>0.04</v>
      </c>
      <c r="AH70">
        <v>0</v>
      </c>
      <c r="AI70">
        <v>1</v>
      </c>
      <c r="AJ70">
        <v>7.09</v>
      </c>
      <c r="AK70">
        <v>20.399999999999999</v>
      </c>
      <c r="AL70">
        <v>1</v>
      </c>
      <c r="AN70">
        <v>0</v>
      </c>
      <c r="AO70">
        <v>1</v>
      </c>
      <c r="AP70">
        <v>0</v>
      </c>
      <c r="AQ70">
        <v>0</v>
      </c>
      <c r="AR70">
        <v>0</v>
      </c>
      <c r="AS70" t="s">
        <v>3</v>
      </c>
      <c r="AT70">
        <v>0.01</v>
      </c>
      <c r="AU70" t="s">
        <v>3</v>
      </c>
      <c r="AV70">
        <v>0</v>
      </c>
      <c r="AW70">
        <v>2</v>
      </c>
      <c r="AX70">
        <v>45038519</v>
      </c>
      <c r="AY70">
        <v>1</v>
      </c>
      <c r="AZ70">
        <v>0</v>
      </c>
      <c r="BA70">
        <v>69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CX70">
        <f>Y70*Source!I55</f>
        <v>5.21E-2</v>
      </c>
      <c r="CY70">
        <f>AB70</f>
        <v>4.82</v>
      </c>
      <c r="CZ70">
        <f>AF70</f>
        <v>0.68</v>
      </c>
      <c r="DA70">
        <f>AJ70</f>
        <v>7.09</v>
      </c>
      <c r="DB70">
        <v>0</v>
      </c>
    </row>
    <row r="71" spans="1:106" x14ac:dyDescent="0.2">
      <c r="A71">
        <f>ROW(Source!A55)</f>
        <v>55</v>
      </c>
      <c r="B71">
        <v>45037307</v>
      </c>
      <c r="C71">
        <v>45037489</v>
      </c>
      <c r="D71">
        <v>22702279</v>
      </c>
      <c r="E71">
        <v>1</v>
      </c>
      <c r="F71">
        <v>1</v>
      </c>
      <c r="G71">
        <v>22652947</v>
      </c>
      <c r="H71">
        <v>3</v>
      </c>
      <c r="I71" t="s">
        <v>666</v>
      </c>
      <c r="J71" t="s">
        <v>667</v>
      </c>
      <c r="K71" t="s">
        <v>668</v>
      </c>
      <c r="L71">
        <v>1348</v>
      </c>
      <c r="N71">
        <v>1009</v>
      </c>
      <c r="O71" t="s">
        <v>29</v>
      </c>
      <c r="P71" t="s">
        <v>29</v>
      </c>
      <c r="Q71">
        <v>1000</v>
      </c>
      <c r="W71">
        <v>0</v>
      </c>
      <c r="X71">
        <v>1310716689</v>
      </c>
      <c r="Y71">
        <v>3.0000000000000001E-5</v>
      </c>
      <c r="AA71">
        <v>86373.64</v>
      </c>
      <c r="AB71">
        <v>0</v>
      </c>
      <c r="AC71">
        <v>0</v>
      </c>
      <c r="AD71">
        <v>0</v>
      </c>
      <c r="AE71">
        <v>7191.81</v>
      </c>
      <c r="AF71">
        <v>0</v>
      </c>
      <c r="AG71">
        <v>0</v>
      </c>
      <c r="AH71">
        <v>0</v>
      </c>
      <c r="AI71">
        <v>12.01</v>
      </c>
      <c r="AJ71">
        <v>1</v>
      </c>
      <c r="AK71">
        <v>1</v>
      </c>
      <c r="AL71">
        <v>1</v>
      </c>
      <c r="AN71">
        <v>0</v>
      </c>
      <c r="AO71">
        <v>1</v>
      </c>
      <c r="AP71">
        <v>0</v>
      </c>
      <c r="AQ71">
        <v>0</v>
      </c>
      <c r="AR71">
        <v>0</v>
      </c>
      <c r="AS71" t="s">
        <v>3</v>
      </c>
      <c r="AT71">
        <v>3.0000000000000001E-5</v>
      </c>
      <c r="AU71" t="s">
        <v>3</v>
      </c>
      <c r="AV71">
        <v>0</v>
      </c>
      <c r="AW71">
        <v>2</v>
      </c>
      <c r="AX71">
        <v>45038521</v>
      </c>
      <c r="AY71">
        <v>1</v>
      </c>
      <c r="AZ71">
        <v>0</v>
      </c>
      <c r="BA71">
        <v>71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CX71">
        <f>Y71*Source!I55</f>
        <v>1.563E-4</v>
      </c>
      <c r="CY71">
        <f>AA71</f>
        <v>86373.64</v>
      </c>
      <c r="CZ71">
        <f>AE71</f>
        <v>7191.81</v>
      </c>
      <c r="DA71">
        <f>AI71</f>
        <v>12.01</v>
      </c>
      <c r="DB71">
        <v>0</v>
      </c>
    </row>
    <row r="72" spans="1:106" x14ac:dyDescent="0.2">
      <c r="A72">
        <f>ROW(Source!A55)</f>
        <v>55</v>
      </c>
      <c r="B72">
        <v>45037307</v>
      </c>
      <c r="C72">
        <v>45037489</v>
      </c>
      <c r="D72">
        <v>22723889</v>
      </c>
      <c r="E72">
        <v>1</v>
      </c>
      <c r="F72">
        <v>1</v>
      </c>
      <c r="G72">
        <v>22652947</v>
      </c>
      <c r="H72">
        <v>3</v>
      </c>
      <c r="I72" t="s">
        <v>99</v>
      </c>
      <c r="J72" t="s">
        <v>102</v>
      </c>
      <c r="K72" t="s">
        <v>100</v>
      </c>
      <c r="L72">
        <v>1327</v>
      </c>
      <c r="N72">
        <v>1005</v>
      </c>
      <c r="O72" t="s">
        <v>101</v>
      </c>
      <c r="P72" t="s">
        <v>101</v>
      </c>
      <c r="Q72">
        <v>1</v>
      </c>
      <c r="W72">
        <v>0</v>
      </c>
      <c r="X72">
        <v>1093334536</v>
      </c>
      <c r="Y72">
        <v>1</v>
      </c>
      <c r="AA72">
        <v>634.62</v>
      </c>
      <c r="AB72">
        <v>0</v>
      </c>
      <c r="AC72">
        <v>0</v>
      </c>
      <c r="AD72">
        <v>0</v>
      </c>
      <c r="AE72">
        <v>358.54</v>
      </c>
      <c r="AF72">
        <v>0</v>
      </c>
      <c r="AG72">
        <v>0</v>
      </c>
      <c r="AH72">
        <v>0</v>
      </c>
      <c r="AI72">
        <v>1.77</v>
      </c>
      <c r="AJ72">
        <v>1</v>
      </c>
      <c r="AK72">
        <v>1</v>
      </c>
      <c r="AL72">
        <v>1</v>
      </c>
      <c r="AN72">
        <v>0</v>
      </c>
      <c r="AO72">
        <v>0</v>
      </c>
      <c r="AP72">
        <v>0</v>
      </c>
      <c r="AQ72">
        <v>0</v>
      </c>
      <c r="AR72">
        <v>0</v>
      </c>
      <c r="AS72" t="s">
        <v>3</v>
      </c>
      <c r="AT72">
        <v>1</v>
      </c>
      <c r="AU72" t="s">
        <v>3</v>
      </c>
      <c r="AV72">
        <v>0</v>
      </c>
      <c r="AW72">
        <v>1</v>
      </c>
      <c r="AX72">
        <v>-1</v>
      </c>
      <c r="AY72">
        <v>0</v>
      </c>
      <c r="AZ72">
        <v>0</v>
      </c>
      <c r="BA72" t="s">
        <v>3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CX72">
        <f>Y72*Source!I55</f>
        <v>5.21</v>
      </c>
      <c r="CY72">
        <f>AA72</f>
        <v>634.62</v>
      </c>
      <c r="CZ72">
        <f>AE72</f>
        <v>358.54</v>
      </c>
      <c r="DA72">
        <f>AI72</f>
        <v>1.77</v>
      </c>
      <c r="DB72">
        <v>0</v>
      </c>
    </row>
    <row r="73" spans="1:106" x14ac:dyDescent="0.2">
      <c r="A73">
        <f>ROW(Source!A58)</f>
        <v>58</v>
      </c>
      <c r="B73">
        <v>45037306</v>
      </c>
      <c r="C73">
        <v>45037503</v>
      </c>
      <c r="D73">
        <v>22652952</v>
      </c>
      <c r="E73">
        <v>22652947</v>
      </c>
      <c r="F73">
        <v>1</v>
      </c>
      <c r="G73">
        <v>22652947</v>
      </c>
      <c r="H73">
        <v>1</v>
      </c>
      <c r="I73" t="s">
        <v>617</v>
      </c>
      <c r="J73" t="s">
        <v>3</v>
      </c>
      <c r="K73" t="s">
        <v>618</v>
      </c>
      <c r="L73">
        <v>1191</v>
      </c>
      <c r="N73">
        <v>1013</v>
      </c>
      <c r="O73" t="s">
        <v>619</v>
      </c>
      <c r="P73" t="s">
        <v>619</v>
      </c>
      <c r="Q73">
        <v>1</v>
      </c>
      <c r="W73">
        <v>0</v>
      </c>
      <c r="X73">
        <v>476480486</v>
      </c>
      <c r="Y73">
        <v>83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1</v>
      </c>
      <c r="AJ73">
        <v>1</v>
      </c>
      <c r="AK73">
        <v>1</v>
      </c>
      <c r="AL73">
        <v>1</v>
      </c>
      <c r="AN73">
        <v>0</v>
      </c>
      <c r="AO73">
        <v>1</v>
      </c>
      <c r="AP73">
        <v>0</v>
      </c>
      <c r="AQ73">
        <v>0</v>
      </c>
      <c r="AR73">
        <v>0</v>
      </c>
      <c r="AS73" t="s">
        <v>3</v>
      </c>
      <c r="AT73">
        <v>83</v>
      </c>
      <c r="AU73" t="s">
        <v>3</v>
      </c>
      <c r="AV73">
        <v>1</v>
      </c>
      <c r="AW73">
        <v>2</v>
      </c>
      <c r="AX73">
        <v>45038523</v>
      </c>
      <c r="AY73">
        <v>1</v>
      </c>
      <c r="AZ73">
        <v>0</v>
      </c>
      <c r="BA73">
        <v>73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CX73">
        <f>Y73*Source!I58</f>
        <v>2.7306999999999997</v>
      </c>
      <c r="CY73">
        <f>AD73</f>
        <v>0</v>
      </c>
      <c r="CZ73">
        <f>AH73</f>
        <v>0</v>
      </c>
      <c r="DA73">
        <f>AL73</f>
        <v>1</v>
      </c>
      <c r="DB73">
        <v>0</v>
      </c>
    </row>
    <row r="74" spans="1:106" x14ac:dyDescent="0.2">
      <c r="A74">
        <f>ROW(Source!A59)</f>
        <v>59</v>
      </c>
      <c r="B74">
        <v>45037307</v>
      </c>
      <c r="C74">
        <v>45037503</v>
      </c>
      <c r="D74">
        <v>22652952</v>
      </c>
      <c r="E74">
        <v>22652947</v>
      </c>
      <c r="F74">
        <v>1</v>
      </c>
      <c r="G74">
        <v>22652947</v>
      </c>
      <c r="H74">
        <v>1</v>
      </c>
      <c r="I74" t="s">
        <v>617</v>
      </c>
      <c r="J74" t="s">
        <v>3</v>
      </c>
      <c r="K74" t="s">
        <v>618</v>
      </c>
      <c r="L74">
        <v>1191</v>
      </c>
      <c r="N74">
        <v>1013</v>
      </c>
      <c r="O74" t="s">
        <v>619</v>
      </c>
      <c r="P74" t="s">
        <v>619</v>
      </c>
      <c r="Q74">
        <v>1</v>
      </c>
      <c r="W74">
        <v>0</v>
      </c>
      <c r="X74">
        <v>476480486</v>
      </c>
      <c r="Y74">
        <v>83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1</v>
      </c>
      <c r="AJ74">
        <v>1</v>
      </c>
      <c r="AK74">
        <v>1</v>
      </c>
      <c r="AL74">
        <v>1</v>
      </c>
      <c r="AN74">
        <v>0</v>
      </c>
      <c r="AO74">
        <v>1</v>
      </c>
      <c r="AP74">
        <v>0</v>
      </c>
      <c r="AQ74">
        <v>0</v>
      </c>
      <c r="AR74">
        <v>0</v>
      </c>
      <c r="AS74" t="s">
        <v>3</v>
      </c>
      <c r="AT74">
        <v>83</v>
      </c>
      <c r="AU74" t="s">
        <v>3</v>
      </c>
      <c r="AV74">
        <v>1</v>
      </c>
      <c r="AW74">
        <v>2</v>
      </c>
      <c r="AX74">
        <v>45038523</v>
      </c>
      <c r="AY74">
        <v>1</v>
      </c>
      <c r="AZ74">
        <v>0</v>
      </c>
      <c r="BA74">
        <v>74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CX74">
        <f>Y74*Source!I59</f>
        <v>2.7306999999999997</v>
      </c>
      <c r="CY74">
        <f>AD74</f>
        <v>0</v>
      </c>
      <c r="CZ74">
        <f>AH74</f>
        <v>0</v>
      </c>
      <c r="DA74">
        <f>AL74</f>
        <v>1</v>
      </c>
      <c r="DB74">
        <v>0</v>
      </c>
    </row>
    <row r="75" spans="1:106" x14ac:dyDescent="0.2">
      <c r="A75">
        <f>ROW(Source!A60)</f>
        <v>60</v>
      </c>
      <c r="B75">
        <v>45037306</v>
      </c>
      <c r="C75">
        <v>45037506</v>
      </c>
      <c r="D75">
        <v>22653672</v>
      </c>
      <c r="E75">
        <v>22652947</v>
      </c>
      <c r="F75">
        <v>1</v>
      </c>
      <c r="G75">
        <v>22652947</v>
      </c>
      <c r="H75">
        <v>2</v>
      </c>
      <c r="I75" t="s">
        <v>630</v>
      </c>
      <c r="J75" t="s">
        <v>3</v>
      </c>
      <c r="K75" t="s">
        <v>631</v>
      </c>
      <c r="L75">
        <v>1344</v>
      </c>
      <c r="N75">
        <v>1008</v>
      </c>
      <c r="O75" t="s">
        <v>632</v>
      </c>
      <c r="P75" t="s">
        <v>632</v>
      </c>
      <c r="Q75">
        <v>1</v>
      </c>
      <c r="W75">
        <v>0</v>
      </c>
      <c r="X75">
        <v>-1180195794</v>
      </c>
      <c r="Y75">
        <v>53.43</v>
      </c>
      <c r="AA75">
        <v>0</v>
      </c>
      <c r="AB75">
        <v>1</v>
      </c>
      <c r="AC75">
        <v>0</v>
      </c>
      <c r="AD75">
        <v>0</v>
      </c>
      <c r="AE75">
        <v>0</v>
      </c>
      <c r="AF75">
        <v>1</v>
      </c>
      <c r="AG75">
        <v>0</v>
      </c>
      <c r="AH75">
        <v>0</v>
      </c>
      <c r="AI75">
        <v>1</v>
      </c>
      <c r="AJ75">
        <v>1</v>
      </c>
      <c r="AK75">
        <v>1</v>
      </c>
      <c r="AL75">
        <v>1</v>
      </c>
      <c r="AN75">
        <v>0</v>
      </c>
      <c r="AO75">
        <v>1</v>
      </c>
      <c r="AP75">
        <v>0</v>
      </c>
      <c r="AQ75">
        <v>0</v>
      </c>
      <c r="AR75">
        <v>0</v>
      </c>
      <c r="AS75" t="s">
        <v>3</v>
      </c>
      <c r="AT75">
        <v>53.43</v>
      </c>
      <c r="AU75" t="s">
        <v>3</v>
      </c>
      <c r="AV75">
        <v>0</v>
      </c>
      <c r="AW75">
        <v>2</v>
      </c>
      <c r="AX75">
        <v>45038524</v>
      </c>
      <c r="AY75">
        <v>1</v>
      </c>
      <c r="AZ75">
        <v>0</v>
      </c>
      <c r="BA75">
        <v>75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CX75">
        <f>Y75*Source!I60</f>
        <v>175.78470000000002</v>
      </c>
      <c r="CY75">
        <f>AB75</f>
        <v>1</v>
      </c>
      <c r="CZ75">
        <f>AF75</f>
        <v>1</v>
      </c>
      <c r="DA75">
        <f>AJ75</f>
        <v>1</v>
      </c>
      <c r="DB75">
        <v>0</v>
      </c>
    </row>
    <row r="76" spans="1:106" x14ac:dyDescent="0.2">
      <c r="A76">
        <f>ROW(Source!A61)</f>
        <v>61</v>
      </c>
      <c r="B76">
        <v>45037307</v>
      </c>
      <c r="C76">
        <v>45037506</v>
      </c>
      <c r="D76">
        <v>22653672</v>
      </c>
      <c r="E76">
        <v>22652947</v>
      </c>
      <c r="F76">
        <v>1</v>
      </c>
      <c r="G76">
        <v>22652947</v>
      </c>
      <c r="H76">
        <v>2</v>
      </c>
      <c r="I76" t="s">
        <v>630</v>
      </c>
      <c r="J76" t="s">
        <v>3</v>
      </c>
      <c r="K76" t="s">
        <v>631</v>
      </c>
      <c r="L76">
        <v>1344</v>
      </c>
      <c r="N76">
        <v>1008</v>
      </c>
      <c r="O76" t="s">
        <v>632</v>
      </c>
      <c r="P76" t="s">
        <v>632</v>
      </c>
      <c r="Q76">
        <v>1</v>
      </c>
      <c r="W76">
        <v>0</v>
      </c>
      <c r="X76">
        <v>-1180195794</v>
      </c>
      <c r="Y76">
        <v>53.43</v>
      </c>
      <c r="AA76">
        <v>0</v>
      </c>
      <c r="AB76">
        <v>1</v>
      </c>
      <c r="AC76">
        <v>0</v>
      </c>
      <c r="AD76">
        <v>0</v>
      </c>
      <c r="AE76">
        <v>0</v>
      </c>
      <c r="AF76">
        <v>1</v>
      </c>
      <c r="AG76">
        <v>0</v>
      </c>
      <c r="AH76">
        <v>0</v>
      </c>
      <c r="AI76">
        <v>1</v>
      </c>
      <c r="AJ76">
        <v>1</v>
      </c>
      <c r="AK76">
        <v>1</v>
      </c>
      <c r="AL76">
        <v>1</v>
      </c>
      <c r="AN76">
        <v>0</v>
      </c>
      <c r="AO76">
        <v>1</v>
      </c>
      <c r="AP76">
        <v>0</v>
      </c>
      <c r="AQ76">
        <v>0</v>
      </c>
      <c r="AR76">
        <v>0</v>
      </c>
      <c r="AS76" t="s">
        <v>3</v>
      </c>
      <c r="AT76">
        <v>53.43</v>
      </c>
      <c r="AU76" t="s">
        <v>3</v>
      </c>
      <c r="AV76">
        <v>0</v>
      </c>
      <c r="AW76">
        <v>2</v>
      </c>
      <c r="AX76">
        <v>45038524</v>
      </c>
      <c r="AY76">
        <v>1</v>
      </c>
      <c r="AZ76">
        <v>0</v>
      </c>
      <c r="BA76">
        <v>76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CX76">
        <f>Y76*Source!I61</f>
        <v>175.78470000000002</v>
      </c>
      <c r="CY76">
        <f>AB76</f>
        <v>1</v>
      </c>
      <c r="CZ76">
        <f>AF76</f>
        <v>1</v>
      </c>
      <c r="DA76">
        <f>AJ76</f>
        <v>1</v>
      </c>
      <c r="DB76">
        <v>0</v>
      </c>
    </row>
    <row r="77" spans="1:106" x14ac:dyDescent="0.2">
      <c r="A77">
        <f>ROW(Source!A100)</f>
        <v>100</v>
      </c>
      <c r="B77">
        <v>45037306</v>
      </c>
      <c r="C77">
        <v>45037617</v>
      </c>
      <c r="D77">
        <v>22652952</v>
      </c>
      <c r="E77">
        <v>22652947</v>
      </c>
      <c r="F77">
        <v>1</v>
      </c>
      <c r="G77">
        <v>22652947</v>
      </c>
      <c r="H77">
        <v>1</v>
      </c>
      <c r="I77" t="s">
        <v>617</v>
      </c>
      <c r="J77" t="s">
        <v>3</v>
      </c>
      <c r="K77" t="s">
        <v>618</v>
      </c>
      <c r="L77">
        <v>1191</v>
      </c>
      <c r="N77">
        <v>1013</v>
      </c>
      <c r="O77" t="s">
        <v>619</v>
      </c>
      <c r="P77" t="s">
        <v>619</v>
      </c>
      <c r="Q77">
        <v>1</v>
      </c>
      <c r="W77">
        <v>0</v>
      </c>
      <c r="X77">
        <v>476480486</v>
      </c>
      <c r="Y77">
        <v>49.26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1</v>
      </c>
      <c r="AJ77">
        <v>1</v>
      </c>
      <c r="AK77">
        <v>1</v>
      </c>
      <c r="AL77">
        <v>1</v>
      </c>
      <c r="AN77">
        <v>0</v>
      </c>
      <c r="AO77">
        <v>1</v>
      </c>
      <c r="AP77">
        <v>1</v>
      </c>
      <c r="AQ77">
        <v>0</v>
      </c>
      <c r="AR77">
        <v>0</v>
      </c>
      <c r="AS77" t="s">
        <v>3</v>
      </c>
      <c r="AT77">
        <v>82.1</v>
      </c>
      <c r="AU77" t="s">
        <v>178</v>
      </c>
      <c r="AV77">
        <v>1</v>
      </c>
      <c r="AW77">
        <v>2</v>
      </c>
      <c r="AX77">
        <v>45038525</v>
      </c>
      <c r="AY77">
        <v>1</v>
      </c>
      <c r="AZ77">
        <v>0</v>
      </c>
      <c r="BA77">
        <v>77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CX77">
        <f>Y77*Source!I100</f>
        <v>4.9260000000000002</v>
      </c>
      <c r="CY77">
        <f>AD77</f>
        <v>0</v>
      </c>
      <c r="CZ77">
        <f>AH77</f>
        <v>0</v>
      </c>
      <c r="DA77">
        <f>AL77</f>
        <v>1</v>
      </c>
      <c r="DB77">
        <v>0</v>
      </c>
    </row>
    <row r="78" spans="1:106" x14ac:dyDescent="0.2">
      <c r="A78">
        <f>ROW(Source!A100)</f>
        <v>100</v>
      </c>
      <c r="B78">
        <v>45037306</v>
      </c>
      <c r="C78">
        <v>45037617</v>
      </c>
      <c r="D78">
        <v>22725583</v>
      </c>
      <c r="E78">
        <v>1</v>
      </c>
      <c r="F78">
        <v>1</v>
      </c>
      <c r="G78">
        <v>22652947</v>
      </c>
      <c r="H78">
        <v>2</v>
      </c>
      <c r="I78" t="s">
        <v>669</v>
      </c>
      <c r="J78" t="s">
        <v>670</v>
      </c>
      <c r="K78" t="s">
        <v>671</v>
      </c>
      <c r="L78">
        <v>1367</v>
      </c>
      <c r="N78">
        <v>1011</v>
      </c>
      <c r="O78" t="s">
        <v>623</v>
      </c>
      <c r="P78" t="s">
        <v>623</v>
      </c>
      <c r="Q78">
        <v>1</v>
      </c>
      <c r="W78">
        <v>0</v>
      </c>
      <c r="X78">
        <v>-1260721122</v>
      </c>
      <c r="Y78">
        <v>3.5999999999999997E-2</v>
      </c>
      <c r="AA78">
        <v>0</v>
      </c>
      <c r="AB78">
        <v>6.39</v>
      </c>
      <c r="AC78">
        <v>0.32</v>
      </c>
      <c r="AD78">
        <v>0</v>
      </c>
      <c r="AE78">
        <v>0</v>
      </c>
      <c r="AF78">
        <v>6.39</v>
      </c>
      <c r="AG78">
        <v>0.32</v>
      </c>
      <c r="AH78">
        <v>0</v>
      </c>
      <c r="AI78">
        <v>1</v>
      </c>
      <c r="AJ78">
        <v>1</v>
      </c>
      <c r="AK78">
        <v>1</v>
      </c>
      <c r="AL78">
        <v>1</v>
      </c>
      <c r="AN78">
        <v>0</v>
      </c>
      <c r="AO78">
        <v>1</v>
      </c>
      <c r="AP78">
        <v>1</v>
      </c>
      <c r="AQ78">
        <v>0</v>
      </c>
      <c r="AR78">
        <v>0</v>
      </c>
      <c r="AS78" t="s">
        <v>3</v>
      </c>
      <c r="AT78">
        <v>0.06</v>
      </c>
      <c r="AU78" t="s">
        <v>178</v>
      </c>
      <c r="AV78">
        <v>0</v>
      </c>
      <c r="AW78">
        <v>2</v>
      </c>
      <c r="AX78">
        <v>45038526</v>
      </c>
      <c r="AY78">
        <v>1</v>
      </c>
      <c r="AZ78">
        <v>0</v>
      </c>
      <c r="BA78">
        <v>78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CX78">
        <f>Y78*Source!I100</f>
        <v>3.5999999999999999E-3</v>
      </c>
      <c r="CY78">
        <f>AB78</f>
        <v>6.39</v>
      </c>
      <c r="CZ78">
        <f>AF78</f>
        <v>6.39</v>
      </c>
      <c r="DA78">
        <f>AJ78</f>
        <v>1</v>
      </c>
      <c r="DB78">
        <v>0</v>
      </c>
    </row>
    <row r="79" spans="1:106" x14ac:dyDescent="0.2">
      <c r="A79">
        <f>ROW(Source!A100)</f>
        <v>100</v>
      </c>
      <c r="B79">
        <v>45037306</v>
      </c>
      <c r="C79">
        <v>45037617</v>
      </c>
      <c r="D79">
        <v>22725932</v>
      </c>
      <c r="E79">
        <v>1</v>
      </c>
      <c r="F79">
        <v>1</v>
      </c>
      <c r="G79">
        <v>22652947</v>
      </c>
      <c r="H79">
        <v>2</v>
      </c>
      <c r="I79" t="s">
        <v>672</v>
      </c>
      <c r="J79" t="s">
        <v>673</v>
      </c>
      <c r="K79" t="s">
        <v>674</v>
      </c>
      <c r="L79">
        <v>1367</v>
      </c>
      <c r="N79">
        <v>1011</v>
      </c>
      <c r="O79" t="s">
        <v>623</v>
      </c>
      <c r="P79" t="s">
        <v>623</v>
      </c>
      <c r="Q79">
        <v>1</v>
      </c>
      <c r="W79">
        <v>0</v>
      </c>
      <c r="X79">
        <v>-840546339</v>
      </c>
      <c r="Y79">
        <v>0.45599999999999996</v>
      </c>
      <c r="AA79">
        <v>0</v>
      </c>
      <c r="AB79">
        <v>2.58</v>
      </c>
      <c r="AC79">
        <v>0.04</v>
      </c>
      <c r="AD79">
        <v>0</v>
      </c>
      <c r="AE79">
        <v>0</v>
      </c>
      <c r="AF79">
        <v>2.58</v>
      </c>
      <c r="AG79">
        <v>0.04</v>
      </c>
      <c r="AH79">
        <v>0</v>
      </c>
      <c r="AI79">
        <v>1</v>
      </c>
      <c r="AJ79">
        <v>1</v>
      </c>
      <c r="AK79">
        <v>1</v>
      </c>
      <c r="AL79">
        <v>1</v>
      </c>
      <c r="AN79">
        <v>0</v>
      </c>
      <c r="AO79">
        <v>1</v>
      </c>
      <c r="AP79">
        <v>1</v>
      </c>
      <c r="AQ79">
        <v>0</v>
      </c>
      <c r="AR79">
        <v>0</v>
      </c>
      <c r="AS79" t="s">
        <v>3</v>
      </c>
      <c r="AT79">
        <v>0.76</v>
      </c>
      <c r="AU79" t="s">
        <v>178</v>
      </c>
      <c r="AV79">
        <v>0</v>
      </c>
      <c r="AW79">
        <v>2</v>
      </c>
      <c r="AX79">
        <v>45038527</v>
      </c>
      <c r="AY79">
        <v>1</v>
      </c>
      <c r="AZ79">
        <v>0</v>
      </c>
      <c r="BA79">
        <v>79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CX79">
        <f>Y79*Source!I100</f>
        <v>4.5600000000000002E-2</v>
      </c>
      <c r="CY79">
        <f>AB79</f>
        <v>2.58</v>
      </c>
      <c r="CZ79">
        <f>AF79</f>
        <v>2.58</v>
      </c>
      <c r="DA79">
        <f>AJ79</f>
        <v>1</v>
      </c>
      <c r="DB79">
        <v>0</v>
      </c>
    </row>
    <row r="80" spans="1:106" x14ac:dyDescent="0.2">
      <c r="A80">
        <f>ROW(Source!A100)</f>
        <v>100</v>
      </c>
      <c r="B80">
        <v>45037306</v>
      </c>
      <c r="C80">
        <v>45037617</v>
      </c>
      <c r="D80">
        <v>22653672</v>
      </c>
      <c r="E80">
        <v>22652947</v>
      </c>
      <c r="F80">
        <v>1</v>
      </c>
      <c r="G80">
        <v>22652947</v>
      </c>
      <c r="H80">
        <v>2</v>
      </c>
      <c r="I80" t="s">
        <v>630</v>
      </c>
      <c r="J80" t="s">
        <v>3</v>
      </c>
      <c r="K80" t="s">
        <v>631</v>
      </c>
      <c r="L80">
        <v>1344</v>
      </c>
      <c r="N80">
        <v>1008</v>
      </c>
      <c r="O80" t="s">
        <v>632</v>
      </c>
      <c r="P80" t="s">
        <v>632</v>
      </c>
      <c r="Q80">
        <v>1</v>
      </c>
      <c r="W80">
        <v>0</v>
      </c>
      <c r="X80">
        <v>-1180195794</v>
      </c>
      <c r="Y80">
        <v>139.35</v>
      </c>
      <c r="AA80">
        <v>0</v>
      </c>
      <c r="AB80">
        <v>1</v>
      </c>
      <c r="AC80">
        <v>0</v>
      </c>
      <c r="AD80">
        <v>0</v>
      </c>
      <c r="AE80">
        <v>0</v>
      </c>
      <c r="AF80">
        <v>1</v>
      </c>
      <c r="AG80">
        <v>0</v>
      </c>
      <c r="AH80">
        <v>0</v>
      </c>
      <c r="AI80">
        <v>1</v>
      </c>
      <c r="AJ80">
        <v>1</v>
      </c>
      <c r="AK80">
        <v>1</v>
      </c>
      <c r="AL80">
        <v>1</v>
      </c>
      <c r="AN80">
        <v>0</v>
      </c>
      <c r="AO80">
        <v>1</v>
      </c>
      <c r="AP80">
        <v>1</v>
      </c>
      <c r="AQ80">
        <v>0</v>
      </c>
      <c r="AR80">
        <v>0</v>
      </c>
      <c r="AS80" t="s">
        <v>3</v>
      </c>
      <c r="AT80">
        <v>232.25</v>
      </c>
      <c r="AU80" t="s">
        <v>178</v>
      </c>
      <c r="AV80">
        <v>0</v>
      </c>
      <c r="AW80">
        <v>2</v>
      </c>
      <c r="AX80">
        <v>45038528</v>
      </c>
      <c r="AY80">
        <v>1</v>
      </c>
      <c r="AZ80">
        <v>0</v>
      </c>
      <c r="BA80">
        <v>80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CX80">
        <f>Y80*Source!I100</f>
        <v>13.935</v>
      </c>
      <c r="CY80">
        <f>AB80</f>
        <v>1</v>
      </c>
      <c r="CZ80">
        <f>AF80</f>
        <v>1</v>
      </c>
      <c r="DA80">
        <f>AJ80</f>
        <v>1</v>
      </c>
      <c r="DB80">
        <v>0</v>
      </c>
    </row>
    <row r="81" spans="1:106" x14ac:dyDescent="0.2">
      <c r="A81">
        <f>ROW(Source!A100)</f>
        <v>100</v>
      </c>
      <c r="B81">
        <v>45037306</v>
      </c>
      <c r="C81">
        <v>45037617</v>
      </c>
      <c r="D81">
        <v>22702279</v>
      </c>
      <c r="E81">
        <v>1</v>
      </c>
      <c r="F81">
        <v>1</v>
      </c>
      <c r="G81">
        <v>22652947</v>
      </c>
      <c r="H81">
        <v>3</v>
      </c>
      <c r="I81" t="s">
        <v>666</v>
      </c>
      <c r="J81" t="s">
        <v>667</v>
      </c>
      <c r="K81" t="s">
        <v>668</v>
      </c>
      <c r="L81">
        <v>1348</v>
      </c>
      <c r="N81">
        <v>1009</v>
      </c>
      <c r="O81" t="s">
        <v>29</v>
      </c>
      <c r="P81" t="s">
        <v>29</v>
      </c>
      <c r="Q81">
        <v>1000</v>
      </c>
      <c r="W81">
        <v>0</v>
      </c>
      <c r="X81">
        <v>1310716689</v>
      </c>
      <c r="Y81">
        <v>4.1999999999999996E-4</v>
      </c>
      <c r="AA81">
        <v>7191.81</v>
      </c>
      <c r="AB81">
        <v>0</v>
      </c>
      <c r="AC81">
        <v>0</v>
      </c>
      <c r="AD81">
        <v>0</v>
      </c>
      <c r="AE81">
        <v>7191.81</v>
      </c>
      <c r="AF81">
        <v>0</v>
      </c>
      <c r="AG81">
        <v>0</v>
      </c>
      <c r="AH81">
        <v>0</v>
      </c>
      <c r="AI81">
        <v>1</v>
      </c>
      <c r="AJ81">
        <v>1</v>
      </c>
      <c r="AK81">
        <v>1</v>
      </c>
      <c r="AL81">
        <v>1</v>
      </c>
      <c r="AN81">
        <v>0</v>
      </c>
      <c r="AO81">
        <v>1</v>
      </c>
      <c r="AP81">
        <v>1</v>
      </c>
      <c r="AQ81">
        <v>0</v>
      </c>
      <c r="AR81">
        <v>0</v>
      </c>
      <c r="AS81" t="s">
        <v>3</v>
      </c>
      <c r="AT81">
        <v>6.9999999999999999E-4</v>
      </c>
      <c r="AU81" t="s">
        <v>178</v>
      </c>
      <c r="AV81">
        <v>0</v>
      </c>
      <c r="AW81">
        <v>2</v>
      </c>
      <c r="AX81">
        <v>45038529</v>
      </c>
      <c r="AY81">
        <v>1</v>
      </c>
      <c r="AZ81">
        <v>0</v>
      </c>
      <c r="BA81">
        <v>81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CX81">
        <f>Y81*Source!I100</f>
        <v>4.1999999999999998E-5</v>
      </c>
      <c r="CY81">
        <f>AA81</f>
        <v>7191.81</v>
      </c>
      <c r="CZ81">
        <f>AE81</f>
        <v>7191.81</v>
      </c>
      <c r="DA81">
        <f>AI81</f>
        <v>1</v>
      </c>
      <c r="DB81">
        <v>0</v>
      </c>
    </row>
    <row r="82" spans="1:106" x14ac:dyDescent="0.2">
      <c r="A82">
        <f>ROW(Source!A100)</f>
        <v>100</v>
      </c>
      <c r="B82">
        <v>45037306</v>
      </c>
      <c r="C82">
        <v>45037617</v>
      </c>
      <c r="D82">
        <v>22674637</v>
      </c>
      <c r="E82">
        <v>22652947</v>
      </c>
      <c r="F82">
        <v>1</v>
      </c>
      <c r="G82">
        <v>22652947</v>
      </c>
      <c r="H82">
        <v>3</v>
      </c>
      <c r="I82" t="s">
        <v>27</v>
      </c>
      <c r="J82" t="s">
        <v>3</v>
      </c>
      <c r="K82" t="s">
        <v>50</v>
      </c>
      <c r="L82">
        <v>1348</v>
      </c>
      <c r="N82">
        <v>1009</v>
      </c>
      <c r="O82" t="s">
        <v>29</v>
      </c>
      <c r="P82" t="s">
        <v>29</v>
      </c>
      <c r="Q82">
        <v>1000</v>
      </c>
      <c r="W82">
        <v>0</v>
      </c>
      <c r="X82">
        <v>1489638031</v>
      </c>
      <c r="Y82">
        <v>1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1</v>
      </c>
      <c r="AJ82">
        <v>1</v>
      </c>
      <c r="AK82">
        <v>1</v>
      </c>
      <c r="AL82">
        <v>1</v>
      </c>
      <c r="AN82">
        <v>0</v>
      </c>
      <c r="AO82">
        <v>0</v>
      </c>
      <c r="AP82">
        <v>1</v>
      </c>
      <c r="AQ82">
        <v>0</v>
      </c>
      <c r="AR82">
        <v>0</v>
      </c>
      <c r="AS82" t="s">
        <v>3</v>
      </c>
      <c r="AT82">
        <v>1</v>
      </c>
      <c r="AU82" t="s">
        <v>3</v>
      </c>
      <c r="AV82">
        <v>0</v>
      </c>
      <c r="AW82">
        <v>1</v>
      </c>
      <c r="AX82">
        <v>-1</v>
      </c>
      <c r="AY82">
        <v>0</v>
      </c>
      <c r="AZ82">
        <v>0</v>
      </c>
      <c r="BA82" t="s">
        <v>3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CX82">
        <f>Y82*Source!I100</f>
        <v>0.1</v>
      </c>
      <c r="CY82">
        <f>AA82</f>
        <v>0</v>
      </c>
      <c r="CZ82">
        <f>AE82</f>
        <v>0</v>
      </c>
      <c r="DA82">
        <f>AI82</f>
        <v>1</v>
      </c>
      <c r="DB82">
        <v>0</v>
      </c>
    </row>
    <row r="83" spans="1:106" x14ac:dyDescent="0.2">
      <c r="A83">
        <f>ROW(Source!A100)</f>
        <v>100</v>
      </c>
      <c r="B83">
        <v>45037306</v>
      </c>
      <c r="C83">
        <v>45037617</v>
      </c>
      <c r="D83">
        <v>22674651</v>
      </c>
      <c r="E83">
        <v>22652947</v>
      </c>
      <c r="F83">
        <v>1</v>
      </c>
      <c r="G83">
        <v>22652947</v>
      </c>
      <c r="H83">
        <v>3</v>
      </c>
      <c r="I83" t="s">
        <v>675</v>
      </c>
      <c r="J83" t="s">
        <v>3</v>
      </c>
      <c r="K83" t="s">
        <v>676</v>
      </c>
      <c r="L83">
        <v>1344</v>
      </c>
      <c r="N83">
        <v>1008</v>
      </c>
      <c r="O83" t="s">
        <v>632</v>
      </c>
      <c r="P83" t="s">
        <v>632</v>
      </c>
      <c r="Q83">
        <v>1</v>
      </c>
      <c r="W83">
        <v>0</v>
      </c>
      <c r="X83">
        <v>-94250534</v>
      </c>
      <c r="Y83">
        <v>23.687999999999999</v>
      </c>
      <c r="AA83">
        <v>1</v>
      </c>
      <c r="AB83">
        <v>0</v>
      </c>
      <c r="AC83">
        <v>0</v>
      </c>
      <c r="AD83">
        <v>0</v>
      </c>
      <c r="AE83">
        <v>1</v>
      </c>
      <c r="AF83">
        <v>0</v>
      </c>
      <c r="AG83">
        <v>0</v>
      </c>
      <c r="AH83">
        <v>0</v>
      </c>
      <c r="AI83">
        <v>1</v>
      </c>
      <c r="AJ83">
        <v>1</v>
      </c>
      <c r="AK83">
        <v>1</v>
      </c>
      <c r="AL83">
        <v>1</v>
      </c>
      <c r="AN83">
        <v>0</v>
      </c>
      <c r="AO83">
        <v>1</v>
      </c>
      <c r="AP83">
        <v>1</v>
      </c>
      <c r="AQ83">
        <v>0</v>
      </c>
      <c r="AR83">
        <v>0</v>
      </c>
      <c r="AS83" t="s">
        <v>3</v>
      </c>
      <c r="AT83">
        <v>39.479999999999997</v>
      </c>
      <c r="AU83" t="s">
        <v>178</v>
      </c>
      <c r="AV83">
        <v>0</v>
      </c>
      <c r="AW83">
        <v>2</v>
      </c>
      <c r="AX83">
        <v>45038531</v>
      </c>
      <c r="AY83">
        <v>1</v>
      </c>
      <c r="AZ83">
        <v>0</v>
      </c>
      <c r="BA83">
        <v>83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CX83">
        <f>Y83*Source!I100</f>
        <v>2.3687999999999998</v>
      </c>
      <c r="CY83">
        <f>AA83</f>
        <v>1</v>
      </c>
      <c r="CZ83">
        <f>AE83</f>
        <v>1</v>
      </c>
      <c r="DA83">
        <f>AI83</f>
        <v>1</v>
      </c>
      <c r="DB83">
        <v>0</v>
      </c>
    </row>
    <row r="84" spans="1:106" x14ac:dyDescent="0.2">
      <c r="A84">
        <f>ROW(Source!A101)</f>
        <v>101</v>
      </c>
      <c r="B84">
        <v>45037307</v>
      </c>
      <c r="C84">
        <v>45037617</v>
      </c>
      <c r="D84">
        <v>22652952</v>
      </c>
      <c r="E84">
        <v>22652947</v>
      </c>
      <c r="F84">
        <v>1</v>
      </c>
      <c r="G84">
        <v>22652947</v>
      </c>
      <c r="H84">
        <v>1</v>
      </c>
      <c r="I84" t="s">
        <v>617</v>
      </c>
      <c r="J84" t="s">
        <v>3</v>
      </c>
      <c r="K84" t="s">
        <v>618</v>
      </c>
      <c r="L84">
        <v>1191</v>
      </c>
      <c r="N84">
        <v>1013</v>
      </c>
      <c r="O84" t="s">
        <v>619</v>
      </c>
      <c r="P84" t="s">
        <v>619</v>
      </c>
      <c r="Q84">
        <v>1</v>
      </c>
      <c r="W84">
        <v>0</v>
      </c>
      <c r="X84">
        <v>476480486</v>
      </c>
      <c r="Y84">
        <v>49.26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1</v>
      </c>
      <c r="AJ84">
        <v>1</v>
      </c>
      <c r="AK84">
        <v>1</v>
      </c>
      <c r="AL84">
        <v>1</v>
      </c>
      <c r="AN84">
        <v>0</v>
      </c>
      <c r="AO84">
        <v>1</v>
      </c>
      <c r="AP84">
        <v>1</v>
      </c>
      <c r="AQ84">
        <v>0</v>
      </c>
      <c r="AR84">
        <v>0</v>
      </c>
      <c r="AS84" t="s">
        <v>3</v>
      </c>
      <c r="AT84">
        <v>82.1</v>
      </c>
      <c r="AU84" t="s">
        <v>178</v>
      </c>
      <c r="AV84">
        <v>1</v>
      </c>
      <c r="AW84">
        <v>2</v>
      </c>
      <c r="AX84">
        <v>45038525</v>
      </c>
      <c r="AY84">
        <v>1</v>
      </c>
      <c r="AZ84">
        <v>0</v>
      </c>
      <c r="BA84">
        <v>84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CX84">
        <f>Y84*Source!I101</f>
        <v>4.9260000000000002</v>
      </c>
      <c r="CY84">
        <f>AD84</f>
        <v>0</v>
      </c>
      <c r="CZ84">
        <f>AH84</f>
        <v>0</v>
      </c>
      <c r="DA84">
        <f>AL84</f>
        <v>1</v>
      </c>
      <c r="DB84">
        <v>0</v>
      </c>
    </row>
    <row r="85" spans="1:106" x14ac:dyDescent="0.2">
      <c r="A85">
        <f>ROW(Source!A101)</f>
        <v>101</v>
      </c>
      <c r="B85">
        <v>45037307</v>
      </c>
      <c r="C85">
        <v>45037617</v>
      </c>
      <c r="D85">
        <v>22725583</v>
      </c>
      <c r="E85">
        <v>1</v>
      </c>
      <c r="F85">
        <v>1</v>
      </c>
      <c r="G85">
        <v>22652947</v>
      </c>
      <c r="H85">
        <v>2</v>
      </c>
      <c r="I85" t="s">
        <v>669</v>
      </c>
      <c r="J85" t="s">
        <v>670</v>
      </c>
      <c r="K85" t="s">
        <v>671</v>
      </c>
      <c r="L85">
        <v>1367</v>
      </c>
      <c r="N85">
        <v>1011</v>
      </c>
      <c r="O85" t="s">
        <v>623</v>
      </c>
      <c r="P85" t="s">
        <v>623</v>
      </c>
      <c r="Q85">
        <v>1</v>
      </c>
      <c r="W85">
        <v>0</v>
      </c>
      <c r="X85">
        <v>-1260721122</v>
      </c>
      <c r="Y85">
        <v>3.5999999999999997E-2</v>
      </c>
      <c r="AA85">
        <v>0</v>
      </c>
      <c r="AB85">
        <v>46.33</v>
      </c>
      <c r="AC85">
        <v>6.53</v>
      </c>
      <c r="AD85">
        <v>0</v>
      </c>
      <c r="AE85">
        <v>0</v>
      </c>
      <c r="AF85">
        <v>6.39</v>
      </c>
      <c r="AG85">
        <v>0.32</v>
      </c>
      <c r="AH85">
        <v>0</v>
      </c>
      <c r="AI85">
        <v>1</v>
      </c>
      <c r="AJ85">
        <v>7.25</v>
      </c>
      <c r="AK85">
        <v>20.399999999999999</v>
      </c>
      <c r="AL85">
        <v>1</v>
      </c>
      <c r="AN85">
        <v>0</v>
      </c>
      <c r="AO85">
        <v>1</v>
      </c>
      <c r="AP85">
        <v>1</v>
      </c>
      <c r="AQ85">
        <v>0</v>
      </c>
      <c r="AR85">
        <v>0</v>
      </c>
      <c r="AS85" t="s">
        <v>3</v>
      </c>
      <c r="AT85">
        <v>0.06</v>
      </c>
      <c r="AU85" t="s">
        <v>178</v>
      </c>
      <c r="AV85">
        <v>0</v>
      </c>
      <c r="AW85">
        <v>2</v>
      </c>
      <c r="AX85">
        <v>45038526</v>
      </c>
      <c r="AY85">
        <v>1</v>
      </c>
      <c r="AZ85">
        <v>0</v>
      </c>
      <c r="BA85">
        <v>85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CX85">
        <f>Y85*Source!I101</f>
        <v>3.5999999999999999E-3</v>
      </c>
      <c r="CY85">
        <f>AB85</f>
        <v>46.33</v>
      </c>
      <c r="CZ85">
        <f>AF85</f>
        <v>6.39</v>
      </c>
      <c r="DA85">
        <f>AJ85</f>
        <v>7.25</v>
      </c>
      <c r="DB85">
        <v>0</v>
      </c>
    </row>
    <row r="86" spans="1:106" x14ac:dyDescent="0.2">
      <c r="A86">
        <f>ROW(Source!A101)</f>
        <v>101</v>
      </c>
      <c r="B86">
        <v>45037307</v>
      </c>
      <c r="C86">
        <v>45037617</v>
      </c>
      <c r="D86">
        <v>22725932</v>
      </c>
      <c r="E86">
        <v>1</v>
      </c>
      <c r="F86">
        <v>1</v>
      </c>
      <c r="G86">
        <v>22652947</v>
      </c>
      <c r="H86">
        <v>2</v>
      </c>
      <c r="I86" t="s">
        <v>672</v>
      </c>
      <c r="J86" t="s">
        <v>673</v>
      </c>
      <c r="K86" t="s">
        <v>674</v>
      </c>
      <c r="L86">
        <v>1367</v>
      </c>
      <c r="N86">
        <v>1011</v>
      </c>
      <c r="O86" t="s">
        <v>623</v>
      </c>
      <c r="P86" t="s">
        <v>623</v>
      </c>
      <c r="Q86">
        <v>1</v>
      </c>
      <c r="W86">
        <v>0</v>
      </c>
      <c r="X86">
        <v>-840546339</v>
      </c>
      <c r="Y86">
        <v>0.45599999999999996</v>
      </c>
      <c r="AA86">
        <v>0</v>
      </c>
      <c r="AB86">
        <v>25.67</v>
      </c>
      <c r="AC86">
        <v>0.82</v>
      </c>
      <c r="AD86">
        <v>0</v>
      </c>
      <c r="AE86">
        <v>0</v>
      </c>
      <c r="AF86">
        <v>2.58</v>
      </c>
      <c r="AG86">
        <v>0.04</v>
      </c>
      <c r="AH86">
        <v>0</v>
      </c>
      <c r="AI86">
        <v>1</v>
      </c>
      <c r="AJ86">
        <v>9.9499999999999993</v>
      </c>
      <c r="AK86">
        <v>20.399999999999999</v>
      </c>
      <c r="AL86">
        <v>1</v>
      </c>
      <c r="AN86">
        <v>0</v>
      </c>
      <c r="AO86">
        <v>1</v>
      </c>
      <c r="AP86">
        <v>1</v>
      </c>
      <c r="AQ86">
        <v>0</v>
      </c>
      <c r="AR86">
        <v>0</v>
      </c>
      <c r="AS86" t="s">
        <v>3</v>
      </c>
      <c r="AT86">
        <v>0.76</v>
      </c>
      <c r="AU86" t="s">
        <v>178</v>
      </c>
      <c r="AV86">
        <v>0</v>
      </c>
      <c r="AW86">
        <v>2</v>
      </c>
      <c r="AX86">
        <v>45038527</v>
      </c>
      <c r="AY86">
        <v>1</v>
      </c>
      <c r="AZ86">
        <v>0</v>
      </c>
      <c r="BA86">
        <v>86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CX86">
        <f>Y86*Source!I101</f>
        <v>4.5600000000000002E-2</v>
      </c>
      <c r="CY86">
        <f>AB86</f>
        <v>25.67</v>
      </c>
      <c r="CZ86">
        <f>AF86</f>
        <v>2.58</v>
      </c>
      <c r="DA86">
        <f>AJ86</f>
        <v>9.9499999999999993</v>
      </c>
      <c r="DB86">
        <v>0</v>
      </c>
    </row>
    <row r="87" spans="1:106" x14ac:dyDescent="0.2">
      <c r="A87">
        <f>ROW(Source!A101)</f>
        <v>101</v>
      </c>
      <c r="B87">
        <v>45037307</v>
      </c>
      <c r="C87">
        <v>45037617</v>
      </c>
      <c r="D87">
        <v>22653672</v>
      </c>
      <c r="E87">
        <v>22652947</v>
      </c>
      <c r="F87">
        <v>1</v>
      </c>
      <c r="G87">
        <v>22652947</v>
      </c>
      <c r="H87">
        <v>2</v>
      </c>
      <c r="I87" t="s">
        <v>630</v>
      </c>
      <c r="J87" t="s">
        <v>3</v>
      </c>
      <c r="K87" t="s">
        <v>631</v>
      </c>
      <c r="L87">
        <v>1344</v>
      </c>
      <c r="N87">
        <v>1008</v>
      </c>
      <c r="O87" t="s">
        <v>632</v>
      </c>
      <c r="P87" t="s">
        <v>632</v>
      </c>
      <c r="Q87">
        <v>1</v>
      </c>
      <c r="W87">
        <v>0</v>
      </c>
      <c r="X87">
        <v>-1180195794</v>
      </c>
      <c r="Y87">
        <v>139.35</v>
      </c>
      <c r="AA87">
        <v>0</v>
      </c>
      <c r="AB87">
        <v>1</v>
      </c>
      <c r="AC87">
        <v>0</v>
      </c>
      <c r="AD87">
        <v>0</v>
      </c>
      <c r="AE87">
        <v>0</v>
      </c>
      <c r="AF87">
        <v>1</v>
      </c>
      <c r="AG87">
        <v>0</v>
      </c>
      <c r="AH87">
        <v>0</v>
      </c>
      <c r="AI87">
        <v>1</v>
      </c>
      <c r="AJ87">
        <v>1</v>
      </c>
      <c r="AK87">
        <v>1</v>
      </c>
      <c r="AL87">
        <v>1</v>
      </c>
      <c r="AN87">
        <v>0</v>
      </c>
      <c r="AO87">
        <v>1</v>
      </c>
      <c r="AP87">
        <v>1</v>
      </c>
      <c r="AQ87">
        <v>0</v>
      </c>
      <c r="AR87">
        <v>0</v>
      </c>
      <c r="AS87" t="s">
        <v>3</v>
      </c>
      <c r="AT87">
        <v>232.25</v>
      </c>
      <c r="AU87" t="s">
        <v>178</v>
      </c>
      <c r="AV87">
        <v>0</v>
      </c>
      <c r="AW87">
        <v>2</v>
      </c>
      <c r="AX87">
        <v>45038528</v>
      </c>
      <c r="AY87">
        <v>1</v>
      </c>
      <c r="AZ87">
        <v>0</v>
      </c>
      <c r="BA87">
        <v>87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CX87">
        <f>Y87*Source!I101</f>
        <v>13.935</v>
      </c>
      <c r="CY87">
        <f>AB87</f>
        <v>1</v>
      </c>
      <c r="CZ87">
        <f>AF87</f>
        <v>1</v>
      </c>
      <c r="DA87">
        <f>AJ87</f>
        <v>1</v>
      </c>
      <c r="DB87">
        <v>0</v>
      </c>
    </row>
    <row r="88" spans="1:106" x14ac:dyDescent="0.2">
      <c r="A88">
        <f>ROW(Source!A101)</f>
        <v>101</v>
      </c>
      <c r="B88">
        <v>45037307</v>
      </c>
      <c r="C88">
        <v>45037617</v>
      </c>
      <c r="D88">
        <v>22702279</v>
      </c>
      <c r="E88">
        <v>1</v>
      </c>
      <c r="F88">
        <v>1</v>
      </c>
      <c r="G88">
        <v>22652947</v>
      </c>
      <c r="H88">
        <v>3</v>
      </c>
      <c r="I88" t="s">
        <v>666</v>
      </c>
      <c r="J88" t="s">
        <v>667</v>
      </c>
      <c r="K88" t="s">
        <v>668</v>
      </c>
      <c r="L88">
        <v>1348</v>
      </c>
      <c r="N88">
        <v>1009</v>
      </c>
      <c r="O88" t="s">
        <v>29</v>
      </c>
      <c r="P88" t="s">
        <v>29</v>
      </c>
      <c r="Q88">
        <v>1000</v>
      </c>
      <c r="W88">
        <v>0</v>
      </c>
      <c r="X88">
        <v>1310716689</v>
      </c>
      <c r="Y88">
        <v>4.1999999999999996E-4</v>
      </c>
      <c r="AA88">
        <v>86373.64</v>
      </c>
      <c r="AB88">
        <v>0</v>
      </c>
      <c r="AC88">
        <v>0</v>
      </c>
      <c r="AD88">
        <v>0</v>
      </c>
      <c r="AE88">
        <v>7191.81</v>
      </c>
      <c r="AF88">
        <v>0</v>
      </c>
      <c r="AG88">
        <v>0</v>
      </c>
      <c r="AH88">
        <v>0</v>
      </c>
      <c r="AI88">
        <v>12.01</v>
      </c>
      <c r="AJ88">
        <v>1</v>
      </c>
      <c r="AK88">
        <v>1</v>
      </c>
      <c r="AL88">
        <v>1</v>
      </c>
      <c r="AN88">
        <v>0</v>
      </c>
      <c r="AO88">
        <v>1</v>
      </c>
      <c r="AP88">
        <v>1</v>
      </c>
      <c r="AQ88">
        <v>0</v>
      </c>
      <c r="AR88">
        <v>0</v>
      </c>
      <c r="AS88" t="s">
        <v>3</v>
      </c>
      <c r="AT88">
        <v>6.9999999999999999E-4</v>
      </c>
      <c r="AU88" t="s">
        <v>178</v>
      </c>
      <c r="AV88">
        <v>0</v>
      </c>
      <c r="AW88">
        <v>2</v>
      </c>
      <c r="AX88">
        <v>45038529</v>
      </c>
      <c r="AY88">
        <v>1</v>
      </c>
      <c r="AZ88">
        <v>0</v>
      </c>
      <c r="BA88">
        <v>88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CX88">
        <f>Y88*Source!I101</f>
        <v>4.1999999999999998E-5</v>
      </c>
      <c r="CY88">
        <f>AA88</f>
        <v>86373.64</v>
      </c>
      <c r="CZ88">
        <f>AE88</f>
        <v>7191.81</v>
      </c>
      <c r="DA88">
        <f>AI88</f>
        <v>12.01</v>
      </c>
      <c r="DB88">
        <v>0</v>
      </c>
    </row>
    <row r="89" spans="1:106" x14ac:dyDescent="0.2">
      <c r="A89">
        <f>ROW(Source!A101)</f>
        <v>101</v>
      </c>
      <c r="B89">
        <v>45037307</v>
      </c>
      <c r="C89">
        <v>45037617</v>
      </c>
      <c r="D89">
        <v>22674637</v>
      </c>
      <c r="E89">
        <v>22652947</v>
      </c>
      <c r="F89">
        <v>1</v>
      </c>
      <c r="G89">
        <v>22652947</v>
      </c>
      <c r="H89">
        <v>3</v>
      </c>
      <c r="I89" t="s">
        <v>27</v>
      </c>
      <c r="J89" t="s">
        <v>3</v>
      </c>
      <c r="K89" t="s">
        <v>50</v>
      </c>
      <c r="L89">
        <v>1348</v>
      </c>
      <c r="N89">
        <v>1009</v>
      </c>
      <c r="O89" t="s">
        <v>29</v>
      </c>
      <c r="P89" t="s">
        <v>29</v>
      </c>
      <c r="Q89">
        <v>1000</v>
      </c>
      <c r="W89">
        <v>0</v>
      </c>
      <c r="X89">
        <v>1489638031</v>
      </c>
      <c r="Y89">
        <v>1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1</v>
      </c>
      <c r="AJ89">
        <v>1</v>
      </c>
      <c r="AK89">
        <v>1</v>
      </c>
      <c r="AL89">
        <v>1</v>
      </c>
      <c r="AN89">
        <v>0</v>
      </c>
      <c r="AO89">
        <v>0</v>
      </c>
      <c r="AP89">
        <v>1</v>
      </c>
      <c r="AQ89">
        <v>0</v>
      </c>
      <c r="AR89">
        <v>0</v>
      </c>
      <c r="AS89" t="s">
        <v>3</v>
      </c>
      <c r="AT89">
        <v>1</v>
      </c>
      <c r="AU89" t="s">
        <v>3</v>
      </c>
      <c r="AV89">
        <v>0</v>
      </c>
      <c r="AW89">
        <v>1</v>
      </c>
      <c r="AX89">
        <v>-1</v>
      </c>
      <c r="AY89">
        <v>0</v>
      </c>
      <c r="AZ89">
        <v>0</v>
      </c>
      <c r="BA89" t="s">
        <v>3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CX89">
        <f>Y89*Source!I101</f>
        <v>0.1</v>
      </c>
      <c r="CY89">
        <f>AA89</f>
        <v>0</v>
      </c>
      <c r="CZ89">
        <f>AE89</f>
        <v>0</v>
      </c>
      <c r="DA89">
        <f>AI89</f>
        <v>1</v>
      </c>
      <c r="DB89">
        <v>0</v>
      </c>
    </row>
    <row r="90" spans="1:106" x14ac:dyDescent="0.2">
      <c r="A90">
        <f>ROW(Source!A101)</f>
        <v>101</v>
      </c>
      <c r="B90">
        <v>45037307</v>
      </c>
      <c r="C90">
        <v>45037617</v>
      </c>
      <c r="D90">
        <v>22674651</v>
      </c>
      <c r="E90">
        <v>22652947</v>
      </c>
      <c r="F90">
        <v>1</v>
      </c>
      <c r="G90">
        <v>22652947</v>
      </c>
      <c r="H90">
        <v>3</v>
      </c>
      <c r="I90" t="s">
        <v>675</v>
      </c>
      <c r="J90" t="s">
        <v>3</v>
      </c>
      <c r="K90" t="s">
        <v>676</v>
      </c>
      <c r="L90">
        <v>1344</v>
      </c>
      <c r="N90">
        <v>1008</v>
      </c>
      <c r="O90" t="s">
        <v>632</v>
      </c>
      <c r="P90" t="s">
        <v>632</v>
      </c>
      <c r="Q90">
        <v>1</v>
      </c>
      <c r="W90">
        <v>0</v>
      </c>
      <c r="X90">
        <v>-94250534</v>
      </c>
      <c r="Y90">
        <v>23.687999999999999</v>
      </c>
      <c r="AA90">
        <v>1</v>
      </c>
      <c r="AB90">
        <v>0</v>
      </c>
      <c r="AC90">
        <v>0</v>
      </c>
      <c r="AD90">
        <v>0</v>
      </c>
      <c r="AE90">
        <v>1</v>
      </c>
      <c r="AF90">
        <v>0</v>
      </c>
      <c r="AG90">
        <v>0</v>
      </c>
      <c r="AH90">
        <v>0</v>
      </c>
      <c r="AI90">
        <v>1</v>
      </c>
      <c r="AJ90">
        <v>1</v>
      </c>
      <c r="AK90">
        <v>1</v>
      </c>
      <c r="AL90">
        <v>1</v>
      </c>
      <c r="AN90">
        <v>0</v>
      </c>
      <c r="AO90">
        <v>1</v>
      </c>
      <c r="AP90">
        <v>1</v>
      </c>
      <c r="AQ90">
        <v>0</v>
      </c>
      <c r="AR90">
        <v>0</v>
      </c>
      <c r="AS90" t="s">
        <v>3</v>
      </c>
      <c r="AT90">
        <v>39.479999999999997</v>
      </c>
      <c r="AU90" t="s">
        <v>178</v>
      </c>
      <c r="AV90">
        <v>0</v>
      </c>
      <c r="AW90">
        <v>2</v>
      </c>
      <c r="AX90">
        <v>45038531</v>
      </c>
      <c r="AY90">
        <v>1</v>
      </c>
      <c r="AZ90">
        <v>0</v>
      </c>
      <c r="BA90">
        <v>90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CX90">
        <f>Y90*Source!I101</f>
        <v>2.3687999999999998</v>
      </c>
      <c r="CY90">
        <f>AA90</f>
        <v>1</v>
      </c>
      <c r="CZ90">
        <f>AE90</f>
        <v>1</v>
      </c>
      <c r="DA90">
        <f>AI90</f>
        <v>1</v>
      </c>
      <c r="DB90">
        <v>0</v>
      </c>
    </row>
    <row r="91" spans="1:106" x14ac:dyDescent="0.2">
      <c r="A91">
        <f>ROW(Source!A104)</f>
        <v>104</v>
      </c>
      <c r="B91">
        <v>45037306</v>
      </c>
      <c r="C91">
        <v>45037633</v>
      </c>
      <c r="D91">
        <v>22652952</v>
      </c>
      <c r="E91">
        <v>22652947</v>
      </c>
      <c r="F91">
        <v>1</v>
      </c>
      <c r="G91">
        <v>22652947</v>
      </c>
      <c r="H91">
        <v>1</v>
      </c>
      <c r="I91" t="s">
        <v>617</v>
      </c>
      <c r="J91" t="s">
        <v>3</v>
      </c>
      <c r="K91" t="s">
        <v>618</v>
      </c>
      <c r="L91">
        <v>1191</v>
      </c>
      <c r="N91">
        <v>1013</v>
      </c>
      <c r="O91" t="s">
        <v>619</v>
      </c>
      <c r="P91" t="s">
        <v>619</v>
      </c>
      <c r="Q91">
        <v>1</v>
      </c>
      <c r="W91">
        <v>0</v>
      </c>
      <c r="X91">
        <v>476480486</v>
      </c>
      <c r="Y91">
        <v>91.15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1</v>
      </c>
      <c r="AJ91">
        <v>1</v>
      </c>
      <c r="AK91">
        <v>1</v>
      </c>
      <c r="AL91">
        <v>1</v>
      </c>
      <c r="AN91">
        <v>0</v>
      </c>
      <c r="AO91">
        <v>1</v>
      </c>
      <c r="AP91">
        <v>0</v>
      </c>
      <c r="AQ91">
        <v>0</v>
      </c>
      <c r="AR91">
        <v>0</v>
      </c>
      <c r="AS91" t="s">
        <v>3</v>
      </c>
      <c r="AT91">
        <v>91.15</v>
      </c>
      <c r="AU91" t="s">
        <v>3</v>
      </c>
      <c r="AV91">
        <v>1</v>
      </c>
      <c r="AW91">
        <v>2</v>
      </c>
      <c r="AX91">
        <v>45038532</v>
      </c>
      <c r="AY91">
        <v>1</v>
      </c>
      <c r="AZ91">
        <v>0</v>
      </c>
      <c r="BA91">
        <v>91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CX91">
        <f>Y91*Source!I104</f>
        <v>2.04176</v>
      </c>
      <c r="CY91">
        <f>AD91</f>
        <v>0</v>
      </c>
      <c r="CZ91">
        <f>AH91</f>
        <v>0</v>
      </c>
      <c r="DA91">
        <f>AL91</f>
        <v>1</v>
      </c>
      <c r="DB91">
        <v>0</v>
      </c>
    </row>
    <row r="92" spans="1:106" x14ac:dyDescent="0.2">
      <c r="A92">
        <f>ROW(Source!A104)</f>
        <v>104</v>
      </c>
      <c r="B92">
        <v>45037306</v>
      </c>
      <c r="C92">
        <v>45037633</v>
      </c>
      <c r="D92">
        <v>22674637</v>
      </c>
      <c r="E92">
        <v>22652947</v>
      </c>
      <c r="F92">
        <v>1</v>
      </c>
      <c r="G92">
        <v>22652947</v>
      </c>
      <c r="H92">
        <v>3</v>
      </c>
      <c r="I92" t="s">
        <v>27</v>
      </c>
      <c r="J92" t="s">
        <v>3</v>
      </c>
      <c r="K92" t="s">
        <v>50</v>
      </c>
      <c r="L92">
        <v>1348</v>
      </c>
      <c r="N92">
        <v>1009</v>
      </c>
      <c r="O92" t="s">
        <v>29</v>
      </c>
      <c r="P92" t="s">
        <v>29</v>
      </c>
      <c r="Q92">
        <v>1000</v>
      </c>
      <c r="W92">
        <v>0</v>
      </c>
      <c r="X92">
        <v>1489638031</v>
      </c>
      <c r="Y92">
        <v>1.339286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1</v>
      </c>
      <c r="AJ92">
        <v>1</v>
      </c>
      <c r="AK92">
        <v>1</v>
      </c>
      <c r="AL92">
        <v>1</v>
      </c>
      <c r="AN92">
        <v>0</v>
      </c>
      <c r="AO92">
        <v>0</v>
      </c>
      <c r="AP92">
        <v>0</v>
      </c>
      <c r="AQ92">
        <v>0</v>
      </c>
      <c r="AR92">
        <v>0</v>
      </c>
      <c r="AS92" t="s">
        <v>3</v>
      </c>
      <c r="AT92">
        <v>1.339286</v>
      </c>
      <c r="AU92" t="s">
        <v>3</v>
      </c>
      <c r="AV92">
        <v>0</v>
      </c>
      <c r="AW92">
        <v>1</v>
      </c>
      <c r="AX92">
        <v>-1</v>
      </c>
      <c r="AY92">
        <v>0</v>
      </c>
      <c r="AZ92">
        <v>0</v>
      </c>
      <c r="BA92" t="s">
        <v>3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CX92">
        <f>Y92*Source!I104</f>
        <v>3.0000006399999998E-2</v>
      </c>
      <c r="CY92">
        <f>AA92</f>
        <v>0</v>
      </c>
      <c r="CZ92">
        <f>AE92</f>
        <v>0</v>
      </c>
      <c r="DA92">
        <f>AI92</f>
        <v>1</v>
      </c>
      <c r="DB92">
        <v>0</v>
      </c>
    </row>
    <row r="93" spans="1:106" x14ac:dyDescent="0.2">
      <c r="A93">
        <f>ROW(Source!A105)</f>
        <v>105</v>
      </c>
      <c r="B93">
        <v>45037307</v>
      </c>
      <c r="C93">
        <v>45037633</v>
      </c>
      <c r="D93">
        <v>22652952</v>
      </c>
      <c r="E93">
        <v>22652947</v>
      </c>
      <c r="F93">
        <v>1</v>
      </c>
      <c r="G93">
        <v>22652947</v>
      </c>
      <c r="H93">
        <v>1</v>
      </c>
      <c r="I93" t="s">
        <v>617</v>
      </c>
      <c r="J93" t="s">
        <v>3</v>
      </c>
      <c r="K93" t="s">
        <v>618</v>
      </c>
      <c r="L93">
        <v>1191</v>
      </c>
      <c r="N93">
        <v>1013</v>
      </c>
      <c r="O93" t="s">
        <v>619</v>
      </c>
      <c r="P93" t="s">
        <v>619</v>
      </c>
      <c r="Q93">
        <v>1</v>
      </c>
      <c r="W93">
        <v>0</v>
      </c>
      <c r="X93">
        <v>476480486</v>
      </c>
      <c r="Y93">
        <v>91.15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1</v>
      </c>
      <c r="AJ93">
        <v>1</v>
      </c>
      <c r="AK93">
        <v>1</v>
      </c>
      <c r="AL93">
        <v>1</v>
      </c>
      <c r="AN93">
        <v>0</v>
      </c>
      <c r="AO93">
        <v>1</v>
      </c>
      <c r="AP93">
        <v>0</v>
      </c>
      <c r="AQ93">
        <v>0</v>
      </c>
      <c r="AR93">
        <v>0</v>
      </c>
      <c r="AS93" t="s">
        <v>3</v>
      </c>
      <c r="AT93">
        <v>91.15</v>
      </c>
      <c r="AU93" t="s">
        <v>3</v>
      </c>
      <c r="AV93">
        <v>1</v>
      </c>
      <c r="AW93">
        <v>2</v>
      </c>
      <c r="AX93">
        <v>45038532</v>
      </c>
      <c r="AY93">
        <v>1</v>
      </c>
      <c r="AZ93">
        <v>0</v>
      </c>
      <c r="BA93">
        <v>92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CX93">
        <f>Y93*Source!I105</f>
        <v>2.04176</v>
      </c>
      <c r="CY93">
        <f>AD93</f>
        <v>0</v>
      </c>
      <c r="CZ93">
        <f>AH93</f>
        <v>0</v>
      </c>
      <c r="DA93">
        <f>AL93</f>
        <v>1</v>
      </c>
      <c r="DB93">
        <v>0</v>
      </c>
    </row>
    <row r="94" spans="1:106" x14ac:dyDescent="0.2">
      <c r="A94">
        <f>ROW(Source!A105)</f>
        <v>105</v>
      </c>
      <c r="B94">
        <v>45037307</v>
      </c>
      <c r="C94">
        <v>45037633</v>
      </c>
      <c r="D94">
        <v>22674637</v>
      </c>
      <c r="E94">
        <v>22652947</v>
      </c>
      <c r="F94">
        <v>1</v>
      </c>
      <c r="G94">
        <v>22652947</v>
      </c>
      <c r="H94">
        <v>3</v>
      </c>
      <c r="I94" t="s">
        <v>27</v>
      </c>
      <c r="J94" t="s">
        <v>3</v>
      </c>
      <c r="K94" t="s">
        <v>50</v>
      </c>
      <c r="L94">
        <v>1348</v>
      </c>
      <c r="N94">
        <v>1009</v>
      </c>
      <c r="O94" t="s">
        <v>29</v>
      </c>
      <c r="P94" t="s">
        <v>29</v>
      </c>
      <c r="Q94">
        <v>1000</v>
      </c>
      <c r="W94">
        <v>0</v>
      </c>
      <c r="X94">
        <v>1489638031</v>
      </c>
      <c r="Y94">
        <v>1.339286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1</v>
      </c>
      <c r="AJ94">
        <v>1</v>
      </c>
      <c r="AK94">
        <v>1</v>
      </c>
      <c r="AL94">
        <v>1</v>
      </c>
      <c r="AN94">
        <v>0</v>
      </c>
      <c r="AO94">
        <v>0</v>
      </c>
      <c r="AP94">
        <v>0</v>
      </c>
      <c r="AQ94">
        <v>0</v>
      </c>
      <c r="AR94">
        <v>0</v>
      </c>
      <c r="AS94" t="s">
        <v>3</v>
      </c>
      <c r="AT94">
        <v>1.339286</v>
      </c>
      <c r="AU94" t="s">
        <v>3</v>
      </c>
      <c r="AV94">
        <v>0</v>
      </c>
      <c r="AW94">
        <v>1</v>
      </c>
      <c r="AX94">
        <v>-1</v>
      </c>
      <c r="AY94">
        <v>0</v>
      </c>
      <c r="AZ94">
        <v>0</v>
      </c>
      <c r="BA94" t="s">
        <v>3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CX94">
        <f>Y94*Source!I105</f>
        <v>3.0000006399999998E-2</v>
      </c>
      <c r="CY94">
        <f>AA94</f>
        <v>0</v>
      </c>
      <c r="CZ94">
        <f>AE94</f>
        <v>0</v>
      </c>
      <c r="DA94">
        <f>AI94</f>
        <v>1</v>
      </c>
      <c r="DB94">
        <v>0</v>
      </c>
    </row>
    <row r="95" spans="1:106" x14ac:dyDescent="0.2">
      <c r="A95">
        <f>ROW(Source!A108)</f>
        <v>108</v>
      </c>
      <c r="B95">
        <v>45037306</v>
      </c>
      <c r="C95">
        <v>45037638</v>
      </c>
      <c r="D95">
        <v>22652952</v>
      </c>
      <c r="E95">
        <v>22652947</v>
      </c>
      <c r="F95">
        <v>1</v>
      </c>
      <c r="G95">
        <v>22652947</v>
      </c>
      <c r="H95">
        <v>1</v>
      </c>
      <c r="I95" t="s">
        <v>617</v>
      </c>
      <c r="J95" t="s">
        <v>3</v>
      </c>
      <c r="K95" t="s">
        <v>618</v>
      </c>
      <c r="L95">
        <v>1191</v>
      </c>
      <c r="N95">
        <v>1013</v>
      </c>
      <c r="O95" t="s">
        <v>619</v>
      </c>
      <c r="P95" t="s">
        <v>619</v>
      </c>
      <c r="Q95">
        <v>1</v>
      </c>
      <c r="W95">
        <v>0</v>
      </c>
      <c r="X95">
        <v>476480486</v>
      </c>
      <c r="Y95">
        <v>13.32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1</v>
      </c>
      <c r="AJ95">
        <v>1</v>
      </c>
      <c r="AK95">
        <v>1</v>
      </c>
      <c r="AL95">
        <v>1</v>
      </c>
      <c r="AN95">
        <v>0</v>
      </c>
      <c r="AO95">
        <v>1</v>
      </c>
      <c r="AP95">
        <v>0</v>
      </c>
      <c r="AQ95">
        <v>0</v>
      </c>
      <c r="AR95">
        <v>0</v>
      </c>
      <c r="AS95" t="s">
        <v>3</v>
      </c>
      <c r="AT95">
        <v>13.32</v>
      </c>
      <c r="AU95" t="s">
        <v>3</v>
      </c>
      <c r="AV95">
        <v>1</v>
      </c>
      <c r="AW95">
        <v>2</v>
      </c>
      <c r="AX95">
        <v>45038533</v>
      </c>
      <c r="AY95">
        <v>1</v>
      </c>
      <c r="AZ95">
        <v>0</v>
      </c>
      <c r="BA95">
        <v>93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CX95">
        <f>Y95*Source!I108</f>
        <v>1.1988000000000001</v>
      </c>
      <c r="CY95">
        <f>AD95</f>
        <v>0</v>
      </c>
      <c r="CZ95">
        <f>AH95</f>
        <v>0</v>
      </c>
      <c r="DA95">
        <f>AL95</f>
        <v>1</v>
      </c>
      <c r="DB95">
        <v>0</v>
      </c>
    </row>
    <row r="96" spans="1:106" x14ac:dyDescent="0.2">
      <c r="A96">
        <f>ROW(Source!A108)</f>
        <v>108</v>
      </c>
      <c r="B96">
        <v>45037306</v>
      </c>
      <c r="C96">
        <v>45037638</v>
      </c>
      <c r="D96">
        <v>22653672</v>
      </c>
      <c r="E96">
        <v>22652947</v>
      </c>
      <c r="F96">
        <v>1</v>
      </c>
      <c r="G96">
        <v>22652947</v>
      </c>
      <c r="H96">
        <v>2</v>
      </c>
      <c r="I96" t="s">
        <v>630</v>
      </c>
      <c r="J96" t="s">
        <v>3</v>
      </c>
      <c r="K96" t="s">
        <v>631</v>
      </c>
      <c r="L96">
        <v>1344</v>
      </c>
      <c r="N96">
        <v>1008</v>
      </c>
      <c r="O96" t="s">
        <v>632</v>
      </c>
      <c r="P96" t="s">
        <v>632</v>
      </c>
      <c r="Q96">
        <v>1</v>
      </c>
      <c r="W96">
        <v>0</v>
      </c>
      <c r="X96">
        <v>-1180195794</v>
      </c>
      <c r="Y96">
        <v>323.45</v>
      </c>
      <c r="AA96">
        <v>0</v>
      </c>
      <c r="AB96">
        <v>1</v>
      </c>
      <c r="AC96">
        <v>0</v>
      </c>
      <c r="AD96">
        <v>0</v>
      </c>
      <c r="AE96">
        <v>0</v>
      </c>
      <c r="AF96">
        <v>1</v>
      </c>
      <c r="AG96">
        <v>0</v>
      </c>
      <c r="AH96">
        <v>0</v>
      </c>
      <c r="AI96">
        <v>1</v>
      </c>
      <c r="AJ96">
        <v>1</v>
      </c>
      <c r="AK96">
        <v>1</v>
      </c>
      <c r="AL96">
        <v>1</v>
      </c>
      <c r="AN96">
        <v>0</v>
      </c>
      <c r="AO96">
        <v>1</v>
      </c>
      <c r="AP96">
        <v>0</v>
      </c>
      <c r="AQ96">
        <v>0</v>
      </c>
      <c r="AR96">
        <v>0</v>
      </c>
      <c r="AS96" t="s">
        <v>3</v>
      </c>
      <c r="AT96">
        <v>323.45</v>
      </c>
      <c r="AU96" t="s">
        <v>3</v>
      </c>
      <c r="AV96">
        <v>0</v>
      </c>
      <c r="AW96">
        <v>2</v>
      </c>
      <c r="AX96">
        <v>45038534</v>
      </c>
      <c r="AY96">
        <v>1</v>
      </c>
      <c r="AZ96">
        <v>0</v>
      </c>
      <c r="BA96">
        <v>94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CX96">
        <f>Y96*Source!I108</f>
        <v>29.110499999999998</v>
      </c>
      <c r="CY96">
        <f>AB96</f>
        <v>1</v>
      </c>
      <c r="CZ96">
        <f>AF96</f>
        <v>1</v>
      </c>
      <c r="DA96">
        <f>AJ96</f>
        <v>1</v>
      </c>
      <c r="DB96">
        <v>0</v>
      </c>
    </row>
    <row r="97" spans="1:106" x14ac:dyDescent="0.2">
      <c r="A97">
        <f>ROW(Source!A108)</f>
        <v>108</v>
      </c>
      <c r="B97">
        <v>45037306</v>
      </c>
      <c r="C97">
        <v>45037638</v>
      </c>
      <c r="D97">
        <v>22674637</v>
      </c>
      <c r="E97">
        <v>22652947</v>
      </c>
      <c r="F97">
        <v>1</v>
      </c>
      <c r="G97">
        <v>22652947</v>
      </c>
      <c r="H97">
        <v>3</v>
      </c>
      <c r="I97" t="s">
        <v>27</v>
      </c>
      <c r="J97" t="s">
        <v>3</v>
      </c>
      <c r="K97" t="s">
        <v>50</v>
      </c>
      <c r="L97">
        <v>1348</v>
      </c>
      <c r="N97">
        <v>1009</v>
      </c>
      <c r="O97" t="s">
        <v>29</v>
      </c>
      <c r="P97" t="s">
        <v>29</v>
      </c>
      <c r="Q97">
        <v>1000</v>
      </c>
      <c r="W97">
        <v>1</v>
      </c>
      <c r="X97">
        <v>1489638031</v>
      </c>
      <c r="Y97">
        <v>-2.5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1</v>
      </c>
      <c r="AJ97">
        <v>1</v>
      </c>
      <c r="AK97">
        <v>1</v>
      </c>
      <c r="AL97">
        <v>1</v>
      </c>
      <c r="AN97">
        <v>0</v>
      </c>
      <c r="AO97">
        <v>1</v>
      </c>
      <c r="AP97">
        <v>0</v>
      </c>
      <c r="AQ97">
        <v>0</v>
      </c>
      <c r="AR97">
        <v>0</v>
      </c>
      <c r="AS97" t="s">
        <v>3</v>
      </c>
      <c r="AT97">
        <v>-2.5</v>
      </c>
      <c r="AU97" t="s">
        <v>3</v>
      </c>
      <c r="AV97">
        <v>0</v>
      </c>
      <c r="AW97">
        <v>2</v>
      </c>
      <c r="AX97">
        <v>45038535</v>
      </c>
      <c r="AY97">
        <v>1</v>
      </c>
      <c r="AZ97">
        <v>6144</v>
      </c>
      <c r="BA97">
        <v>95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CX97">
        <f>Y97*Source!I108</f>
        <v>-0.22499999999999998</v>
      </c>
      <c r="CY97">
        <f>AA97</f>
        <v>0</v>
      </c>
      <c r="CZ97">
        <f>AE97</f>
        <v>0</v>
      </c>
      <c r="DA97">
        <f>AI97</f>
        <v>1</v>
      </c>
      <c r="DB97">
        <v>0</v>
      </c>
    </row>
    <row r="98" spans="1:106" x14ac:dyDescent="0.2">
      <c r="A98">
        <f>ROW(Source!A109)</f>
        <v>109</v>
      </c>
      <c r="B98">
        <v>45037307</v>
      </c>
      <c r="C98">
        <v>45037638</v>
      </c>
      <c r="D98">
        <v>22652952</v>
      </c>
      <c r="E98">
        <v>22652947</v>
      </c>
      <c r="F98">
        <v>1</v>
      </c>
      <c r="G98">
        <v>22652947</v>
      </c>
      <c r="H98">
        <v>1</v>
      </c>
      <c r="I98" t="s">
        <v>617</v>
      </c>
      <c r="J98" t="s">
        <v>3</v>
      </c>
      <c r="K98" t="s">
        <v>618</v>
      </c>
      <c r="L98">
        <v>1191</v>
      </c>
      <c r="N98">
        <v>1013</v>
      </c>
      <c r="O98" t="s">
        <v>619</v>
      </c>
      <c r="P98" t="s">
        <v>619</v>
      </c>
      <c r="Q98">
        <v>1</v>
      </c>
      <c r="W98">
        <v>0</v>
      </c>
      <c r="X98">
        <v>476480486</v>
      </c>
      <c r="Y98">
        <v>13.32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1</v>
      </c>
      <c r="AJ98">
        <v>1</v>
      </c>
      <c r="AK98">
        <v>1</v>
      </c>
      <c r="AL98">
        <v>1</v>
      </c>
      <c r="AN98">
        <v>0</v>
      </c>
      <c r="AO98">
        <v>1</v>
      </c>
      <c r="AP98">
        <v>0</v>
      </c>
      <c r="AQ98">
        <v>0</v>
      </c>
      <c r="AR98">
        <v>0</v>
      </c>
      <c r="AS98" t="s">
        <v>3</v>
      </c>
      <c r="AT98">
        <v>13.32</v>
      </c>
      <c r="AU98" t="s">
        <v>3</v>
      </c>
      <c r="AV98">
        <v>1</v>
      </c>
      <c r="AW98">
        <v>2</v>
      </c>
      <c r="AX98">
        <v>45038533</v>
      </c>
      <c r="AY98">
        <v>1</v>
      </c>
      <c r="AZ98">
        <v>0</v>
      </c>
      <c r="BA98">
        <v>96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CX98">
        <f>Y98*Source!I109</f>
        <v>1.1988000000000001</v>
      </c>
      <c r="CY98">
        <f>AD98</f>
        <v>0</v>
      </c>
      <c r="CZ98">
        <f>AH98</f>
        <v>0</v>
      </c>
      <c r="DA98">
        <f>AL98</f>
        <v>1</v>
      </c>
      <c r="DB98">
        <v>0</v>
      </c>
    </row>
    <row r="99" spans="1:106" x14ac:dyDescent="0.2">
      <c r="A99">
        <f>ROW(Source!A109)</f>
        <v>109</v>
      </c>
      <c r="B99">
        <v>45037307</v>
      </c>
      <c r="C99">
        <v>45037638</v>
      </c>
      <c r="D99">
        <v>22653672</v>
      </c>
      <c r="E99">
        <v>22652947</v>
      </c>
      <c r="F99">
        <v>1</v>
      </c>
      <c r="G99">
        <v>22652947</v>
      </c>
      <c r="H99">
        <v>2</v>
      </c>
      <c r="I99" t="s">
        <v>630</v>
      </c>
      <c r="J99" t="s">
        <v>3</v>
      </c>
      <c r="K99" t="s">
        <v>631</v>
      </c>
      <c r="L99">
        <v>1344</v>
      </c>
      <c r="N99">
        <v>1008</v>
      </c>
      <c r="O99" t="s">
        <v>632</v>
      </c>
      <c r="P99" t="s">
        <v>632</v>
      </c>
      <c r="Q99">
        <v>1</v>
      </c>
      <c r="W99">
        <v>0</v>
      </c>
      <c r="X99">
        <v>-1180195794</v>
      </c>
      <c r="Y99">
        <v>323.45</v>
      </c>
      <c r="AA99">
        <v>0</v>
      </c>
      <c r="AB99">
        <v>1</v>
      </c>
      <c r="AC99">
        <v>0</v>
      </c>
      <c r="AD99">
        <v>0</v>
      </c>
      <c r="AE99">
        <v>0</v>
      </c>
      <c r="AF99">
        <v>1</v>
      </c>
      <c r="AG99">
        <v>0</v>
      </c>
      <c r="AH99">
        <v>0</v>
      </c>
      <c r="AI99">
        <v>1</v>
      </c>
      <c r="AJ99">
        <v>1</v>
      </c>
      <c r="AK99">
        <v>1</v>
      </c>
      <c r="AL99">
        <v>1</v>
      </c>
      <c r="AN99">
        <v>0</v>
      </c>
      <c r="AO99">
        <v>1</v>
      </c>
      <c r="AP99">
        <v>0</v>
      </c>
      <c r="AQ99">
        <v>0</v>
      </c>
      <c r="AR99">
        <v>0</v>
      </c>
      <c r="AS99" t="s">
        <v>3</v>
      </c>
      <c r="AT99">
        <v>323.45</v>
      </c>
      <c r="AU99" t="s">
        <v>3</v>
      </c>
      <c r="AV99">
        <v>0</v>
      </c>
      <c r="AW99">
        <v>2</v>
      </c>
      <c r="AX99">
        <v>45038534</v>
      </c>
      <c r="AY99">
        <v>1</v>
      </c>
      <c r="AZ99">
        <v>0</v>
      </c>
      <c r="BA99">
        <v>97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CX99">
        <f>Y99*Source!I109</f>
        <v>29.110499999999998</v>
      </c>
      <c r="CY99">
        <f>AB99</f>
        <v>1</v>
      </c>
      <c r="CZ99">
        <f>AF99</f>
        <v>1</v>
      </c>
      <c r="DA99">
        <f>AJ99</f>
        <v>1</v>
      </c>
      <c r="DB99">
        <v>0</v>
      </c>
    </row>
    <row r="100" spans="1:106" x14ac:dyDescent="0.2">
      <c r="A100">
        <f>ROW(Source!A109)</f>
        <v>109</v>
      </c>
      <c r="B100">
        <v>45037307</v>
      </c>
      <c r="C100">
        <v>45037638</v>
      </c>
      <c r="D100">
        <v>22674637</v>
      </c>
      <c r="E100">
        <v>22652947</v>
      </c>
      <c r="F100">
        <v>1</v>
      </c>
      <c r="G100">
        <v>22652947</v>
      </c>
      <c r="H100">
        <v>3</v>
      </c>
      <c r="I100" t="s">
        <v>27</v>
      </c>
      <c r="J100" t="s">
        <v>3</v>
      </c>
      <c r="K100" t="s">
        <v>50</v>
      </c>
      <c r="L100">
        <v>1348</v>
      </c>
      <c r="N100">
        <v>1009</v>
      </c>
      <c r="O100" t="s">
        <v>29</v>
      </c>
      <c r="P100" t="s">
        <v>29</v>
      </c>
      <c r="Q100">
        <v>1000</v>
      </c>
      <c r="W100">
        <v>1</v>
      </c>
      <c r="X100">
        <v>1489638031</v>
      </c>
      <c r="Y100">
        <v>-2.5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1</v>
      </c>
      <c r="AJ100">
        <v>1</v>
      </c>
      <c r="AK100">
        <v>1</v>
      </c>
      <c r="AL100">
        <v>1</v>
      </c>
      <c r="AN100">
        <v>0</v>
      </c>
      <c r="AO100">
        <v>1</v>
      </c>
      <c r="AP100">
        <v>0</v>
      </c>
      <c r="AQ100">
        <v>0</v>
      </c>
      <c r="AR100">
        <v>0</v>
      </c>
      <c r="AS100" t="s">
        <v>3</v>
      </c>
      <c r="AT100">
        <v>-2.5</v>
      </c>
      <c r="AU100" t="s">
        <v>3</v>
      </c>
      <c r="AV100">
        <v>0</v>
      </c>
      <c r="AW100">
        <v>2</v>
      </c>
      <c r="AX100">
        <v>45038535</v>
      </c>
      <c r="AY100">
        <v>1</v>
      </c>
      <c r="AZ100">
        <v>6144</v>
      </c>
      <c r="BA100">
        <v>98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CX100">
        <f>Y100*Source!I109</f>
        <v>-0.22499999999999998</v>
      </c>
      <c r="CY100">
        <f>AA100</f>
        <v>0</v>
      </c>
      <c r="CZ100">
        <f>AE100</f>
        <v>0</v>
      </c>
      <c r="DA100">
        <f>AI100</f>
        <v>1</v>
      </c>
      <c r="DB100">
        <v>0</v>
      </c>
    </row>
    <row r="101" spans="1:106" x14ac:dyDescent="0.2">
      <c r="A101">
        <f>ROW(Source!A112)</f>
        <v>112</v>
      </c>
      <c r="B101">
        <v>45037306</v>
      </c>
      <c r="C101">
        <v>45037646</v>
      </c>
      <c r="D101">
        <v>22652952</v>
      </c>
      <c r="E101">
        <v>22652947</v>
      </c>
      <c r="F101">
        <v>1</v>
      </c>
      <c r="G101">
        <v>22652947</v>
      </c>
      <c r="H101">
        <v>1</v>
      </c>
      <c r="I101" t="s">
        <v>617</v>
      </c>
      <c r="J101" t="s">
        <v>3</v>
      </c>
      <c r="K101" t="s">
        <v>618</v>
      </c>
      <c r="L101">
        <v>1191</v>
      </c>
      <c r="N101">
        <v>1013</v>
      </c>
      <c r="O101" t="s">
        <v>619</v>
      </c>
      <c r="P101" t="s">
        <v>619</v>
      </c>
      <c r="Q101">
        <v>1</v>
      </c>
      <c r="W101">
        <v>0</v>
      </c>
      <c r="X101">
        <v>476480486</v>
      </c>
      <c r="Y101">
        <v>25.38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1</v>
      </c>
      <c r="AJ101">
        <v>1</v>
      </c>
      <c r="AK101">
        <v>1</v>
      </c>
      <c r="AL101">
        <v>1</v>
      </c>
      <c r="AN101">
        <v>0</v>
      </c>
      <c r="AO101">
        <v>1</v>
      </c>
      <c r="AP101">
        <v>1</v>
      </c>
      <c r="AQ101">
        <v>0</v>
      </c>
      <c r="AR101">
        <v>0</v>
      </c>
      <c r="AS101" t="s">
        <v>3</v>
      </c>
      <c r="AT101">
        <v>42.3</v>
      </c>
      <c r="AU101" t="s">
        <v>178</v>
      </c>
      <c r="AV101">
        <v>1</v>
      </c>
      <c r="AW101">
        <v>2</v>
      </c>
      <c r="AX101">
        <v>45038536</v>
      </c>
      <c r="AY101">
        <v>1</v>
      </c>
      <c r="AZ101">
        <v>0</v>
      </c>
      <c r="BA101">
        <v>99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CX101">
        <f>Y101*Source!I112</f>
        <v>0.76139999999999997</v>
      </c>
      <c r="CY101">
        <f>AD101</f>
        <v>0</v>
      </c>
      <c r="CZ101">
        <f>AH101</f>
        <v>0</v>
      </c>
      <c r="DA101">
        <f>AL101</f>
        <v>1</v>
      </c>
      <c r="DB101">
        <v>0</v>
      </c>
    </row>
    <row r="102" spans="1:106" x14ac:dyDescent="0.2">
      <c r="A102">
        <f>ROW(Source!A112)</f>
        <v>112</v>
      </c>
      <c r="B102">
        <v>45037306</v>
      </c>
      <c r="C102">
        <v>45037646</v>
      </c>
      <c r="D102">
        <v>22725860</v>
      </c>
      <c r="E102">
        <v>1</v>
      </c>
      <c r="F102">
        <v>1</v>
      </c>
      <c r="G102">
        <v>22652947</v>
      </c>
      <c r="H102">
        <v>2</v>
      </c>
      <c r="I102" t="s">
        <v>660</v>
      </c>
      <c r="J102" t="s">
        <v>661</v>
      </c>
      <c r="K102" t="s">
        <v>662</v>
      </c>
      <c r="L102">
        <v>1367</v>
      </c>
      <c r="N102">
        <v>1011</v>
      </c>
      <c r="O102" t="s">
        <v>623</v>
      </c>
      <c r="P102" t="s">
        <v>623</v>
      </c>
      <c r="Q102">
        <v>1</v>
      </c>
      <c r="W102">
        <v>0</v>
      </c>
      <c r="X102">
        <v>-628430174</v>
      </c>
      <c r="Y102">
        <v>0.98999999999999988</v>
      </c>
      <c r="AA102">
        <v>0</v>
      </c>
      <c r="AB102">
        <v>76.81</v>
      </c>
      <c r="AC102">
        <v>14.36</v>
      </c>
      <c r="AD102">
        <v>0</v>
      </c>
      <c r="AE102">
        <v>0</v>
      </c>
      <c r="AF102">
        <v>76.81</v>
      </c>
      <c r="AG102">
        <v>14.36</v>
      </c>
      <c r="AH102">
        <v>0</v>
      </c>
      <c r="AI102">
        <v>1</v>
      </c>
      <c r="AJ102">
        <v>1</v>
      </c>
      <c r="AK102">
        <v>1</v>
      </c>
      <c r="AL102">
        <v>1</v>
      </c>
      <c r="AN102">
        <v>0</v>
      </c>
      <c r="AO102">
        <v>1</v>
      </c>
      <c r="AP102">
        <v>1</v>
      </c>
      <c r="AQ102">
        <v>0</v>
      </c>
      <c r="AR102">
        <v>0</v>
      </c>
      <c r="AS102" t="s">
        <v>3</v>
      </c>
      <c r="AT102">
        <v>1.65</v>
      </c>
      <c r="AU102" t="s">
        <v>178</v>
      </c>
      <c r="AV102">
        <v>0</v>
      </c>
      <c r="AW102">
        <v>2</v>
      </c>
      <c r="AX102">
        <v>45038537</v>
      </c>
      <c r="AY102">
        <v>1</v>
      </c>
      <c r="AZ102">
        <v>0</v>
      </c>
      <c r="BA102">
        <v>100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CX102">
        <f>Y102*Source!I112</f>
        <v>2.9699999999999994E-2</v>
      </c>
      <c r="CY102">
        <f>AB102</f>
        <v>76.81</v>
      </c>
      <c r="CZ102">
        <f>AF102</f>
        <v>76.81</v>
      </c>
      <c r="DA102">
        <f>AJ102</f>
        <v>1</v>
      </c>
      <c r="DB102">
        <v>0</v>
      </c>
    </row>
    <row r="103" spans="1:106" x14ac:dyDescent="0.2">
      <c r="A103">
        <f>ROW(Source!A112)</f>
        <v>112</v>
      </c>
      <c r="B103">
        <v>45037306</v>
      </c>
      <c r="C103">
        <v>45037646</v>
      </c>
      <c r="D103">
        <v>22701311</v>
      </c>
      <c r="E103">
        <v>1</v>
      </c>
      <c r="F103">
        <v>1</v>
      </c>
      <c r="G103">
        <v>22652947</v>
      </c>
      <c r="H103">
        <v>3</v>
      </c>
      <c r="I103" t="s">
        <v>677</v>
      </c>
      <c r="J103" t="s">
        <v>678</v>
      </c>
      <c r="K103" t="s">
        <v>679</v>
      </c>
      <c r="L103">
        <v>1348</v>
      </c>
      <c r="N103">
        <v>1009</v>
      </c>
      <c r="O103" t="s">
        <v>29</v>
      </c>
      <c r="P103" t="s">
        <v>29</v>
      </c>
      <c r="Q103">
        <v>1000</v>
      </c>
      <c r="W103">
        <v>0</v>
      </c>
      <c r="X103">
        <v>1192568630</v>
      </c>
      <c r="Y103">
        <v>3.0000000000000001E-3</v>
      </c>
      <c r="AA103">
        <v>11242.42</v>
      </c>
      <c r="AB103">
        <v>0</v>
      </c>
      <c r="AC103">
        <v>0</v>
      </c>
      <c r="AD103">
        <v>0</v>
      </c>
      <c r="AE103">
        <v>11242.42</v>
      </c>
      <c r="AF103">
        <v>0</v>
      </c>
      <c r="AG103">
        <v>0</v>
      </c>
      <c r="AH103">
        <v>0</v>
      </c>
      <c r="AI103">
        <v>1</v>
      </c>
      <c r="AJ103">
        <v>1</v>
      </c>
      <c r="AK103">
        <v>1</v>
      </c>
      <c r="AL103">
        <v>1</v>
      </c>
      <c r="AN103">
        <v>0</v>
      </c>
      <c r="AO103">
        <v>1</v>
      </c>
      <c r="AP103">
        <v>1</v>
      </c>
      <c r="AQ103">
        <v>0</v>
      </c>
      <c r="AR103">
        <v>0</v>
      </c>
      <c r="AS103" t="s">
        <v>3</v>
      </c>
      <c r="AT103">
        <v>5.0000000000000001E-3</v>
      </c>
      <c r="AU103" t="s">
        <v>178</v>
      </c>
      <c r="AV103">
        <v>0</v>
      </c>
      <c r="AW103">
        <v>2</v>
      </c>
      <c r="AX103">
        <v>45038538</v>
      </c>
      <c r="AY103">
        <v>1</v>
      </c>
      <c r="AZ103">
        <v>0</v>
      </c>
      <c r="BA103">
        <v>101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CX103">
        <f>Y103*Source!I112</f>
        <v>8.9999999999999992E-5</v>
      </c>
      <c r="CY103">
        <f>AA103</f>
        <v>11242.42</v>
      </c>
      <c r="CZ103">
        <f>AE103</f>
        <v>11242.42</v>
      </c>
      <c r="DA103">
        <f>AI103</f>
        <v>1</v>
      </c>
      <c r="DB103">
        <v>0</v>
      </c>
    </row>
    <row r="104" spans="1:106" x14ac:dyDescent="0.2">
      <c r="A104">
        <f>ROW(Source!A112)</f>
        <v>112</v>
      </c>
      <c r="B104">
        <v>45037306</v>
      </c>
      <c r="C104">
        <v>45037646</v>
      </c>
      <c r="D104">
        <v>22701667</v>
      </c>
      <c r="E104">
        <v>1</v>
      </c>
      <c r="F104">
        <v>1</v>
      </c>
      <c r="G104">
        <v>22652947</v>
      </c>
      <c r="H104">
        <v>3</v>
      </c>
      <c r="I104" t="s">
        <v>680</v>
      </c>
      <c r="J104" t="s">
        <v>681</v>
      </c>
      <c r="K104" t="s">
        <v>682</v>
      </c>
      <c r="L104">
        <v>1348</v>
      </c>
      <c r="N104">
        <v>1009</v>
      </c>
      <c r="O104" t="s">
        <v>29</v>
      </c>
      <c r="P104" t="s">
        <v>29</v>
      </c>
      <c r="Q104">
        <v>1000</v>
      </c>
      <c r="W104">
        <v>0</v>
      </c>
      <c r="X104">
        <v>-1557622869</v>
      </c>
      <c r="Y104">
        <v>3.5999999999999997E-2</v>
      </c>
      <c r="AA104">
        <v>6870.66</v>
      </c>
      <c r="AB104">
        <v>0</v>
      </c>
      <c r="AC104">
        <v>0</v>
      </c>
      <c r="AD104">
        <v>0</v>
      </c>
      <c r="AE104">
        <v>6870.66</v>
      </c>
      <c r="AF104">
        <v>0</v>
      </c>
      <c r="AG104">
        <v>0</v>
      </c>
      <c r="AH104">
        <v>0</v>
      </c>
      <c r="AI104">
        <v>1</v>
      </c>
      <c r="AJ104">
        <v>1</v>
      </c>
      <c r="AK104">
        <v>1</v>
      </c>
      <c r="AL104">
        <v>1</v>
      </c>
      <c r="AN104">
        <v>0</v>
      </c>
      <c r="AO104">
        <v>1</v>
      </c>
      <c r="AP104">
        <v>1</v>
      </c>
      <c r="AQ104">
        <v>0</v>
      </c>
      <c r="AR104">
        <v>0</v>
      </c>
      <c r="AS104" t="s">
        <v>3</v>
      </c>
      <c r="AT104">
        <v>0.06</v>
      </c>
      <c r="AU104" t="s">
        <v>178</v>
      </c>
      <c r="AV104">
        <v>0</v>
      </c>
      <c r="AW104">
        <v>2</v>
      </c>
      <c r="AX104">
        <v>45038539</v>
      </c>
      <c r="AY104">
        <v>1</v>
      </c>
      <c r="AZ104">
        <v>0</v>
      </c>
      <c r="BA104">
        <v>102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CX104">
        <f>Y104*Source!I112</f>
        <v>1.0799999999999998E-3</v>
      </c>
      <c r="CY104">
        <f>AA104</f>
        <v>6870.66</v>
      </c>
      <c r="CZ104">
        <f>AE104</f>
        <v>6870.66</v>
      </c>
      <c r="DA104">
        <f>AI104</f>
        <v>1</v>
      </c>
      <c r="DB104">
        <v>0</v>
      </c>
    </row>
    <row r="105" spans="1:106" x14ac:dyDescent="0.2">
      <c r="A105">
        <f>ROW(Source!A112)</f>
        <v>112</v>
      </c>
      <c r="B105">
        <v>45037306</v>
      </c>
      <c r="C105">
        <v>45037646</v>
      </c>
      <c r="D105">
        <v>22674637</v>
      </c>
      <c r="E105">
        <v>22652947</v>
      </c>
      <c r="F105">
        <v>1</v>
      </c>
      <c r="G105">
        <v>22652947</v>
      </c>
      <c r="H105">
        <v>3</v>
      </c>
      <c r="I105" t="s">
        <v>27</v>
      </c>
      <c r="J105" t="s">
        <v>3</v>
      </c>
      <c r="K105" t="s">
        <v>50</v>
      </c>
      <c r="L105">
        <v>1348</v>
      </c>
      <c r="N105">
        <v>1009</v>
      </c>
      <c r="O105" t="s">
        <v>29</v>
      </c>
      <c r="P105" t="s">
        <v>29</v>
      </c>
      <c r="Q105">
        <v>1000</v>
      </c>
      <c r="W105">
        <v>0</v>
      </c>
      <c r="X105">
        <v>1489638031</v>
      </c>
      <c r="Y105">
        <v>1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1</v>
      </c>
      <c r="AJ105">
        <v>1</v>
      </c>
      <c r="AK105">
        <v>1</v>
      </c>
      <c r="AL105">
        <v>1</v>
      </c>
      <c r="AN105">
        <v>0</v>
      </c>
      <c r="AO105">
        <v>0</v>
      </c>
      <c r="AP105">
        <v>1</v>
      </c>
      <c r="AQ105">
        <v>0</v>
      </c>
      <c r="AR105">
        <v>0</v>
      </c>
      <c r="AS105" t="s">
        <v>3</v>
      </c>
      <c r="AT105">
        <v>1</v>
      </c>
      <c r="AU105" t="s">
        <v>3</v>
      </c>
      <c r="AV105">
        <v>0</v>
      </c>
      <c r="AW105">
        <v>1</v>
      </c>
      <c r="AX105">
        <v>-1</v>
      </c>
      <c r="AY105">
        <v>0</v>
      </c>
      <c r="AZ105">
        <v>0</v>
      </c>
      <c r="BA105" t="s">
        <v>3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CX105">
        <f>Y105*Source!I112</f>
        <v>0.03</v>
      </c>
      <c r="CY105">
        <f>AA105</f>
        <v>0</v>
      </c>
      <c r="CZ105">
        <f>AE105</f>
        <v>0</v>
      </c>
      <c r="DA105">
        <f>AI105</f>
        <v>1</v>
      </c>
      <c r="DB105">
        <v>0</v>
      </c>
    </row>
    <row r="106" spans="1:106" x14ac:dyDescent="0.2">
      <c r="A106">
        <f>ROW(Source!A113)</f>
        <v>113</v>
      </c>
      <c r="B106">
        <v>45037307</v>
      </c>
      <c r="C106">
        <v>45037646</v>
      </c>
      <c r="D106">
        <v>22652952</v>
      </c>
      <c r="E106">
        <v>22652947</v>
      </c>
      <c r="F106">
        <v>1</v>
      </c>
      <c r="G106">
        <v>22652947</v>
      </c>
      <c r="H106">
        <v>1</v>
      </c>
      <c r="I106" t="s">
        <v>617</v>
      </c>
      <c r="J106" t="s">
        <v>3</v>
      </c>
      <c r="K106" t="s">
        <v>618</v>
      </c>
      <c r="L106">
        <v>1191</v>
      </c>
      <c r="N106">
        <v>1013</v>
      </c>
      <c r="O106" t="s">
        <v>619</v>
      </c>
      <c r="P106" t="s">
        <v>619</v>
      </c>
      <c r="Q106">
        <v>1</v>
      </c>
      <c r="W106">
        <v>0</v>
      </c>
      <c r="X106">
        <v>476480486</v>
      </c>
      <c r="Y106">
        <v>25.38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1</v>
      </c>
      <c r="AJ106">
        <v>1</v>
      </c>
      <c r="AK106">
        <v>1</v>
      </c>
      <c r="AL106">
        <v>1</v>
      </c>
      <c r="AN106">
        <v>0</v>
      </c>
      <c r="AO106">
        <v>1</v>
      </c>
      <c r="AP106">
        <v>1</v>
      </c>
      <c r="AQ106">
        <v>0</v>
      </c>
      <c r="AR106">
        <v>0</v>
      </c>
      <c r="AS106" t="s">
        <v>3</v>
      </c>
      <c r="AT106">
        <v>42.3</v>
      </c>
      <c r="AU106" t="s">
        <v>178</v>
      </c>
      <c r="AV106">
        <v>1</v>
      </c>
      <c r="AW106">
        <v>2</v>
      </c>
      <c r="AX106">
        <v>45038536</v>
      </c>
      <c r="AY106">
        <v>1</v>
      </c>
      <c r="AZ106">
        <v>0</v>
      </c>
      <c r="BA106">
        <v>105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CX106">
        <f>Y106*Source!I113</f>
        <v>0.76139999999999997</v>
      </c>
      <c r="CY106">
        <f>AD106</f>
        <v>0</v>
      </c>
      <c r="CZ106">
        <f>AH106</f>
        <v>0</v>
      </c>
      <c r="DA106">
        <f>AL106</f>
        <v>1</v>
      </c>
      <c r="DB106">
        <v>0</v>
      </c>
    </row>
    <row r="107" spans="1:106" x14ac:dyDescent="0.2">
      <c r="A107">
        <f>ROW(Source!A113)</f>
        <v>113</v>
      </c>
      <c r="B107">
        <v>45037307</v>
      </c>
      <c r="C107">
        <v>45037646</v>
      </c>
      <c r="D107">
        <v>22725860</v>
      </c>
      <c r="E107">
        <v>1</v>
      </c>
      <c r="F107">
        <v>1</v>
      </c>
      <c r="G107">
        <v>22652947</v>
      </c>
      <c r="H107">
        <v>2</v>
      </c>
      <c r="I107" t="s">
        <v>660</v>
      </c>
      <c r="J107" t="s">
        <v>661</v>
      </c>
      <c r="K107" t="s">
        <v>662</v>
      </c>
      <c r="L107">
        <v>1367</v>
      </c>
      <c r="N107">
        <v>1011</v>
      </c>
      <c r="O107" t="s">
        <v>623</v>
      </c>
      <c r="P107" t="s">
        <v>623</v>
      </c>
      <c r="Q107">
        <v>1</v>
      </c>
      <c r="W107">
        <v>0</v>
      </c>
      <c r="X107">
        <v>-628430174</v>
      </c>
      <c r="Y107">
        <v>0.98999999999999988</v>
      </c>
      <c r="AA107">
        <v>0</v>
      </c>
      <c r="AB107">
        <v>606.79999999999995</v>
      </c>
      <c r="AC107">
        <v>292.94</v>
      </c>
      <c r="AD107">
        <v>0</v>
      </c>
      <c r="AE107">
        <v>0</v>
      </c>
      <c r="AF107">
        <v>76.81</v>
      </c>
      <c r="AG107">
        <v>14.36</v>
      </c>
      <c r="AH107">
        <v>0</v>
      </c>
      <c r="AI107">
        <v>1</v>
      </c>
      <c r="AJ107">
        <v>7.9</v>
      </c>
      <c r="AK107">
        <v>20.399999999999999</v>
      </c>
      <c r="AL107">
        <v>1</v>
      </c>
      <c r="AN107">
        <v>0</v>
      </c>
      <c r="AO107">
        <v>1</v>
      </c>
      <c r="AP107">
        <v>1</v>
      </c>
      <c r="AQ107">
        <v>0</v>
      </c>
      <c r="AR107">
        <v>0</v>
      </c>
      <c r="AS107" t="s">
        <v>3</v>
      </c>
      <c r="AT107">
        <v>1.65</v>
      </c>
      <c r="AU107" t="s">
        <v>178</v>
      </c>
      <c r="AV107">
        <v>0</v>
      </c>
      <c r="AW107">
        <v>2</v>
      </c>
      <c r="AX107">
        <v>45038537</v>
      </c>
      <c r="AY107">
        <v>1</v>
      </c>
      <c r="AZ107">
        <v>0</v>
      </c>
      <c r="BA107">
        <v>106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CX107">
        <f>Y107*Source!I113</f>
        <v>2.9699999999999994E-2</v>
      </c>
      <c r="CY107">
        <f>AB107</f>
        <v>606.79999999999995</v>
      </c>
      <c r="CZ107">
        <f>AF107</f>
        <v>76.81</v>
      </c>
      <c r="DA107">
        <f>AJ107</f>
        <v>7.9</v>
      </c>
      <c r="DB107">
        <v>0</v>
      </c>
    </row>
    <row r="108" spans="1:106" x14ac:dyDescent="0.2">
      <c r="A108">
        <f>ROW(Source!A113)</f>
        <v>113</v>
      </c>
      <c r="B108">
        <v>45037307</v>
      </c>
      <c r="C108">
        <v>45037646</v>
      </c>
      <c r="D108">
        <v>22701311</v>
      </c>
      <c r="E108">
        <v>1</v>
      </c>
      <c r="F108">
        <v>1</v>
      </c>
      <c r="G108">
        <v>22652947</v>
      </c>
      <c r="H108">
        <v>3</v>
      </c>
      <c r="I108" t="s">
        <v>677</v>
      </c>
      <c r="J108" t="s">
        <v>678</v>
      </c>
      <c r="K108" t="s">
        <v>679</v>
      </c>
      <c r="L108">
        <v>1348</v>
      </c>
      <c r="N108">
        <v>1009</v>
      </c>
      <c r="O108" t="s">
        <v>29</v>
      </c>
      <c r="P108" t="s">
        <v>29</v>
      </c>
      <c r="Q108">
        <v>1000</v>
      </c>
      <c r="W108">
        <v>0</v>
      </c>
      <c r="X108">
        <v>1192568630</v>
      </c>
      <c r="Y108">
        <v>3.0000000000000001E-3</v>
      </c>
      <c r="AA108">
        <v>46993.32</v>
      </c>
      <c r="AB108">
        <v>0</v>
      </c>
      <c r="AC108">
        <v>0</v>
      </c>
      <c r="AD108">
        <v>0</v>
      </c>
      <c r="AE108">
        <v>11242.42</v>
      </c>
      <c r="AF108">
        <v>0</v>
      </c>
      <c r="AG108">
        <v>0</v>
      </c>
      <c r="AH108">
        <v>0</v>
      </c>
      <c r="AI108">
        <v>4.18</v>
      </c>
      <c r="AJ108">
        <v>1</v>
      </c>
      <c r="AK108">
        <v>1</v>
      </c>
      <c r="AL108">
        <v>1</v>
      </c>
      <c r="AN108">
        <v>0</v>
      </c>
      <c r="AO108">
        <v>1</v>
      </c>
      <c r="AP108">
        <v>1</v>
      </c>
      <c r="AQ108">
        <v>0</v>
      </c>
      <c r="AR108">
        <v>0</v>
      </c>
      <c r="AS108" t="s">
        <v>3</v>
      </c>
      <c r="AT108">
        <v>5.0000000000000001E-3</v>
      </c>
      <c r="AU108" t="s">
        <v>178</v>
      </c>
      <c r="AV108">
        <v>0</v>
      </c>
      <c r="AW108">
        <v>2</v>
      </c>
      <c r="AX108">
        <v>45038538</v>
      </c>
      <c r="AY108">
        <v>1</v>
      </c>
      <c r="AZ108">
        <v>0</v>
      </c>
      <c r="BA108">
        <v>107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CX108">
        <f>Y108*Source!I113</f>
        <v>8.9999999999999992E-5</v>
      </c>
      <c r="CY108">
        <f>AA108</f>
        <v>46993.32</v>
      </c>
      <c r="CZ108">
        <f>AE108</f>
        <v>11242.42</v>
      </c>
      <c r="DA108">
        <f>AI108</f>
        <v>4.18</v>
      </c>
      <c r="DB108">
        <v>0</v>
      </c>
    </row>
    <row r="109" spans="1:106" x14ac:dyDescent="0.2">
      <c r="A109">
        <f>ROW(Source!A113)</f>
        <v>113</v>
      </c>
      <c r="B109">
        <v>45037307</v>
      </c>
      <c r="C109">
        <v>45037646</v>
      </c>
      <c r="D109">
        <v>22701667</v>
      </c>
      <c r="E109">
        <v>1</v>
      </c>
      <c r="F109">
        <v>1</v>
      </c>
      <c r="G109">
        <v>22652947</v>
      </c>
      <c r="H109">
        <v>3</v>
      </c>
      <c r="I109" t="s">
        <v>680</v>
      </c>
      <c r="J109" t="s">
        <v>681</v>
      </c>
      <c r="K109" t="s">
        <v>682</v>
      </c>
      <c r="L109">
        <v>1348</v>
      </c>
      <c r="N109">
        <v>1009</v>
      </c>
      <c r="O109" t="s">
        <v>29</v>
      </c>
      <c r="P109" t="s">
        <v>29</v>
      </c>
      <c r="Q109">
        <v>1000</v>
      </c>
      <c r="W109">
        <v>0</v>
      </c>
      <c r="X109">
        <v>-1557622869</v>
      </c>
      <c r="Y109">
        <v>3.5999999999999997E-2</v>
      </c>
      <c r="AA109">
        <v>40055.949999999997</v>
      </c>
      <c r="AB109">
        <v>0</v>
      </c>
      <c r="AC109">
        <v>0</v>
      </c>
      <c r="AD109">
        <v>0</v>
      </c>
      <c r="AE109">
        <v>6870.66</v>
      </c>
      <c r="AF109">
        <v>0</v>
      </c>
      <c r="AG109">
        <v>0</v>
      </c>
      <c r="AH109">
        <v>0</v>
      </c>
      <c r="AI109">
        <v>5.83</v>
      </c>
      <c r="AJ109">
        <v>1</v>
      </c>
      <c r="AK109">
        <v>1</v>
      </c>
      <c r="AL109">
        <v>1</v>
      </c>
      <c r="AN109">
        <v>0</v>
      </c>
      <c r="AO109">
        <v>1</v>
      </c>
      <c r="AP109">
        <v>1</v>
      </c>
      <c r="AQ109">
        <v>0</v>
      </c>
      <c r="AR109">
        <v>0</v>
      </c>
      <c r="AS109" t="s">
        <v>3</v>
      </c>
      <c r="AT109">
        <v>0.06</v>
      </c>
      <c r="AU109" t="s">
        <v>178</v>
      </c>
      <c r="AV109">
        <v>0</v>
      </c>
      <c r="AW109">
        <v>2</v>
      </c>
      <c r="AX109">
        <v>45038539</v>
      </c>
      <c r="AY109">
        <v>1</v>
      </c>
      <c r="AZ109">
        <v>0</v>
      </c>
      <c r="BA109">
        <v>108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CX109">
        <f>Y109*Source!I113</f>
        <v>1.0799999999999998E-3</v>
      </c>
      <c r="CY109">
        <f>AA109</f>
        <v>40055.949999999997</v>
      </c>
      <c r="CZ109">
        <f>AE109</f>
        <v>6870.66</v>
      </c>
      <c r="DA109">
        <f>AI109</f>
        <v>5.83</v>
      </c>
      <c r="DB109">
        <v>0</v>
      </c>
    </row>
    <row r="110" spans="1:106" x14ac:dyDescent="0.2">
      <c r="A110">
        <f>ROW(Source!A113)</f>
        <v>113</v>
      </c>
      <c r="B110">
        <v>45037307</v>
      </c>
      <c r="C110">
        <v>45037646</v>
      </c>
      <c r="D110">
        <v>22674637</v>
      </c>
      <c r="E110">
        <v>22652947</v>
      </c>
      <c r="F110">
        <v>1</v>
      </c>
      <c r="G110">
        <v>22652947</v>
      </c>
      <c r="H110">
        <v>3</v>
      </c>
      <c r="I110" t="s">
        <v>27</v>
      </c>
      <c r="J110" t="s">
        <v>3</v>
      </c>
      <c r="K110" t="s">
        <v>50</v>
      </c>
      <c r="L110">
        <v>1348</v>
      </c>
      <c r="N110">
        <v>1009</v>
      </c>
      <c r="O110" t="s">
        <v>29</v>
      </c>
      <c r="P110" t="s">
        <v>29</v>
      </c>
      <c r="Q110">
        <v>1000</v>
      </c>
      <c r="W110">
        <v>0</v>
      </c>
      <c r="X110">
        <v>1489638031</v>
      </c>
      <c r="Y110">
        <v>1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1</v>
      </c>
      <c r="AJ110">
        <v>1</v>
      </c>
      <c r="AK110">
        <v>1</v>
      </c>
      <c r="AL110">
        <v>1</v>
      </c>
      <c r="AN110">
        <v>0</v>
      </c>
      <c r="AO110">
        <v>0</v>
      </c>
      <c r="AP110">
        <v>1</v>
      </c>
      <c r="AQ110">
        <v>0</v>
      </c>
      <c r="AR110">
        <v>0</v>
      </c>
      <c r="AS110" t="s">
        <v>3</v>
      </c>
      <c r="AT110">
        <v>1</v>
      </c>
      <c r="AU110" t="s">
        <v>3</v>
      </c>
      <c r="AV110">
        <v>0</v>
      </c>
      <c r="AW110">
        <v>1</v>
      </c>
      <c r="AX110">
        <v>-1</v>
      </c>
      <c r="AY110">
        <v>0</v>
      </c>
      <c r="AZ110">
        <v>0</v>
      </c>
      <c r="BA110" t="s">
        <v>3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CX110">
        <f>Y110*Source!I113</f>
        <v>0.03</v>
      </c>
      <c r="CY110">
        <f>AA110</f>
        <v>0</v>
      </c>
      <c r="CZ110">
        <f>AE110</f>
        <v>0</v>
      </c>
      <c r="DA110">
        <f>AI110</f>
        <v>1</v>
      </c>
      <c r="DB110">
        <v>0</v>
      </c>
    </row>
    <row r="111" spans="1:106" x14ac:dyDescent="0.2">
      <c r="A111">
        <f>ROW(Source!A183)</f>
        <v>183</v>
      </c>
      <c r="B111">
        <v>45037306</v>
      </c>
      <c r="C111">
        <v>45037767</v>
      </c>
      <c r="D111">
        <v>22652952</v>
      </c>
      <c r="E111">
        <v>22652947</v>
      </c>
      <c r="F111">
        <v>1</v>
      </c>
      <c r="G111">
        <v>22652947</v>
      </c>
      <c r="H111">
        <v>1</v>
      </c>
      <c r="I111" t="s">
        <v>617</v>
      </c>
      <c r="J111" t="s">
        <v>3</v>
      </c>
      <c r="K111" t="s">
        <v>618</v>
      </c>
      <c r="L111">
        <v>1191</v>
      </c>
      <c r="N111">
        <v>1013</v>
      </c>
      <c r="O111" t="s">
        <v>619</v>
      </c>
      <c r="P111" t="s">
        <v>619</v>
      </c>
      <c r="Q111">
        <v>1</v>
      </c>
      <c r="W111">
        <v>0</v>
      </c>
      <c r="X111">
        <v>476480486</v>
      </c>
      <c r="Y111">
        <v>26.829499999999996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1</v>
      </c>
      <c r="AJ111">
        <v>1</v>
      </c>
      <c r="AK111">
        <v>1</v>
      </c>
      <c r="AL111">
        <v>1</v>
      </c>
      <c r="AN111">
        <v>0</v>
      </c>
      <c r="AO111">
        <v>1</v>
      </c>
      <c r="AP111">
        <v>1</v>
      </c>
      <c r="AQ111">
        <v>0</v>
      </c>
      <c r="AR111">
        <v>0</v>
      </c>
      <c r="AS111" t="s">
        <v>3</v>
      </c>
      <c r="AT111">
        <v>23.33</v>
      </c>
      <c r="AU111" t="s">
        <v>37</v>
      </c>
      <c r="AV111">
        <v>1</v>
      </c>
      <c r="AW111">
        <v>2</v>
      </c>
      <c r="AX111">
        <v>45038542</v>
      </c>
      <c r="AY111">
        <v>1</v>
      </c>
      <c r="AZ111">
        <v>0</v>
      </c>
      <c r="BA111">
        <v>111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CX111">
        <f>Y111*Source!I183</f>
        <v>1.3683044999999998</v>
      </c>
      <c r="CY111">
        <f>AD111</f>
        <v>0</v>
      </c>
      <c r="CZ111">
        <f>AH111</f>
        <v>0</v>
      </c>
      <c r="DA111">
        <f>AL111</f>
        <v>1</v>
      </c>
      <c r="DB111">
        <v>0</v>
      </c>
    </row>
    <row r="112" spans="1:106" x14ac:dyDescent="0.2">
      <c r="A112">
        <f>ROW(Source!A183)</f>
        <v>183</v>
      </c>
      <c r="B112">
        <v>45037306</v>
      </c>
      <c r="C112">
        <v>45037767</v>
      </c>
      <c r="D112">
        <v>22725390</v>
      </c>
      <c r="E112">
        <v>1</v>
      </c>
      <c r="F112">
        <v>1</v>
      </c>
      <c r="G112">
        <v>22652947</v>
      </c>
      <c r="H112">
        <v>2</v>
      </c>
      <c r="I112" t="s">
        <v>683</v>
      </c>
      <c r="J112" t="s">
        <v>684</v>
      </c>
      <c r="K112" t="s">
        <v>685</v>
      </c>
      <c r="L112">
        <v>1367</v>
      </c>
      <c r="N112">
        <v>1011</v>
      </c>
      <c r="O112" t="s">
        <v>623</v>
      </c>
      <c r="P112" t="s">
        <v>623</v>
      </c>
      <c r="Q112">
        <v>1</v>
      </c>
      <c r="W112">
        <v>0</v>
      </c>
      <c r="X112">
        <v>1029667330</v>
      </c>
      <c r="Y112">
        <v>9.7750000000000004</v>
      </c>
      <c r="AA112">
        <v>0</v>
      </c>
      <c r="AB112">
        <v>1.61</v>
      </c>
      <c r="AC112">
        <v>0.04</v>
      </c>
      <c r="AD112">
        <v>0</v>
      </c>
      <c r="AE112">
        <v>0</v>
      </c>
      <c r="AF112">
        <v>1.61</v>
      </c>
      <c r="AG112">
        <v>0.04</v>
      </c>
      <c r="AH112">
        <v>0</v>
      </c>
      <c r="AI112">
        <v>1</v>
      </c>
      <c r="AJ112">
        <v>1</v>
      </c>
      <c r="AK112">
        <v>1</v>
      </c>
      <c r="AL112">
        <v>1</v>
      </c>
      <c r="AN112">
        <v>0</v>
      </c>
      <c r="AO112">
        <v>1</v>
      </c>
      <c r="AP112">
        <v>1</v>
      </c>
      <c r="AQ112">
        <v>0</v>
      </c>
      <c r="AR112">
        <v>0</v>
      </c>
      <c r="AS112" t="s">
        <v>3</v>
      </c>
      <c r="AT112">
        <v>7.82</v>
      </c>
      <c r="AU112" t="s">
        <v>36</v>
      </c>
      <c r="AV112">
        <v>0</v>
      </c>
      <c r="AW112">
        <v>2</v>
      </c>
      <c r="AX112">
        <v>45038543</v>
      </c>
      <c r="AY112">
        <v>1</v>
      </c>
      <c r="AZ112">
        <v>0</v>
      </c>
      <c r="BA112">
        <v>112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CX112">
        <f>Y112*Source!I183</f>
        <v>0.498525</v>
      </c>
      <c r="CY112">
        <f>AB112</f>
        <v>1.61</v>
      </c>
      <c r="CZ112">
        <f>AF112</f>
        <v>1.61</v>
      </c>
      <c r="DA112">
        <f>AJ112</f>
        <v>1</v>
      </c>
      <c r="DB112">
        <v>0</v>
      </c>
    </row>
    <row r="113" spans="1:106" x14ac:dyDescent="0.2">
      <c r="A113">
        <f>ROW(Source!A183)</f>
        <v>183</v>
      </c>
      <c r="B113">
        <v>45037306</v>
      </c>
      <c r="C113">
        <v>45037767</v>
      </c>
      <c r="D113">
        <v>22700967</v>
      </c>
      <c r="E113">
        <v>1</v>
      </c>
      <c r="F113">
        <v>1</v>
      </c>
      <c r="G113">
        <v>22652947</v>
      </c>
      <c r="H113">
        <v>3</v>
      </c>
      <c r="I113" t="s">
        <v>273</v>
      </c>
      <c r="J113" t="s">
        <v>275</v>
      </c>
      <c r="K113" t="s">
        <v>274</v>
      </c>
      <c r="L113">
        <v>1339</v>
      </c>
      <c r="N113">
        <v>1007</v>
      </c>
      <c r="O113" t="s">
        <v>80</v>
      </c>
      <c r="P113" t="s">
        <v>80</v>
      </c>
      <c r="Q113">
        <v>1</v>
      </c>
      <c r="W113">
        <v>0</v>
      </c>
      <c r="X113">
        <v>-862991314</v>
      </c>
      <c r="Y113">
        <v>3.5</v>
      </c>
      <c r="AA113">
        <v>7.07</v>
      </c>
      <c r="AB113">
        <v>0</v>
      </c>
      <c r="AC113">
        <v>0</v>
      </c>
      <c r="AD113">
        <v>0</v>
      </c>
      <c r="AE113">
        <v>7.07</v>
      </c>
      <c r="AF113">
        <v>0</v>
      </c>
      <c r="AG113">
        <v>0</v>
      </c>
      <c r="AH113">
        <v>0</v>
      </c>
      <c r="AI113">
        <v>1</v>
      </c>
      <c r="AJ113">
        <v>1</v>
      </c>
      <c r="AK113">
        <v>1</v>
      </c>
      <c r="AL113">
        <v>1</v>
      </c>
      <c r="AN113">
        <v>0</v>
      </c>
      <c r="AO113">
        <v>1</v>
      </c>
      <c r="AP113">
        <v>0</v>
      </c>
      <c r="AQ113">
        <v>0</v>
      </c>
      <c r="AR113">
        <v>0</v>
      </c>
      <c r="AS113" t="s">
        <v>3</v>
      </c>
      <c r="AT113">
        <v>3.5</v>
      </c>
      <c r="AU113" t="s">
        <v>3</v>
      </c>
      <c r="AV113">
        <v>0</v>
      </c>
      <c r="AW113">
        <v>2</v>
      </c>
      <c r="AX113">
        <v>45038544</v>
      </c>
      <c r="AY113">
        <v>1</v>
      </c>
      <c r="AZ113">
        <v>0</v>
      </c>
      <c r="BA113">
        <v>113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CX113">
        <f>Y113*Source!I183</f>
        <v>0.17849999999999999</v>
      </c>
      <c r="CY113">
        <f>AA113</f>
        <v>7.07</v>
      </c>
      <c r="CZ113">
        <f>AE113</f>
        <v>7.07</v>
      </c>
      <c r="DA113">
        <f>AI113</f>
        <v>1</v>
      </c>
      <c r="DB113">
        <v>0</v>
      </c>
    </row>
    <row r="114" spans="1:106" x14ac:dyDescent="0.2">
      <c r="A114">
        <f>ROW(Source!A183)</f>
        <v>183</v>
      </c>
      <c r="B114">
        <v>45037306</v>
      </c>
      <c r="C114">
        <v>45037767</v>
      </c>
      <c r="D114">
        <v>22719478</v>
      </c>
      <c r="E114">
        <v>1</v>
      </c>
      <c r="F114">
        <v>1</v>
      </c>
      <c r="G114">
        <v>22652947</v>
      </c>
      <c r="H114">
        <v>3</v>
      </c>
      <c r="I114" t="s">
        <v>214</v>
      </c>
      <c r="J114" t="s">
        <v>216</v>
      </c>
      <c r="K114" t="s">
        <v>215</v>
      </c>
      <c r="L114">
        <v>1339</v>
      </c>
      <c r="N114">
        <v>1007</v>
      </c>
      <c r="O114" t="s">
        <v>80</v>
      </c>
      <c r="P114" t="s">
        <v>80</v>
      </c>
      <c r="Q114">
        <v>1</v>
      </c>
      <c r="W114">
        <v>0</v>
      </c>
      <c r="X114">
        <v>-1161195218</v>
      </c>
      <c r="Y114">
        <v>2.04</v>
      </c>
      <c r="AA114">
        <v>478.96</v>
      </c>
      <c r="AB114">
        <v>0</v>
      </c>
      <c r="AC114">
        <v>0</v>
      </c>
      <c r="AD114">
        <v>0</v>
      </c>
      <c r="AE114">
        <v>478.96</v>
      </c>
      <c r="AF114">
        <v>0</v>
      </c>
      <c r="AG114">
        <v>0</v>
      </c>
      <c r="AH114">
        <v>0</v>
      </c>
      <c r="AI114">
        <v>1</v>
      </c>
      <c r="AJ114">
        <v>1</v>
      </c>
      <c r="AK114">
        <v>1</v>
      </c>
      <c r="AL114">
        <v>1</v>
      </c>
      <c r="AN114">
        <v>0</v>
      </c>
      <c r="AO114">
        <v>0</v>
      </c>
      <c r="AP114">
        <v>0</v>
      </c>
      <c r="AQ114">
        <v>0</v>
      </c>
      <c r="AR114">
        <v>0</v>
      </c>
      <c r="AS114" t="s">
        <v>3</v>
      </c>
      <c r="AT114">
        <v>2.04</v>
      </c>
      <c r="AU114" t="s">
        <v>3</v>
      </c>
      <c r="AV114">
        <v>0</v>
      </c>
      <c r="AW114">
        <v>1</v>
      </c>
      <c r="AX114">
        <v>-1</v>
      </c>
      <c r="AY114">
        <v>0</v>
      </c>
      <c r="AZ114">
        <v>0</v>
      </c>
      <c r="BA114" t="s">
        <v>3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CX114">
        <f>Y114*Source!I183</f>
        <v>0.10403999999999999</v>
      </c>
      <c r="CY114">
        <f>AA114</f>
        <v>478.96</v>
      </c>
      <c r="CZ114">
        <f>AE114</f>
        <v>478.96</v>
      </c>
      <c r="DA114">
        <f>AI114</f>
        <v>1</v>
      </c>
      <c r="DB114">
        <v>0</v>
      </c>
    </row>
    <row r="115" spans="1:106" x14ac:dyDescent="0.2">
      <c r="A115">
        <f>ROW(Source!A184)</f>
        <v>184</v>
      </c>
      <c r="B115">
        <v>45037307</v>
      </c>
      <c r="C115">
        <v>45037767</v>
      </c>
      <c r="D115">
        <v>22652952</v>
      </c>
      <c r="E115">
        <v>22652947</v>
      </c>
      <c r="F115">
        <v>1</v>
      </c>
      <c r="G115">
        <v>22652947</v>
      </c>
      <c r="H115">
        <v>1</v>
      </c>
      <c r="I115" t="s">
        <v>617</v>
      </c>
      <c r="J115" t="s">
        <v>3</v>
      </c>
      <c r="K115" t="s">
        <v>618</v>
      </c>
      <c r="L115">
        <v>1191</v>
      </c>
      <c r="N115">
        <v>1013</v>
      </c>
      <c r="O115" t="s">
        <v>619</v>
      </c>
      <c r="P115" t="s">
        <v>619</v>
      </c>
      <c r="Q115">
        <v>1</v>
      </c>
      <c r="W115">
        <v>0</v>
      </c>
      <c r="X115">
        <v>476480486</v>
      </c>
      <c r="Y115">
        <v>26.829499999999996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1</v>
      </c>
      <c r="AJ115">
        <v>1</v>
      </c>
      <c r="AK115">
        <v>1</v>
      </c>
      <c r="AL115">
        <v>1</v>
      </c>
      <c r="AN115">
        <v>0</v>
      </c>
      <c r="AO115">
        <v>1</v>
      </c>
      <c r="AP115">
        <v>1</v>
      </c>
      <c r="AQ115">
        <v>0</v>
      </c>
      <c r="AR115">
        <v>0</v>
      </c>
      <c r="AS115" t="s">
        <v>3</v>
      </c>
      <c r="AT115">
        <v>23.33</v>
      </c>
      <c r="AU115" t="s">
        <v>37</v>
      </c>
      <c r="AV115">
        <v>1</v>
      </c>
      <c r="AW115">
        <v>2</v>
      </c>
      <c r="AX115">
        <v>45038542</v>
      </c>
      <c r="AY115">
        <v>1</v>
      </c>
      <c r="AZ115">
        <v>0</v>
      </c>
      <c r="BA115">
        <v>115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CX115">
        <f>Y115*Source!I184</f>
        <v>1.3683044999999998</v>
      </c>
      <c r="CY115">
        <f>AD115</f>
        <v>0</v>
      </c>
      <c r="CZ115">
        <f>AH115</f>
        <v>0</v>
      </c>
      <c r="DA115">
        <f>AL115</f>
        <v>1</v>
      </c>
      <c r="DB115">
        <v>0</v>
      </c>
    </row>
    <row r="116" spans="1:106" x14ac:dyDescent="0.2">
      <c r="A116">
        <f>ROW(Source!A184)</f>
        <v>184</v>
      </c>
      <c r="B116">
        <v>45037307</v>
      </c>
      <c r="C116">
        <v>45037767</v>
      </c>
      <c r="D116">
        <v>22725390</v>
      </c>
      <c r="E116">
        <v>1</v>
      </c>
      <c r="F116">
        <v>1</v>
      </c>
      <c r="G116">
        <v>22652947</v>
      </c>
      <c r="H116">
        <v>2</v>
      </c>
      <c r="I116" t="s">
        <v>683</v>
      </c>
      <c r="J116" t="s">
        <v>684</v>
      </c>
      <c r="K116" t="s">
        <v>685</v>
      </c>
      <c r="L116">
        <v>1367</v>
      </c>
      <c r="N116">
        <v>1011</v>
      </c>
      <c r="O116" t="s">
        <v>623</v>
      </c>
      <c r="P116" t="s">
        <v>623</v>
      </c>
      <c r="Q116">
        <v>1</v>
      </c>
      <c r="W116">
        <v>0</v>
      </c>
      <c r="X116">
        <v>1029667330</v>
      </c>
      <c r="Y116">
        <v>9.7750000000000004</v>
      </c>
      <c r="AA116">
        <v>0</v>
      </c>
      <c r="AB116">
        <v>2.21</v>
      </c>
      <c r="AC116">
        <v>0.82</v>
      </c>
      <c r="AD116">
        <v>0</v>
      </c>
      <c r="AE116">
        <v>0</v>
      </c>
      <c r="AF116">
        <v>1.61</v>
      </c>
      <c r="AG116">
        <v>0.04</v>
      </c>
      <c r="AH116">
        <v>0</v>
      </c>
      <c r="AI116">
        <v>1</v>
      </c>
      <c r="AJ116">
        <v>1.37</v>
      </c>
      <c r="AK116">
        <v>20.399999999999999</v>
      </c>
      <c r="AL116">
        <v>1</v>
      </c>
      <c r="AN116">
        <v>0</v>
      </c>
      <c r="AO116">
        <v>1</v>
      </c>
      <c r="AP116">
        <v>1</v>
      </c>
      <c r="AQ116">
        <v>0</v>
      </c>
      <c r="AR116">
        <v>0</v>
      </c>
      <c r="AS116" t="s">
        <v>3</v>
      </c>
      <c r="AT116">
        <v>7.82</v>
      </c>
      <c r="AU116" t="s">
        <v>36</v>
      </c>
      <c r="AV116">
        <v>0</v>
      </c>
      <c r="AW116">
        <v>2</v>
      </c>
      <c r="AX116">
        <v>45038543</v>
      </c>
      <c r="AY116">
        <v>1</v>
      </c>
      <c r="AZ116">
        <v>0</v>
      </c>
      <c r="BA116">
        <v>116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CX116">
        <f>Y116*Source!I184</f>
        <v>0.498525</v>
      </c>
      <c r="CY116">
        <f>AB116</f>
        <v>2.21</v>
      </c>
      <c r="CZ116">
        <f>AF116</f>
        <v>1.61</v>
      </c>
      <c r="DA116">
        <f>AJ116</f>
        <v>1.37</v>
      </c>
      <c r="DB116">
        <v>0</v>
      </c>
    </row>
    <row r="117" spans="1:106" x14ac:dyDescent="0.2">
      <c r="A117">
        <f>ROW(Source!A184)</f>
        <v>184</v>
      </c>
      <c r="B117">
        <v>45037307</v>
      </c>
      <c r="C117">
        <v>45037767</v>
      </c>
      <c r="D117">
        <v>22700967</v>
      </c>
      <c r="E117">
        <v>1</v>
      </c>
      <c r="F117">
        <v>1</v>
      </c>
      <c r="G117">
        <v>22652947</v>
      </c>
      <c r="H117">
        <v>3</v>
      </c>
      <c r="I117" t="s">
        <v>273</v>
      </c>
      <c r="J117" t="s">
        <v>275</v>
      </c>
      <c r="K117" t="s">
        <v>274</v>
      </c>
      <c r="L117">
        <v>1339</v>
      </c>
      <c r="N117">
        <v>1007</v>
      </c>
      <c r="O117" t="s">
        <v>80</v>
      </c>
      <c r="P117" t="s">
        <v>80</v>
      </c>
      <c r="Q117">
        <v>1</v>
      </c>
      <c r="W117">
        <v>0</v>
      </c>
      <c r="X117">
        <v>-862991314</v>
      </c>
      <c r="Y117">
        <v>3.5</v>
      </c>
      <c r="AA117">
        <v>29.98</v>
      </c>
      <c r="AB117">
        <v>0</v>
      </c>
      <c r="AC117">
        <v>0</v>
      </c>
      <c r="AD117">
        <v>0</v>
      </c>
      <c r="AE117">
        <v>7.07</v>
      </c>
      <c r="AF117">
        <v>0</v>
      </c>
      <c r="AG117">
        <v>0</v>
      </c>
      <c r="AH117">
        <v>0</v>
      </c>
      <c r="AI117">
        <v>4.24</v>
      </c>
      <c r="AJ117">
        <v>1</v>
      </c>
      <c r="AK117">
        <v>1</v>
      </c>
      <c r="AL117">
        <v>1</v>
      </c>
      <c r="AN117">
        <v>0</v>
      </c>
      <c r="AO117">
        <v>1</v>
      </c>
      <c r="AP117">
        <v>0</v>
      </c>
      <c r="AQ117">
        <v>0</v>
      </c>
      <c r="AR117">
        <v>0</v>
      </c>
      <c r="AS117" t="s">
        <v>3</v>
      </c>
      <c r="AT117">
        <v>3.5</v>
      </c>
      <c r="AU117" t="s">
        <v>3</v>
      </c>
      <c r="AV117">
        <v>0</v>
      </c>
      <c r="AW117">
        <v>2</v>
      </c>
      <c r="AX117">
        <v>45038544</v>
      </c>
      <c r="AY117">
        <v>1</v>
      </c>
      <c r="AZ117">
        <v>0</v>
      </c>
      <c r="BA117">
        <v>117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CX117">
        <f>Y117*Source!I184</f>
        <v>0.17849999999999999</v>
      </c>
      <c r="CY117">
        <f>AA117</f>
        <v>29.98</v>
      </c>
      <c r="CZ117">
        <f>AE117</f>
        <v>7.07</v>
      </c>
      <c r="DA117">
        <f>AI117</f>
        <v>4.24</v>
      </c>
      <c r="DB117">
        <v>0</v>
      </c>
    </row>
    <row r="118" spans="1:106" x14ac:dyDescent="0.2">
      <c r="A118">
        <f>ROW(Source!A184)</f>
        <v>184</v>
      </c>
      <c r="B118">
        <v>45037307</v>
      </c>
      <c r="C118">
        <v>45037767</v>
      </c>
      <c r="D118">
        <v>22719478</v>
      </c>
      <c r="E118">
        <v>1</v>
      </c>
      <c r="F118">
        <v>1</v>
      </c>
      <c r="G118">
        <v>22652947</v>
      </c>
      <c r="H118">
        <v>3</v>
      </c>
      <c r="I118" t="s">
        <v>214</v>
      </c>
      <c r="J118" t="s">
        <v>216</v>
      </c>
      <c r="K118" t="s">
        <v>215</v>
      </c>
      <c r="L118">
        <v>1339</v>
      </c>
      <c r="N118">
        <v>1007</v>
      </c>
      <c r="O118" t="s">
        <v>80</v>
      </c>
      <c r="P118" t="s">
        <v>80</v>
      </c>
      <c r="Q118">
        <v>1</v>
      </c>
      <c r="W118">
        <v>0</v>
      </c>
      <c r="X118">
        <v>-1161195218</v>
      </c>
      <c r="Y118">
        <v>2.04</v>
      </c>
      <c r="AA118">
        <v>2912.08</v>
      </c>
      <c r="AB118">
        <v>0</v>
      </c>
      <c r="AC118">
        <v>0</v>
      </c>
      <c r="AD118">
        <v>0</v>
      </c>
      <c r="AE118">
        <v>478.96</v>
      </c>
      <c r="AF118">
        <v>0</v>
      </c>
      <c r="AG118">
        <v>0</v>
      </c>
      <c r="AH118">
        <v>0</v>
      </c>
      <c r="AI118">
        <v>6.08</v>
      </c>
      <c r="AJ118">
        <v>1</v>
      </c>
      <c r="AK118">
        <v>1</v>
      </c>
      <c r="AL118">
        <v>1</v>
      </c>
      <c r="AN118">
        <v>0</v>
      </c>
      <c r="AO118">
        <v>0</v>
      </c>
      <c r="AP118">
        <v>0</v>
      </c>
      <c r="AQ118">
        <v>0</v>
      </c>
      <c r="AR118">
        <v>0</v>
      </c>
      <c r="AS118" t="s">
        <v>3</v>
      </c>
      <c r="AT118">
        <v>2.04</v>
      </c>
      <c r="AU118" t="s">
        <v>3</v>
      </c>
      <c r="AV118">
        <v>0</v>
      </c>
      <c r="AW118">
        <v>1</v>
      </c>
      <c r="AX118">
        <v>-1</v>
      </c>
      <c r="AY118">
        <v>0</v>
      </c>
      <c r="AZ118">
        <v>0</v>
      </c>
      <c r="BA118" t="s">
        <v>3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CX118">
        <f>Y118*Source!I184</f>
        <v>0.10403999999999999</v>
      </c>
      <c r="CY118">
        <f>AA118</f>
        <v>2912.08</v>
      </c>
      <c r="CZ118">
        <f>AE118</f>
        <v>478.96</v>
      </c>
      <c r="DA118">
        <f>AI118</f>
        <v>6.08</v>
      </c>
      <c r="DB118">
        <v>0</v>
      </c>
    </row>
    <row r="119" spans="1:106" x14ac:dyDescent="0.2">
      <c r="A119">
        <f>ROW(Source!A187)</f>
        <v>187</v>
      </c>
      <c r="B119">
        <v>45037306</v>
      </c>
      <c r="C119">
        <v>45037777</v>
      </c>
      <c r="D119">
        <v>22652952</v>
      </c>
      <c r="E119">
        <v>22652947</v>
      </c>
      <c r="F119">
        <v>1</v>
      </c>
      <c r="G119">
        <v>22652947</v>
      </c>
      <c r="H119">
        <v>1</v>
      </c>
      <c r="I119" t="s">
        <v>617</v>
      </c>
      <c r="J119" t="s">
        <v>3</v>
      </c>
      <c r="K119" t="s">
        <v>618</v>
      </c>
      <c r="L119">
        <v>1191</v>
      </c>
      <c r="N119">
        <v>1013</v>
      </c>
      <c r="O119" t="s">
        <v>619</v>
      </c>
      <c r="P119" t="s">
        <v>619</v>
      </c>
      <c r="Q119">
        <v>1</v>
      </c>
      <c r="W119">
        <v>0</v>
      </c>
      <c r="X119">
        <v>476480486</v>
      </c>
      <c r="Y119">
        <v>83.489999999999981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1</v>
      </c>
      <c r="AJ119">
        <v>1</v>
      </c>
      <c r="AK119">
        <v>1</v>
      </c>
      <c r="AL119">
        <v>1</v>
      </c>
      <c r="AN119">
        <v>0</v>
      </c>
      <c r="AO119">
        <v>1</v>
      </c>
      <c r="AP119">
        <v>1</v>
      </c>
      <c r="AQ119">
        <v>0</v>
      </c>
      <c r="AR119">
        <v>0</v>
      </c>
      <c r="AS119" t="s">
        <v>3</v>
      </c>
      <c r="AT119">
        <v>72.599999999999994</v>
      </c>
      <c r="AU119" t="s">
        <v>37</v>
      </c>
      <c r="AV119">
        <v>1</v>
      </c>
      <c r="AW119">
        <v>2</v>
      </c>
      <c r="AX119">
        <v>45038546</v>
      </c>
      <c r="AY119">
        <v>1</v>
      </c>
      <c r="AZ119">
        <v>0</v>
      </c>
      <c r="BA119">
        <v>119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CX119">
        <f>Y119*Source!I187</f>
        <v>4.2579899999999986</v>
      </c>
      <c r="CY119">
        <f>AD119</f>
        <v>0</v>
      </c>
      <c r="CZ119">
        <f>AH119</f>
        <v>0</v>
      </c>
      <c r="DA119">
        <f>AL119</f>
        <v>1</v>
      </c>
      <c r="DB119">
        <v>0</v>
      </c>
    </row>
    <row r="120" spans="1:106" x14ac:dyDescent="0.2">
      <c r="A120">
        <f>ROW(Source!A187)</f>
        <v>187</v>
      </c>
      <c r="B120">
        <v>45037306</v>
      </c>
      <c r="C120">
        <v>45037777</v>
      </c>
      <c r="D120">
        <v>22653672</v>
      </c>
      <c r="E120">
        <v>22652947</v>
      </c>
      <c r="F120">
        <v>1</v>
      </c>
      <c r="G120">
        <v>22652947</v>
      </c>
      <c r="H120">
        <v>2</v>
      </c>
      <c r="I120" t="s">
        <v>630</v>
      </c>
      <c r="J120" t="s">
        <v>3</v>
      </c>
      <c r="K120" t="s">
        <v>631</v>
      </c>
      <c r="L120">
        <v>1344</v>
      </c>
      <c r="N120">
        <v>1008</v>
      </c>
      <c r="O120" t="s">
        <v>632</v>
      </c>
      <c r="P120" t="s">
        <v>632</v>
      </c>
      <c r="Q120">
        <v>1</v>
      </c>
      <c r="W120">
        <v>0</v>
      </c>
      <c r="X120">
        <v>-1180195794</v>
      </c>
      <c r="Y120">
        <v>285.77499999999998</v>
      </c>
      <c r="AA120">
        <v>0</v>
      </c>
      <c r="AB120">
        <v>1</v>
      </c>
      <c r="AC120">
        <v>0</v>
      </c>
      <c r="AD120">
        <v>0</v>
      </c>
      <c r="AE120">
        <v>0</v>
      </c>
      <c r="AF120">
        <v>1</v>
      </c>
      <c r="AG120">
        <v>0</v>
      </c>
      <c r="AH120">
        <v>0</v>
      </c>
      <c r="AI120">
        <v>1</v>
      </c>
      <c r="AJ120">
        <v>1</v>
      </c>
      <c r="AK120">
        <v>1</v>
      </c>
      <c r="AL120">
        <v>1</v>
      </c>
      <c r="AN120">
        <v>0</v>
      </c>
      <c r="AO120">
        <v>1</v>
      </c>
      <c r="AP120">
        <v>1</v>
      </c>
      <c r="AQ120">
        <v>0</v>
      </c>
      <c r="AR120">
        <v>0</v>
      </c>
      <c r="AS120" t="s">
        <v>3</v>
      </c>
      <c r="AT120">
        <v>228.62</v>
      </c>
      <c r="AU120" t="s">
        <v>36</v>
      </c>
      <c r="AV120">
        <v>0</v>
      </c>
      <c r="AW120">
        <v>2</v>
      </c>
      <c r="AX120">
        <v>45038547</v>
      </c>
      <c r="AY120">
        <v>1</v>
      </c>
      <c r="AZ120">
        <v>0</v>
      </c>
      <c r="BA120">
        <v>120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CX120">
        <f>Y120*Source!I187</f>
        <v>14.574524999999998</v>
      </c>
      <c r="CY120">
        <f>AB120</f>
        <v>1</v>
      </c>
      <c r="CZ120">
        <f>AF120</f>
        <v>1</v>
      </c>
      <c r="DA120">
        <f>AJ120</f>
        <v>1</v>
      </c>
      <c r="DB120">
        <v>0</v>
      </c>
    </row>
    <row r="121" spans="1:106" x14ac:dyDescent="0.2">
      <c r="A121">
        <f>ROW(Source!A187)</f>
        <v>187</v>
      </c>
      <c r="B121">
        <v>45037306</v>
      </c>
      <c r="C121">
        <v>45037777</v>
      </c>
      <c r="D121">
        <v>22719478</v>
      </c>
      <c r="E121">
        <v>1</v>
      </c>
      <c r="F121">
        <v>1</v>
      </c>
      <c r="G121">
        <v>22652947</v>
      </c>
      <c r="H121">
        <v>3</v>
      </c>
      <c r="I121" t="s">
        <v>214</v>
      </c>
      <c r="J121" t="s">
        <v>216</v>
      </c>
      <c r="K121" t="s">
        <v>215</v>
      </c>
      <c r="L121">
        <v>1339</v>
      </c>
      <c r="N121">
        <v>1007</v>
      </c>
      <c r="O121" t="s">
        <v>80</v>
      </c>
      <c r="P121" t="s">
        <v>80</v>
      </c>
      <c r="Q121">
        <v>1</v>
      </c>
      <c r="W121">
        <v>0</v>
      </c>
      <c r="X121">
        <v>-1161195218</v>
      </c>
      <c r="Y121">
        <v>2.11</v>
      </c>
      <c r="AA121">
        <v>478.96</v>
      </c>
      <c r="AB121">
        <v>0</v>
      </c>
      <c r="AC121">
        <v>0</v>
      </c>
      <c r="AD121">
        <v>0</v>
      </c>
      <c r="AE121">
        <v>478.96</v>
      </c>
      <c r="AF121">
        <v>0</v>
      </c>
      <c r="AG121">
        <v>0</v>
      </c>
      <c r="AH121">
        <v>0</v>
      </c>
      <c r="AI121">
        <v>1</v>
      </c>
      <c r="AJ121">
        <v>1</v>
      </c>
      <c r="AK121">
        <v>1</v>
      </c>
      <c r="AL121">
        <v>1</v>
      </c>
      <c r="AN121">
        <v>0</v>
      </c>
      <c r="AO121">
        <v>1</v>
      </c>
      <c r="AP121">
        <v>0</v>
      </c>
      <c r="AQ121">
        <v>0</v>
      </c>
      <c r="AR121">
        <v>0</v>
      </c>
      <c r="AS121" t="s">
        <v>3</v>
      </c>
      <c r="AT121">
        <v>2.11</v>
      </c>
      <c r="AU121" t="s">
        <v>3</v>
      </c>
      <c r="AV121">
        <v>0</v>
      </c>
      <c r="AW121">
        <v>2</v>
      </c>
      <c r="AX121">
        <v>45038548</v>
      </c>
      <c r="AY121">
        <v>1</v>
      </c>
      <c r="AZ121">
        <v>0</v>
      </c>
      <c r="BA121">
        <v>121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CX121">
        <f>Y121*Source!I187</f>
        <v>0.10760999999999998</v>
      </c>
      <c r="CY121">
        <f>AA121</f>
        <v>478.96</v>
      </c>
      <c r="CZ121">
        <f>AE121</f>
        <v>478.96</v>
      </c>
      <c r="DA121">
        <f>AI121</f>
        <v>1</v>
      </c>
      <c r="DB121">
        <v>0</v>
      </c>
    </row>
    <row r="122" spans="1:106" x14ac:dyDescent="0.2">
      <c r="A122">
        <f>ROW(Source!A187)</f>
        <v>187</v>
      </c>
      <c r="B122">
        <v>45037306</v>
      </c>
      <c r="C122">
        <v>45037777</v>
      </c>
      <c r="D122">
        <v>22720235</v>
      </c>
      <c r="E122">
        <v>1</v>
      </c>
      <c r="F122">
        <v>1</v>
      </c>
      <c r="G122">
        <v>22652947</v>
      </c>
      <c r="H122">
        <v>3</v>
      </c>
      <c r="I122" t="s">
        <v>224</v>
      </c>
      <c r="J122" t="s">
        <v>226</v>
      </c>
      <c r="K122" t="s">
        <v>225</v>
      </c>
      <c r="L122">
        <v>1327</v>
      </c>
      <c r="N122">
        <v>1005</v>
      </c>
      <c r="O122" t="s">
        <v>101</v>
      </c>
      <c r="P122" t="s">
        <v>101</v>
      </c>
      <c r="Q122">
        <v>1</v>
      </c>
      <c r="W122">
        <v>0</v>
      </c>
      <c r="X122">
        <v>1313026270</v>
      </c>
      <c r="Y122">
        <v>102</v>
      </c>
      <c r="AA122">
        <v>117.94</v>
      </c>
      <c r="AB122">
        <v>0</v>
      </c>
      <c r="AC122">
        <v>0</v>
      </c>
      <c r="AD122">
        <v>0</v>
      </c>
      <c r="AE122">
        <v>117.94</v>
      </c>
      <c r="AF122">
        <v>0</v>
      </c>
      <c r="AG122">
        <v>0</v>
      </c>
      <c r="AH122">
        <v>0</v>
      </c>
      <c r="AI122">
        <v>1</v>
      </c>
      <c r="AJ122">
        <v>1</v>
      </c>
      <c r="AK122">
        <v>1</v>
      </c>
      <c r="AL122">
        <v>1</v>
      </c>
      <c r="AN122">
        <v>0</v>
      </c>
      <c r="AO122">
        <v>0</v>
      </c>
      <c r="AP122">
        <v>0</v>
      </c>
      <c r="AQ122">
        <v>0</v>
      </c>
      <c r="AR122">
        <v>0</v>
      </c>
      <c r="AS122" t="s">
        <v>3</v>
      </c>
      <c r="AT122">
        <v>102</v>
      </c>
      <c r="AU122" t="s">
        <v>3</v>
      </c>
      <c r="AV122">
        <v>0</v>
      </c>
      <c r="AW122">
        <v>1</v>
      </c>
      <c r="AX122">
        <v>-1</v>
      </c>
      <c r="AY122">
        <v>0</v>
      </c>
      <c r="AZ122">
        <v>0</v>
      </c>
      <c r="BA122" t="s">
        <v>3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CX122">
        <f>Y122*Source!I187</f>
        <v>5.202</v>
      </c>
      <c r="CY122">
        <f>AA122</f>
        <v>117.94</v>
      </c>
      <c r="CZ122">
        <f>AE122</f>
        <v>117.94</v>
      </c>
      <c r="DA122">
        <f>AI122</f>
        <v>1</v>
      </c>
      <c r="DB122">
        <v>0</v>
      </c>
    </row>
    <row r="123" spans="1:106" x14ac:dyDescent="0.2">
      <c r="A123">
        <f>ROW(Source!A187)</f>
        <v>187</v>
      </c>
      <c r="B123">
        <v>45037306</v>
      </c>
      <c r="C123">
        <v>45037777</v>
      </c>
      <c r="D123">
        <v>22674651</v>
      </c>
      <c r="E123">
        <v>22652947</v>
      </c>
      <c r="F123">
        <v>1</v>
      </c>
      <c r="G123">
        <v>22652947</v>
      </c>
      <c r="H123">
        <v>3</v>
      </c>
      <c r="I123" t="s">
        <v>675</v>
      </c>
      <c r="J123" t="s">
        <v>3</v>
      </c>
      <c r="K123" t="s">
        <v>676</v>
      </c>
      <c r="L123">
        <v>1344</v>
      </c>
      <c r="N123">
        <v>1008</v>
      </c>
      <c r="O123" t="s">
        <v>632</v>
      </c>
      <c r="P123" t="s">
        <v>632</v>
      </c>
      <c r="Q123">
        <v>1</v>
      </c>
      <c r="W123">
        <v>0</v>
      </c>
      <c r="X123">
        <v>-94250534</v>
      </c>
      <c r="Y123">
        <v>5.67</v>
      </c>
      <c r="AA123">
        <v>1</v>
      </c>
      <c r="AB123">
        <v>0</v>
      </c>
      <c r="AC123">
        <v>0</v>
      </c>
      <c r="AD123">
        <v>0</v>
      </c>
      <c r="AE123">
        <v>1</v>
      </c>
      <c r="AF123">
        <v>0</v>
      </c>
      <c r="AG123">
        <v>0</v>
      </c>
      <c r="AH123">
        <v>0</v>
      </c>
      <c r="AI123">
        <v>1</v>
      </c>
      <c r="AJ123">
        <v>1</v>
      </c>
      <c r="AK123">
        <v>1</v>
      </c>
      <c r="AL123">
        <v>1</v>
      </c>
      <c r="AN123">
        <v>0</v>
      </c>
      <c r="AO123">
        <v>1</v>
      </c>
      <c r="AP123">
        <v>0</v>
      </c>
      <c r="AQ123">
        <v>0</v>
      </c>
      <c r="AR123">
        <v>0</v>
      </c>
      <c r="AS123" t="s">
        <v>3</v>
      </c>
      <c r="AT123">
        <v>5.67</v>
      </c>
      <c r="AU123" t="s">
        <v>3</v>
      </c>
      <c r="AV123">
        <v>0</v>
      </c>
      <c r="AW123">
        <v>2</v>
      </c>
      <c r="AX123">
        <v>45038550</v>
      </c>
      <c r="AY123">
        <v>1</v>
      </c>
      <c r="AZ123">
        <v>0</v>
      </c>
      <c r="BA123">
        <v>123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CX123">
        <f>Y123*Source!I187</f>
        <v>0.28916999999999998</v>
      </c>
      <c r="CY123">
        <f>AA123</f>
        <v>1</v>
      </c>
      <c r="CZ123">
        <f>AE123</f>
        <v>1</v>
      </c>
      <c r="DA123">
        <f>AI123</f>
        <v>1</v>
      </c>
      <c r="DB123">
        <v>0</v>
      </c>
    </row>
    <row r="124" spans="1:106" x14ac:dyDescent="0.2">
      <c r="A124">
        <f>ROW(Source!A188)</f>
        <v>188</v>
      </c>
      <c r="B124">
        <v>45037307</v>
      </c>
      <c r="C124">
        <v>45037777</v>
      </c>
      <c r="D124">
        <v>22652952</v>
      </c>
      <c r="E124">
        <v>22652947</v>
      </c>
      <c r="F124">
        <v>1</v>
      </c>
      <c r="G124">
        <v>22652947</v>
      </c>
      <c r="H124">
        <v>1</v>
      </c>
      <c r="I124" t="s">
        <v>617</v>
      </c>
      <c r="J124" t="s">
        <v>3</v>
      </c>
      <c r="K124" t="s">
        <v>618</v>
      </c>
      <c r="L124">
        <v>1191</v>
      </c>
      <c r="N124">
        <v>1013</v>
      </c>
      <c r="O124" t="s">
        <v>619</v>
      </c>
      <c r="P124" t="s">
        <v>619</v>
      </c>
      <c r="Q124">
        <v>1</v>
      </c>
      <c r="W124">
        <v>0</v>
      </c>
      <c r="X124">
        <v>476480486</v>
      </c>
      <c r="Y124">
        <v>83.489999999999981</v>
      </c>
      <c r="AA124">
        <v>0</v>
      </c>
      <c r="AB124">
        <v>0</v>
      </c>
      <c r="AC124">
        <v>0</v>
      </c>
      <c r="AD124">
        <v>0</v>
      </c>
      <c r="AE124">
        <v>0</v>
      </c>
      <c r="AF124">
        <v>0</v>
      </c>
      <c r="AG124">
        <v>0</v>
      </c>
      <c r="AH124">
        <v>0</v>
      </c>
      <c r="AI124">
        <v>1</v>
      </c>
      <c r="AJ124">
        <v>1</v>
      </c>
      <c r="AK124">
        <v>1</v>
      </c>
      <c r="AL124">
        <v>1</v>
      </c>
      <c r="AN124">
        <v>0</v>
      </c>
      <c r="AO124">
        <v>1</v>
      </c>
      <c r="AP124">
        <v>1</v>
      </c>
      <c r="AQ124">
        <v>0</v>
      </c>
      <c r="AR124">
        <v>0</v>
      </c>
      <c r="AS124" t="s">
        <v>3</v>
      </c>
      <c r="AT124">
        <v>72.599999999999994</v>
      </c>
      <c r="AU124" t="s">
        <v>37</v>
      </c>
      <c r="AV124">
        <v>1</v>
      </c>
      <c r="AW124">
        <v>2</v>
      </c>
      <c r="AX124">
        <v>45038546</v>
      </c>
      <c r="AY124">
        <v>1</v>
      </c>
      <c r="AZ124">
        <v>0</v>
      </c>
      <c r="BA124">
        <v>124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CX124">
        <f>Y124*Source!I188</f>
        <v>4.2579899999999986</v>
      </c>
      <c r="CY124">
        <f>AD124</f>
        <v>0</v>
      </c>
      <c r="CZ124">
        <f>AH124</f>
        <v>0</v>
      </c>
      <c r="DA124">
        <f>AL124</f>
        <v>1</v>
      </c>
      <c r="DB124">
        <v>0</v>
      </c>
    </row>
    <row r="125" spans="1:106" x14ac:dyDescent="0.2">
      <c r="A125">
        <f>ROW(Source!A188)</f>
        <v>188</v>
      </c>
      <c r="B125">
        <v>45037307</v>
      </c>
      <c r="C125">
        <v>45037777</v>
      </c>
      <c r="D125">
        <v>22653672</v>
      </c>
      <c r="E125">
        <v>22652947</v>
      </c>
      <c r="F125">
        <v>1</v>
      </c>
      <c r="G125">
        <v>22652947</v>
      </c>
      <c r="H125">
        <v>2</v>
      </c>
      <c r="I125" t="s">
        <v>630</v>
      </c>
      <c r="J125" t="s">
        <v>3</v>
      </c>
      <c r="K125" t="s">
        <v>631</v>
      </c>
      <c r="L125">
        <v>1344</v>
      </c>
      <c r="N125">
        <v>1008</v>
      </c>
      <c r="O125" t="s">
        <v>632</v>
      </c>
      <c r="P125" t="s">
        <v>632</v>
      </c>
      <c r="Q125">
        <v>1</v>
      </c>
      <c r="W125">
        <v>0</v>
      </c>
      <c r="X125">
        <v>-1180195794</v>
      </c>
      <c r="Y125">
        <v>285.77499999999998</v>
      </c>
      <c r="AA125">
        <v>0</v>
      </c>
      <c r="AB125">
        <v>1</v>
      </c>
      <c r="AC125">
        <v>0</v>
      </c>
      <c r="AD125">
        <v>0</v>
      </c>
      <c r="AE125">
        <v>0</v>
      </c>
      <c r="AF125">
        <v>1</v>
      </c>
      <c r="AG125">
        <v>0</v>
      </c>
      <c r="AH125">
        <v>0</v>
      </c>
      <c r="AI125">
        <v>1</v>
      </c>
      <c r="AJ125">
        <v>1</v>
      </c>
      <c r="AK125">
        <v>1</v>
      </c>
      <c r="AL125">
        <v>1</v>
      </c>
      <c r="AN125">
        <v>0</v>
      </c>
      <c r="AO125">
        <v>1</v>
      </c>
      <c r="AP125">
        <v>1</v>
      </c>
      <c r="AQ125">
        <v>0</v>
      </c>
      <c r="AR125">
        <v>0</v>
      </c>
      <c r="AS125" t="s">
        <v>3</v>
      </c>
      <c r="AT125">
        <v>228.62</v>
      </c>
      <c r="AU125" t="s">
        <v>36</v>
      </c>
      <c r="AV125">
        <v>0</v>
      </c>
      <c r="AW125">
        <v>2</v>
      </c>
      <c r="AX125">
        <v>45038547</v>
      </c>
      <c r="AY125">
        <v>1</v>
      </c>
      <c r="AZ125">
        <v>0</v>
      </c>
      <c r="BA125">
        <v>125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CX125">
        <f>Y125*Source!I188</f>
        <v>14.574524999999998</v>
      </c>
      <c r="CY125">
        <f>AB125</f>
        <v>1</v>
      </c>
      <c r="CZ125">
        <f>AF125</f>
        <v>1</v>
      </c>
      <c r="DA125">
        <f>AJ125</f>
        <v>1</v>
      </c>
      <c r="DB125">
        <v>0</v>
      </c>
    </row>
    <row r="126" spans="1:106" x14ac:dyDescent="0.2">
      <c r="A126">
        <f>ROW(Source!A188)</f>
        <v>188</v>
      </c>
      <c r="B126">
        <v>45037307</v>
      </c>
      <c r="C126">
        <v>45037777</v>
      </c>
      <c r="D126">
        <v>22719478</v>
      </c>
      <c r="E126">
        <v>1</v>
      </c>
      <c r="F126">
        <v>1</v>
      </c>
      <c r="G126">
        <v>22652947</v>
      </c>
      <c r="H126">
        <v>3</v>
      </c>
      <c r="I126" t="s">
        <v>214</v>
      </c>
      <c r="J126" t="s">
        <v>216</v>
      </c>
      <c r="K126" t="s">
        <v>215</v>
      </c>
      <c r="L126">
        <v>1339</v>
      </c>
      <c r="N126">
        <v>1007</v>
      </c>
      <c r="O126" t="s">
        <v>80</v>
      </c>
      <c r="P126" t="s">
        <v>80</v>
      </c>
      <c r="Q126">
        <v>1</v>
      </c>
      <c r="W126">
        <v>0</v>
      </c>
      <c r="X126">
        <v>-1161195218</v>
      </c>
      <c r="Y126">
        <v>2.11</v>
      </c>
      <c r="AA126">
        <v>2912.08</v>
      </c>
      <c r="AB126">
        <v>0</v>
      </c>
      <c r="AC126">
        <v>0</v>
      </c>
      <c r="AD126">
        <v>0</v>
      </c>
      <c r="AE126">
        <v>478.96</v>
      </c>
      <c r="AF126">
        <v>0</v>
      </c>
      <c r="AG126">
        <v>0</v>
      </c>
      <c r="AH126">
        <v>0</v>
      </c>
      <c r="AI126">
        <v>6.08</v>
      </c>
      <c r="AJ126">
        <v>1</v>
      </c>
      <c r="AK126">
        <v>1</v>
      </c>
      <c r="AL126">
        <v>1</v>
      </c>
      <c r="AN126">
        <v>0</v>
      </c>
      <c r="AO126">
        <v>1</v>
      </c>
      <c r="AP126">
        <v>0</v>
      </c>
      <c r="AQ126">
        <v>0</v>
      </c>
      <c r="AR126">
        <v>0</v>
      </c>
      <c r="AS126" t="s">
        <v>3</v>
      </c>
      <c r="AT126">
        <v>2.11</v>
      </c>
      <c r="AU126" t="s">
        <v>3</v>
      </c>
      <c r="AV126">
        <v>0</v>
      </c>
      <c r="AW126">
        <v>2</v>
      </c>
      <c r="AX126">
        <v>45038548</v>
      </c>
      <c r="AY126">
        <v>1</v>
      </c>
      <c r="AZ126">
        <v>0</v>
      </c>
      <c r="BA126">
        <v>126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CX126">
        <f>Y126*Source!I188</f>
        <v>0.10760999999999998</v>
      </c>
      <c r="CY126">
        <f>AA126</f>
        <v>2912.08</v>
      </c>
      <c r="CZ126">
        <f>AE126</f>
        <v>478.96</v>
      </c>
      <c r="DA126">
        <f>AI126</f>
        <v>6.08</v>
      </c>
      <c r="DB126">
        <v>0</v>
      </c>
    </row>
    <row r="127" spans="1:106" x14ac:dyDescent="0.2">
      <c r="A127">
        <f>ROW(Source!A188)</f>
        <v>188</v>
      </c>
      <c r="B127">
        <v>45037307</v>
      </c>
      <c r="C127">
        <v>45037777</v>
      </c>
      <c r="D127">
        <v>22720235</v>
      </c>
      <c r="E127">
        <v>1</v>
      </c>
      <c r="F127">
        <v>1</v>
      </c>
      <c r="G127">
        <v>22652947</v>
      </c>
      <c r="H127">
        <v>3</v>
      </c>
      <c r="I127" t="s">
        <v>224</v>
      </c>
      <c r="J127" t="s">
        <v>226</v>
      </c>
      <c r="K127" t="s">
        <v>225</v>
      </c>
      <c r="L127">
        <v>1327</v>
      </c>
      <c r="N127">
        <v>1005</v>
      </c>
      <c r="O127" t="s">
        <v>101</v>
      </c>
      <c r="P127" t="s">
        <v>101</v>
      </c>
      <c r="Q127">
        <v>1</v>
      </c>
      <c r="W127">
        <v>0</v>
      </c>
      <c r="X127">
        <v>1313026270</v>
      </c>
      <c r="Y127">
        <v>102</v>
      </c>
      <c r="AA127">
        <v>459.97</v>
      </c>
      <c r="AB127">
        <v>0</v>
      </c>
      <c r="AC127">
        <v>0</v>
      </c>
      <c r="AD127">
        <v>0</v>
      </c>
      <c r="AE127">
        <v>117.94</v>
      </c>
      <c r="AF127">
        <v>0</v>
      </c>
      <c r="AG127">
        <v>0</v>
      </c>
      <c r="AH127">
        <v>0</v>
      </c>
      <c r="AI127">
        <v>3.9</v>
      </c>
      <c r="AJ127">
        <v>1</v>
      </c>
      <c r="AK127">
        <v>1</v>
      </c>
      <c r="AL127">
        <v>1</v>
      </c>
      <c r="AN127">
        <v>0</v>
      </c>
      <c r="AO127">
        <v>0</v>
      </c>
      <c r="AP127">
        <v>0</v>
      </c>
      <c r="AQ127">
        <v>0</v>
      </c>
      <c r="AR127">
        <v>0</v>
      </c>
      <c r="AS127" t="s">
        <v>3</v>
      </c>
      <c r="AT127">
        <v>102</v>
      </c>
      <c r="AU127" t="s">
        <v>3</v>
      </c>
      <c r="AV127">
        <v>0</v>
      </c>
      <c r="AW127">
        <v>1</v>
      </c>
      <c r="AX127">
        <v>-1</v>
      </c>
      <c r="AY127">
        <v>0</v>
      </c>
      <c r="AZ127">
        <v>0</v>
      </c>
      <c r="BA127" t="s">
        <v>3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CX127">
        <f>Y127*Source!I188</f>
        <v>5.202</v>
      </c>
      <c r="CY127">
        <f>AA127</f>
        <v>459.97</v>
      </c>
      <c r="CZ127">
        <f>AE127</f>
        <v>117.94</v>
      </c>
      <c r="DA127">
        <f>AI127</f>
        <v>3.9</v>
      </c>
      <c r="DB127">
        <v>0</v>
      </c>
    </row>
    <row r="128" spans="1:106" x14ac:dyDescent="0.2">
      <c r="A128">
        <f>ROW(Source!A188)</f>
        <v>188</v>
      </c>
      <c r="B128">
        <v>45037307</v>
      </c>
      <c r="C128">
        <v>45037777</v>
      </c>
      <c r="D128">
        <v>22674651</v>
      </c>
      <c r="E128">
        <v>22652947</v>
      </c>
      <c r="F128">
        <v>1</v>
      </c>
      <c r="G128">
        <v>22652947</v>
      </c>
      <c r="H128">
        <v>3</v>
      </c>
      <c r="I128" t="s">
        <v>675</v>
      </c>
      <c r="J128" t="s">
        <v>3</v>
      </c>
      <c r="K128" t="s">
        <v>676</v>
      </c>
      <c r="L128">
        <v>1344</v>
      </c>
      <c r="N128">
        <v>1008</v>
      </c>
      <c r="O128" t="s">
        <v>632</v>
      </c>
      <c r="P128" t="s">
        <v>632</v>
      </c>
      <c r="Q128">
        <v>1</v>
      </c>
      <c r="W128">
        <v>0</v>
      </c>
      <c r="X128">
        <v>-94250534</v>
      </c>
      <c r="Y128">
        <v>5.67</v>
      </c>
      <c r="AA128">
        <v>1</v>
      </c>
      <c r="AB128">
        <v>0</v>
      </c>
      <c r="AC128">
        <v>0</v>
      </c>
      <c r="AD128">
        <v>0</v>
      </c>
      <c r="AE128">
        <v>1</v>
      </c>
      <c r="AF128">
        <v>0</v>
      </c>
      <c r="AG128">
        <v>0</v>
      </c>
      <c r="AH128">
        <v>0</v>
      </c>
      <c r="AI128">
        <v>1</v>
      </c>
      <c r="AJ128">
        <v>1</v>
      </c>
      <c r="AK128">
        <v>1</v>
      </c>
      <c r="AL128">
        <v>1</v>
      </c>
      <c r="AN128">
        <v>0</v>
      </c>
      <c r="AO128">
        <v>1</v>
      </c>
      <c r="AP128">
        <v>0</v>
      </c>
      <c r="AQ128">
        <v>0</v>
      </c>
      <c r="AR128">
        <v>0</v>
      </c>
      <c r="AS128" t="s">
        <v>3</v>
      </c>
      <c r="AT128">
        <v>5.67</v>
      </c>
      <c r="AU128" t="s">
        <v>3</v>
      </c>
      <c r="AV128">
        <v>0</v>
      </c>
      <c r="AW128">
        <v>2</v>
      </c>
      <c r="AX128">
        <v>45038550</v>
      </c>
      <c r="AY128">
        <v>1</v>
      </c>
      <c r="AZ128">
        <v>0</v>
      </c>
      <c r="BA128">
        <v>128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CX128">
        <f>Y128*Source!I188</f>
        <v>0.28916999999999998</v>
      </c>
      <c r="CY128">
        <f>AA128</f>
        <v>1</v>
      </c>
      <c r="CZ128">
        <f>AE128</f>
        <v>1</v>
      </c>
      <c r="DA128">
        <f>AI128</f>
        <v>1</v>
      </c>
      <c r="DB128">
        <v>0</v>
      </c>
    </row>
    <row r="129" spans="1:106" x14ac:dyDescent="0.2">
      <c r="A129">
        <f>ROW(Source!A191)</f>
        <v>191</v>
      </c>
      <c r="B129">
        <v>45037306</v>
      </c>
      <c r="C129">
        <v>45037789</v>
      </c>
      <c r="D129">
        <v>22652952</v>
      </c>
      <c r="E129">
        <v>22652947</v>
      </c>
      <c r="F129">
        <v>1</v>
      </c>
      <c r="G129">
        <v>22652947</v>
      </c>
      <c r="H129">
        <v>1</v>
      </c>
      <c r="I129" t="s">
        <v>617</v>
      </c>
      <c r="J129" t="s">
        <v>3</v>
      </c>
      <c r="K129" t="s">
        <v>618</v>
      </c>
      <c r="L129">
        <v>1191</v>
      </c>
      <c r="N129">
        <v>1013</v>
      </c>
      <c r="O129" t="s">
        <v>619</v>
      </c>
      <c r="P129" t="s">
        <v>619</v>
      </c>
      <c r="Q129">
        <v>1</v>
      </c>
      <c r="W129">
        <v>0</v>
      </c>
      <c r="X129">
        <v>476480486</v>
      </c>
      <c r="Y129">
        <v>96.691999999999993</v>
      </c>
      <c r="AA129">
        <v>0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1</v>
      </c>
      <c r="AJ129">
        <v>1</v>
      </c>
      <c r="AK129">
        <v>1</v>
      </c>
      <c r="AL129">
        <v>1</v>
      </c>
      <c r="AN129">
        <v>0</v>
      </c>
      <c r="AO129">
        <v>1</v>
      </c>
      <c r="AP129">
        <v>1</v>
      </c>
      <c r="AQ129">
        <v>0</v>
      </c>
      <c r="AR129">
        <v>0</v>
      </c>
      <c r="AS129" t="s">
        <v>3</v>
      </c>
      <c r="AT129">
        <v>84.08</v>
      </c>
      <c r="AU129" t="s">
        <v>37</v>
      </c>
      <c r="AV129">
        <v>1</v>
      </c>
      <c r="AW129">
        <v>2</v>
      </c>
      <c r="AX129">
        <v>45038551</v>
      </c>
      <c r="AY129">
        <v>1</v>
      </c>
      <c r="AZ129">
        <v>0</v>
      </c>
      <c r="BA129">
        <v>129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CX129">
        <f>Y129*Source!I191</f>
        <v>1.7404559999999998</v>
      </c>
      <c r="CY129">
        <f>AD129</f>
        <v>0</v>
      </c>
      <c r="CZ129">
        <f>AH129</f>
        <v>0</v>
      </c>
      <c r="DA129">
        <f>AL129</f>
        <v>1</v>
      </c>
      <c r="DB129">
        <v>0</v>
      </c>
    </row>
    <row r="130" spans="1:106" x14ac:dyDescent="0.2">
      <c r="A130">
        <f>ROW(Source!A191)</f>
        <v>191</v>
      </c>
      <c r="B130">
        <v>45037306</v>
      </c>
      <c r="C130">
        <v>45037789</v>
      </c>
      <c r="D130">
        <v>22725894</v>
      </c>
      <c r="E130">
        <v>1</v>
      </c>
      <c r="F130">
        <v>1</v>
      </c>
      <c r="G130">
        <v>22652947</v>
      </c>
      <c r="H130">
        <v>2</v>
      </c>
      <c r="I130" t="s">
        <v>686</v>
      </c>
      <c r="J130" t="s">
        <v>687</v>
      </c>
      <c r="K130" t="s">
        <v>688</v>
      </c>
      <c r="L130">
        <v>1367</v>
      </c>
      <c r="N130">
        <v>1011</v>
      </c>
      <c r="O130" t="s">
        <v>623</v>
      </c>
      <c r="P130" t="s">
        <v>623</v>
      </c>
      <c r="Q130">
        <v>1</v>
      </c>
      <c r="W130">
        <v>0</v>
      </c>
      <c r="X130">
        <v>950854334</v>
      </c>
      <c r="Y130">
        <v>33.862499999999997</v>
      </c>
      <c r="AA130">
        <v>0</v>
      </c>
      <c r="AB130">
        <v>2.36</v>
      </c>
      <c r="AC130">
        <v>0.1</v>
      </c>
      <c r="AD130">
        <v>0</v>
      </c>
      <c r="AE130">
        <v>0</v>
      </c>
      <c r="AF130">
        <v>2.36</v>
      </c>
      <c r="AG130">
        <v>0.1</v>
      </c>
      <c r="AH130">
        <v>0</v>
      </c>
      <c r="AI130">
        <v>1</v>
      </c>
      <c r="AJ130">
        <v>1</v>
      </c>
      <c r="AK130">
        <v>1</v>
      </c>
      <c r="AL130">
        <v>1</v>
      </c>
      <c r="AN130">
        <v>0</v>
      </c>
      <c r="AO130">
        <v>1</v>
      </c>
      <c r="AP130">
        <v>1</v>
      </c>
      <c r="AQ130">
        <v>0</v>
      </c>
      <c r="AR130">
        <v>0</v>
      </c>
      <c r="AS130" t="s">
        <v>3</v>
      </c>
      <c r="AT130">
        <v>27.09</v>
      </c>
      <c r="AU130" t="s">
        <v>36</v>
      </c>
      <c r="AV130">
        <v>0</v>
      </c>
      <c r="AW130">
        <v>2</v>
      </c>
      <c r="AX130">
        <v>45038552</v>
      </c>
      <c r="AY130">
        <v>1</v>
      </c>
      <c r="AZ130">
        <v>0</v>
      </c>
      <c r="BA130">
        <v>130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CX130">
        <f>Y130*Source!I191</f>
        <v>0.60952499999999987</v>
      </c>
      <c r="CY130">
        <f>AB130</f>
        <v>2.36</v>
      </c>
      <c r="CZ130">
        <f>AF130</f>
        <v>2.36</v>
      </c>
      <c r="DA130">
        <f>AJ130</f>
        <v>1</v>
      </c>
      <c r="DB130">
        <v>0</v>
      </c>
    </row>
    <row r="131" spans="1:106" x14ac:dyDescent="0.2">
      <c r="A131">
        <f>ROW(Source!A191)</f>
        <v>191</v>
      </c>
      <c r="B131">
        <v>45037306</v>
      </c>
      <c r="C131">
        <v>45037789</v>
      </c>
      <c r="D131">
        <v>22725956</v>
      </c>
      <c r="E131">
        <v>1</v>
      </c>
      <c r="F131">
        <v>1</v>
      </c>
      <c r="G131">
        <v>22652947</v>
      </c>
      <c r="H131">
        <v>2</v>
      </c>
      <c r="I131" t="s">
        <v>689</v>
      </c>
      <c r="J131" t="s">
        <v>690</v>
      </c>
      <c r="K131" t="s">
        <v>691</v>
      </c>
      <c r="L131">
        <v>1367</v>
      </c>
      <c r="N131">
        <v>1011</v>
      </c>
      <c r="O131" t="s">
        <v>623</v>
      </c>
      <c r="P131" t="s">
        <v>623</v>
      </c>
      <c r="Q131">
        <v>1</v>
      </c>
      <c r="W131">
        <v>0</v>
      </c>
      <c r="X131">
        <v>-1931009994</v>
      </c>
      <c r="Y131">
        <v>0.38750000000000001</v>
      </c>
      <c r="AA131">
        <v>0</v>
      </c>
      <c r="AB131">
        <v>31.85</v>
      </c>
      <c r="AC131">
        <v>14.89</v>
      </c>
      <c r="AD131">
        <v>0</v>
      </c>
      <c r="AE131">
        <v>0</v>
      </c>
      <c r="AF131">
        <v>31.85</v>
      </c>
      <c r="AG131">
        <v>14.89</v>
      </c>
      <c r="AH131">
        <v>0</v>
      </c>
      <c r="AI131">
        <v>1</v>
      </c>
      <c r="AJ131">
        <v>1</v>
      </c>
      <c r="AK131">
        <v>1</v>
      </c>
      <c r="AL131">
        <v>1</v>
      </c>
      <c r="AN131">
        <v>0</v>
      </c>
      <c r="AO131">
        <v>1</v>
      </c>
      <c r="AP131">
        <v>1</v>
      </c>
      <c r="AQ131">
        <v>0</v>
      </c>
      <c r="AR131">
        <v>0</v>
      </c>
      <c r="AS131" t="s">
        <v>3</v>
      </c>
      <c r="AT131">
        <v>0.31</v>
      </c>
      <c r="AU131" t="s">
        <v>36</v>
      </c>
      <c r="AV131">
        <v>0</v>
      </c>
      <c r="AW131">
        <v>2</v>
      </c>
      <c r="AX131">
        <v>45038553</v>
      </c>
      <c r="AY131">
        <v>1</v>
      </c>
      <c r="AZ131">
        <v>0</v>
      </c>
      <c r="BA131">
        <v>131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CX131">
        <f>Y131*Source!I191</f>
        <v>6.9749999999999994E-3</v>
      </c>
      <c r="CY131">
        <f>AB131</f>
        <v>31.85</v>
      </c>
      <c r="CZ131">
        <f>AF131</f>
        <v>31.85</v>
      </c>
      <c r="DA131">
        <f>AJ131</f>
        <v>1</v>
      </c>
      <c r="DB131">
        <v>0</v>
      </c>
    </row>
    <row r="132" spans="1:106" x14ac:dyDescent="0.2">
      <c r="A132">
        <f>ROW(Source!A191)</f>
        <v>191</v>
      </c>
      <c r="B132">
        <v>45037306</v>
      </c>
      <c r="C132">
        <v>45037789</v>
      </c>
      <c r="D132">
        <v>22653672</v>
      </c>
      <c r="E132">
        <v>22652947</v>
      </c>
      <c r="F132">
        <v>1</v>
      </c>
      <c r="G132">
        <v>22652947</v>
      </c>
      <c r="H132">
        <v>2</v>
      </c>
      <c r="I132" t="s">
        <v>630</v>
      </c>
      <c r="J132" t="s">
        <v>3</v>
      </c>
      <c r="K132" t="s">
        <v>631</v>
      </c>
      <c r="L132">
        <v>1344</v>
      </c>
      <c r="N132">
        <v>1008</v>
      </c>
      <c r="O132" t="s">
        <v>632</v>
      </c>
      <c r="P132" t="s">
        <v>632</v>
      </c>
      <c r="Q132">
        <v>1</v>
      </c>
      <c r="W132">
        <v>0</v>
      </c>
      <c r="X132">
        <v>-1180195794</v>
      </c>
      <c r="Y132">
        <v>32.450000000000003</v>
      </c>
      <c r="AA132">
        <v>0</v>
      </c>
      <c r="AB132">
        <v>1</v>
      </c>
      <c r="AC132">
        <v>0</v>
      </c>
      <c r="AD132">
        <v>0</v>
      </c>
      <c r="AE132">
        <v>0</v>
      </c>
      <c r="AF132">
        <v>1</v>
      </c>
      <c r="AG132">
        <v>0</v>
      </c>
      <c r="AH132">
        <v>0</v>
      </c>
      <c r="AI132">
        <v>1</v>
      </c>
      <c r="AJ132">
        <v>1</v>
      </c>
      <c r="AK132">
        <v>1</v>
      </c>
      <c r="AL132">
        <v>1</v>
      </c>
      <c r="AN132">
        <v>0</v>
      </c>
      <c r="AO132">
        <v>1</v>
      </c>
      <c r="AP132">
        <v>1</v>
      </c>
      <c r="AQ132">
        <v>0</v>
      </c>
      <c r="AR132">
        <v>0</v>
      </c>
      <c r="AS132" t="s">
        <v>3</v>
      </c>
      <c r="AT132">
        <v>25.96</v>
      </c>
      <c r="AU132" t="s">
        <v>36</v>
      </c>
      <c r="AV132">
        <v>0</v>
      </c>
      <c r="AW132">
        <v>2</v>
      </c>
      <c r="AX132">
        <v>45038554</v>
      </c>
      <c r="AY132">
        <v>1</v>
      </c>
      <c r="AZ132">
        <v>0</v>
      </c>
      <c r="BA132">
        <v>132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CX132">
        <f>Y132*Source!I191</f>
        <v>0.58409999999999995</v>
      </c>
      <c r="CY132">
        <f>AB132</f>
        <v>1</v>
      </c>
      <c r="CZ132">
        <f>AF132</f>
        <v>1</v>
      </c>
      <c r="DA132">
        <f>AJ132</f>
        <v>1</v>
      </c>
      <c r="DB132">
        <v>0</v>
      </c>
    </row>
    <row r="133" spans="1:106" x14ac:dyDescent="0.2">
      <c r="A133">
        <f>ROW(Source!A191)</f>
        <v>191</v>
      </c>
      <c r="B133">
        <v>45037306</v>
      </c>
      <c r="C133">
        <v>45037789</v>
      </c>
      <c r="D133">
        <v>22700967</v>
      </c>
      <c r="E133">
        <v>1</v>
      </c>
      <c r="F133">
        <v>1</v>
      </c>
      <c r="G133">
        <v>22652947</v>
      </c>
      <c r="H133">
        <v>3</v>
      </c>
      <c r="I133" t="s">
        <v>273</v>
      </c>
      <c r="J133" t="s">
        <v>275</v>
      </c>
      <c r="K133" t="s">
        <v>274</v>
      </c>
      <c r="L133">
        <v>1339</v>
      </c>
      <c r="N133">
        <v>1007</v>
      </c>
      <c r="O133" t="s">
        <v>80</v>
      </c>
      <c r="P133" t="s">
        <v>80</v>
      </c>
      <c r="Q133">
        <v>1</v>
      </c>
      <c r="W133">
        <v>0</v>
      </c>
      <c r="X133">
        <v>-862991314</v>
      </c>
      <c r="Y133">
        <v>0.13300000000000001</v>
      </c>
      <c r="AA133">
        <v>7.07</v>
      </c>
      <c r="AB133">
        <v>0</v>
      </c>
      <c r="AC133">
        <v>0</v>
      </c>
      <c r="AD133">
        <v>0</v>
      </c>
      <c r="AE133">
        <v>7.07</v>
      </c>
      <c r="AF133">
        <v>0</v>
      </c>
      <c r="AG133">
        <v>0</v>
      </c>
      <c r="AH133">
        <v>0</v>
      </c>
      <c r="AI133">
        <v>1</v>
      </c>
      <c r="AJ133">
        <v>1</v>
      </c>
      <c r="AK133">
        <v>1</v>
      </c>
      <c r="AL133">
        <v>1</v>
      </c>
      <c r="AN133">
        <v>0</v>
      </c>
      <c r="AO133">
        <v>1</v>
      </c>
      <c r="AP133">
        <v>0</v>
      </c>
      <c r="AQ133">
        <v>0</v>
      </c>
      <c r="AR133">
        <v>0</v>
      </c>
      <c r="AS133" t="s">
        <v>3</v>
      </c>
      <c r="AT133">
        <v>0.13300000000000001</v>
      </c>
      <c r="AU133" t="s">
        <v>3</v>
      </c>
      <c r="AV133">
        <v>0</v>
      </c>
      <c r="AW133">
        <v>2</v>
      </c>
      <c r="AX133">
        <v>45038555</v>
      </c>
      <c r="AY133">
        <v>1</v>
      </c>
      <c r="AZ133">
        <v>0</v>
      </c>
      <c r="BA133">
        <v>133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CX133">
        <f>Y133*Source!I191</f>
        <v>2.3939999999999999E-3</v>
      </c>
      <c r="CY133">
        <f>AA133</f>
        <v>7.07</v>
      </c>
      <c r="CZ133">
        <f>AE133</f>
        <v>7.07</v>
      </c>
      <c r="DA133">
        <f>AI133</f>
        <v>1</v>
      </c>
      <c r="DB133">
        <v>0</v>
      </c>
    </row>
    <row r="134" spans="1:106" x14ac:dyDescent="0.2">
      <c r="A134">
        <f>ROW(Source!A191)</f>
        <v>191</v>
      </c>
      <c r="B134">
        <v>45037306</v>
      </c>
      <c r="C134">
        <v>45037789</v>
      </c>
      <c r="D134">
        <v>22703018</v>
      </c>
      <c r="E134">
        <v>1</v>
      </c>
      <c r="F134">
        <v>1</v>
      </c>
      <c r="G134">
        <v>22652947</v>
      </c>
      <c r="H134">
        <v>3</v>
      </c>
      <c r="I134" t="s">
        <v>243</v>
      </c>
      <c r="J134" t="s">
        <v>245</v>
      </c>
      <c r="K134" t="s">
        <v>244</v>
      </c>
      <c r="L134">
        <v>1327</v>
      </c>
      <c r="N134">
        <v>1005</v>
      </c>
      <c r="O134" t="s">
        <v>101</v>
      </c>
      <c r="P134" t="s">
        <v>101</v>
      </c>
      <c r="Q134">
        <v>1</v>
      </c>
      <c r="W134">
        <v>0</v>
      </c>
      <c r="X134">
        <v>1213652254</v>
      </c>
      <c r="Y134">
        <v>102</v>
      </c>
      <c r="AA134">
        <v>92.02</v>
      </c>
      <c r="AB134">
        <v>0</v>
      </c>
      <c r="AC134">
        <v>0</v>
      </c>
      <c r="AD134">
        <v>0</v>
      </c>
      <c r="AE134">
        <v>92.02</v>
      </c>
      <c r="AF134">
        <v>0</v>
      </c>
      <c r="AG134">
        <v>0</v>
      </c>
      <c r="AH134">
        <v>0</v>
      </c>
      <c r="AI134">
        <v>1</v>
      </c>
      <c r="AJ134">
        <v>1</v>
      </c>
      <c r="AK134">
        <v>1</v>
      </c>
      <c r="AL134">
        <v>1</v>
      </c>
      <c r="AN134">
        <v>0</v>
      </c>
      <c r="AO134">
        <v>0</v>
      </c>
      <c r="AP134">
        <v>0</v>
      </c>
      <c r="AQ134">
        <v>0</v>
      </c>
      <c r="AR134">
        <v>0</v>
      </c>
      <c r="AS134" t="s">
        <v>3</v>
      </c>
      <c r="AT134">
        <v>102</v>
      </c>
      <c r="AU134" t="s">
        <v>3</v>
      </c>
      <c r="AV134">
        <v>0</v>
      </c>
      <c r="AW134">
        <v>1</v>
      </c>
      <c r="AX134">
        <v>-1</v>
      </c>
      <c r="AY134">
        <v>0</v>
      </c>
      <c r="AZ134">
        <v>0</v>
      </c>
      <c r="BA134" t="s">
        <v>3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CX134">
        <f>Y134*Source!I191</f>
        <v>1.8359999999999999</v>
      </c>
      <c r="CY134">
        <f>AA134</f>
        <v>92.02</v>
      </c>
      <c r="CZ134">
        <f>AE134</f>
        <v>92.02</v>
      </c>
      <c r="DA134">
        <f>AI134</f>
        <v>1</v>
      </c>
      <c r="DB134">
        <v>0</v>
      </c>
    </row>
    <row r="135" spans="1:106" x14ac:dyDescent="0.2">
      <c r="A135">
        <f>ROW(Source!A191)</f>
        <v>191</v>
      </c>
      <c r="B135">
        <v>45037306</v>
      </c>
      <c r="C135">
        <v>45037789</v>
      </c>
      <c r="D135">
        <v>22703080</v>
      </c>
      <c r="E135">
        <v>1</v>
      </c>
      <c r="F135">
        <v>1</v>
      </c>
      <c r="G135">
        <v>22652947</v>
      </c>
      <c r="H135">
        <v>3</v>
      </c>
      <c r="I135" t="s">
        <v>692</v>
      </c>
      <c r="J135" t="s">
        <v>693</v>
      </c>
      <c r="K135" t="s">
        <v>694</v>
      </c>
      <c r="L135">
        <v>1348</v>
      </c>
      <c r="N135">
        <v>1009</v>
      </c>
      <c r="O135" t="s">
        <v>29</v>
      </c>
      <c r="P135" t="s">
        <v>29</v>
      </c>
      <c r="Q135">
        <v>1000</v>
      </c>
      <c r="W135">
        <v>0</v>
      </c>
      <c r="X135">
        <v>353027985</v>
      </c>
      <c r="Y135">
        <v>0.01</v>
      </c>
      <c r="AA135">
        <v>69883.649999999994</v>
      </c>
      <c r="AB135">
        <v>0</v>
      </c>
      <c r="AC135">
        <v>0</v>
      </c>
      <c r="AD135">
        <v>0</v>
      </c>
      <c r="AE135">
        <v>69883.649999999994</v>
      </c>
      <c r="AF135">
        <v>0</v>
      </c>
      <c r="AG135">
        <v>0</v>
      </c>
      <c r="AH135">
        <v>0</v>
      </c>
      <c r="AI135">
        <v>1</v>
      </c>
      <c r="AJ135">
        <v>1</v>
      </c>
      <c r="AK135">
        <v>1</v>
      </c>
      <c r="AL135">
        <v>1</v>
      </c>
      <c r="AN135">
        <v>0</v>
      </c>
      <c r="AO135">
        <v>1</v>
      </c>
      <c r="AP135">
        <v>0</v>
      </c>
      <c r="AQ135">
        <v>0</v>
      </c>
      <c r="AR135">
        <v>0</v>
      </c>
      <c r="AS135" t="s">
        <v>3</v>
      </c>
      <c r="AT135">
        <v>0.01</v>
      </c>
      <c r="AU135" t="s">
        <v>3</v>
      </c>
      <c r="AV135">
        <v>0</v>
      </c>
      <c r="AW135">
        <v>2</v>
      </c>
      <c r="AX135">
        <v>45038556</v>
      </c>
      <c r="AY135">
        <v>1</v>
      </c>
      <c r="AZ135">
        <v>0</v>
      </c>
      <c r="BA135">
        <v>134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CX135">
        <f>Y135*Source!I191</f>
        <v>1.7999999999999998E-4</v>
      </c>
      <c r="CY135">
        <f>AA135</f>
        <v>69883.649999999994</v>
      </c>
      <c r="CZ135">
        <f>AE135</f>
        <v>69883.649999999994</v>
      </c>
      <c r="DA135">
        <f>AI135</f>
        <v>1</v>
      </c>
      <c r="DB135">
        <v>0</v>
      </c>
    </row>
    <row r="136" spans="1:106" x14ac:dyDescent="0.2">
      <c r="A136">
        <f>ROW(Source!A191)</f>
        <v>191</v>
      </c>
      <c r="B136">
        <v>45037306</v>
      </c>
      <c r="C136">
        <v>45037789</v>
      </c>
      <c r="D136">
        <v>22719573</v>
      </c>
      <c r="E136">
        <v>1</v>
      </c>
      <c r="F136">
        <v>1</v>
      </c>
      <c r="G136">
        <v>22652947</v>
      </c>
      <c r="H136">
        <v>3</v>
      </c>
      <c r="I136" t="s">
        <v>235</v>
      </c>
      <c r="J136" t="s">
        <v>237</v>
      </c>
      <c r="K136" t="s">
        <v>236</v>
      </c>
      <c r="L136">
        <v>1348</v>
      </c>
      <c r="N136">
        <v>1009</v>
      </c>
      <c r="O136" t="s">
        <v>29</v>
      </c>
      <c r="P136" t="s">
        <v>29</v>
      </c>
      <c r="Q136">
        <v>1000</v>
      </c>
      <c r="W136">
        <v>0</v>
      </c>
      <c r="X136">
        <v>1389983172</v>
      </c>
      <c r="Y136">
        <v>0.111111</v>
      </c>
      <c r="AA136">
        <v>27362.67</v>
      </c>
      <c r="AB136">
        <v>0</v>
      </c>
      <c r="AC136">
        <v>0</v>
      </c>
      <c r="AD136">
        <v>0</v>
      </c>
      <c r="AE136">
        <v>27362.67</v>
      </c>
      <c r="AF136">
        <v>0</v>
      </c>
      <c r="AG136">
        <v>0</v>
      </c>
      <c r="AH136">
        <v>0</v>
      </c>
      <c r="AI136">
        <v>1</v>
      </c>
      <c r="AJ136">
        <v>1</v>
      </c>
      <c r="AK136">
        <v>1</v>
      </c>
      <c r="AL136">
        <v>1</v>
      </c>
      <c r="AN136">
        <v>0</v>
      </c>
      <c r="AO136">
        <v>0</v>
      </c>
      <c r="AP136">
        <v>0</v>
      </c>
      <c r="AQ136">
        <v>0</v>
      </c>
      <c r="AR136">
        <v>0</v>
      </c>
      <c r="AS136" t="s">
        <v>3</v>
      </c>
      <c r="AT136">
        <v>0.111111</v>
      </c>
      <c r="AU136" t="s">
        <v>3</v>
      </c>
      <c r="AV136">
        <v>0</v>
      </c>
      <c r="AW136">
        <v>1</v>
      </c>
      <c r="AX136">
        <v>-1</v>
      </c>
      <c r="AY136">
        <v>0</v>
      </c>
      <c r="AZ136">
        <v>0</v>
      </c>
      <c r="BA136" t="s">
        <v>3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CX136">
        <f>Y136*Source!I191</f>
        <v>1.9999979999999998E-3</v>
      </c>
      <c r="CY136">
        <f>AA136</f>
        <v>27362.67</v>
      </c>
      <c r="CZ136">
        <f>AE136</f>
        <v>27362.67</v>
      </c>
      <c r="DA136">
        <f>AI136</f>
        <v>1</v>
      </c>
      <c r="DB136">
        <v>0</v>
      </c>
    </row>
    <row r="137" spans="1:106" x14ac:dyDescent="0.2">
      <c r="A137">
        <f>ROW(Source!A191)</f>
        <v>191</v>
      </c>
      <c r="B137">
        <v>45037306</v>
      </c>
      <c r="C137">
        <v>45037789</v>
      </c>
      <c r="D137">
        <v>22719601</v>
      </c>
      <c r="E137">
        <v>1</v>
      </c>
      <c r="F137">
        <v>1</v>
      </c>
      <c r="G137">
        <v>22652947</v>
      </c>
      <c r="H137">
        <v>3</v>
      </c>
      <c r="I137" t="s">
        <v>239</v>
      </c>
      <c r="J137" t="s">
        <v>241</v>
      </c>
      <c r="K137" t="s">
        <v>240</v>
      </c>
      <c r="L137">
        <v>1348</v>
      </c>
      <c r="N137">
        <v>1009</v>
      </c>
      <c r="O137" t="s">
        <v>29</v>
      </c>
      <c r="P137" t="s">
        <v>29</v>
      </c>
      <c r="Q137">
        <v>1000</v>
      </c>
      <c r="W137">
        <v>0</v>
      </c>
      <c r="X137">
        <v>-137175376</v>
      </c>
      <c r="Y137">
        <v>0.47</v>
      </c>
      <c r="AA137">
        <v>6529.05</v>
      </c>
      <c r="AB137">
        <v>0</v>
      </c>
      <c r="AC137">
        <v>0</v>
      </c>
      <c r="AD137">
        <v>0</v>
      </c>
      <c r="AE137">
        <v>6529.05</v>
      </c>
      <c r="AF137">
        <v>0</v>
      </c>
      <c r="AG137">
        <v>0</v>
      </c>
      <c r="AH137">
        <v>0</v>
      </c>
      <c r="AI137">
        <v>1</v>
      </c>
      <c r="AJ137">
        <v>1</v>
      </c>
      <c r="AK137">
        <v>1</v>
      </c>
      <c r="AL137">
        <v>1</v>
      </c>
      <c r="AN137">
        <v>0</v>
      </c>
      <c r="AO137">
        <v>0</v>
      </c>
      <c r="AP137">
        <v>0</v>
      </c>
      <c r="AQ137">
        <v>0</v>
      </c>
      <c r="AR137">
        <v>0</v>
      </c>
      <c r="AS137" t="s">
        <v>3</v>
      </c>
      <c r="AT137">
        <v>0.47</v>
      </c>
      <c r="AU137" t="s">
        <v>3</v>
      </c>
      <c r="AV137">
        <v>0</v>
      </c>
      <c r="AW137">
        <v>1</v>
      </c>
      <c r="AX137">
        <v>-1</v>
      </c>
      <c r="AY137">
        <v>0</v>
      </c>
      <c r="AZ137">
        <v>0</v>
      </c>
      <c r="BA137" t="s">
        <v>3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CX137">
        <f>Y137*Source!I191</f>
        <v>8.4599999999999988E-3</v>
      </c>
      <c r="CY137">
        <f>AA137</f>
        <v>6529.05</v>
      </c>
      <c r="CZ137">
        <f>AE137</f>
        <v>6529.05</v>
      </c>
      <c r="DA137">
        <f>AI137</f>
        <v>1</v>
      </c>
      <c r="DB137">
        <v>0</v>
      </c>
    </row>
    <row r="138" spans="1:106" x14ac:dyDescent="0.2">
      <c r="A138">
        <f>ROW(Source!A192)</f>
        <v>192</v>
      </c>
      <c r="B138">
        <v>45037307</v>
      </c>
      <c r="C138">
        <v>45037789</v>
      </c>
      <c r="D138">
        <v>22652952</v>
      </c>
      <c r="E138">
        <v>22652947</v>
      </c>
      <c r="F138">
        <v>1</v>
      </c>
      <c r="G138">
        <v>22652947</v>
      </c>
      <c r="H138">
        <v>1</v>
      </c>
      <c r="I138" t="s">
        <v>617</v>
      </c>
      <c r="J138" t="s">
        <v>3</v>
      </c>
      <c r="K138" t="s">
        <v>618</v>
      </c>
      <c r="L138">
        <v>1191</v>
      </c>
      <c r="N138">
        <v>1013</v>
      </c>
      <c r="O138" t="s">
        <v>619</v>
      </c>
      <c r="P138" t="s">
        <v>619</v>
      </c>
      <c r="Q138">
        <v>1</v>
      </c>
      <c r="W138">
        <v>0</v>
      </c>
      <c r="X138">
        <v>476480486</v>
      </c>
      <c r="Y138">
        <v>96.691999999999993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1</v>
      </c>
      <c r="AJ138">
        <v>1</v>
      </c>
      <c r="AK138">
        <v>1</v>
      </c>
      <c r="AL138">
        <v>1</v>
      </c>
      <c r="AN138">
        <v>0</v>
      </c>
      <c r="AO138">
        <v>1</v>
      </c>
      <c r="AP138">
        <v>1</v>
      </c>
      <c r="AQ138">
        <v>0</v>
      </c>
      <c r="AR138">
        <v>0</v>
      </c>
      <c r="AS138" t="s">
        <v>3</v>
      </c>
      <c r="AT138">
        <v>84.08</v>
      </c>
      <c r="AU138" t="s">
        <v>37</v>
      </c>
      <c r="AV138">
        <v>1</v>
      </c>
      <c r="AW138">
        <v>2</v>
      </c>
      <c r="AX138">
        <v>45038551</v>
      </c>
      <c r="AY138">
        <v>1</v>
      </c>
      <c r="AZ138">
        <v>0</v>
      </c>
      <c r="BA138">
        <v>138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CX138">
        <f>Y138*Source!I192</f>
        <v>1.7404559999999998</v>
      </c>
      <c r="CY138">
        <f>AD138</f>
        <v>0</v>
      </c>
      <c r="CZ138">
        <f>AH138</f>
        <v>0</v>
      </c>
      <c r="DA138">
        <f>AL138</f>
        <v>1</v>
      </c>
      <c r="DB138">
        <v>0</v>
      </c>
    </row>
    <row r="139" spans="1:106" x14ac:dyDescent="0.2">
      <c r="A139">
        <f>ROW(Source!A192)</f>
        <v>192</v>
      </c>
      <c r="B139">
        <v>45037307</v>
      </c>
      <c r="C139">
        <v>45037789</v>
      </c>
      <c r="D139">
        <v>22725894</v>
      </c>
      <c r="E139">
        <v>1</v>
      </c>
      <c r="F139">
        <v>1</v>
      </c>
      <c r="G139">
        <v>22652947</v>
      </c>
      <c r="H139">
        <v>2</v>
      </c>
      <c r="I139" t="s">
        <v>686</v>
      </c>
      <c r="J139" t="s">
        <v>687</v>
      </c>
      <c r="K139" t="s">
        <v>688</v>
      </c>
      <c r="L139">
        <v>1367</v>
      </c>
      <c r="N139">
        <v>1011</v>
      </c>
      <c r="O139" t="s">
        <v>623</v>
      </c>
      <c r="P139" t="s">
        <v>623</v>
      </c>
      <c r="Q139">
        <v>1</v>
      </c>
      <c r="W139">
        <v>0</v>
      </c>
      <c r="X139">
        <v>950854334</v>
      </c>
      <c r="Y139">
        <v>33.862499999999997</v>
      </c>
      <c r="AA139">
        <v>0</v>
      </c>
      <c r="AB139">
        <v>25.49</v>
      </c>
      <c r="AC139">
        <v>2.04</v>
      </c>
      <c r="AD139">
        <v>0</v>
      </c>
      <c r="AE139">
        <v>0</v>
      </c>
      <c r="AF139">
        <v>2.36</v>
      </c>
      <c r="AG139">
        <v>0.1</v>
      </c>
      <c r="AH139">
        <v>0</v>
      </c>
      <c r="AI139">
        <v>1</v>
      </c>
      <c r="AJ139">
        <v>10.8</v>
      </c>
      <c r="AK139">
        <v>20.399999999999999</v>
      </c>
      <c r="AL139">
        <v>1</v>
      </c>
      <c r="AN139">
        <v>0</v>
      </c>
      <c r="AO139">
        <v>1</v>
      </c>
      <c r="AP139">
        <v>1</v>
      </c>
      <c r="AQ139">
        <v>0</v>
      </c>
      <c r="AR139">
        <v>0</v>
      </c>
      <c r="AS139" t="s">
        <v>3</v>
      </c>
      <c r="AT139">
        <v>27.09</v>
      </c>
      <c r="AU139" t="s">
        <v>36</v>
      </c>
      <c r="AV139">
        <v>0</v>
      </c>
      <c r="AW139">
        <v>2</v>
      </c>
      <c r="AX139">
        <v>45038552</v>
      </c>
      <c r="AY139">
        <v>1</v>
      </c>
      <c r="AZ139">
        <v>0</v>
      </c>
      <c r="BA139">
        <v>139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CX139">
        <f>Y139*Source!I192</f>
        <v>0.60952499999999987</v>
      </c>
      <c r="CY139">
        <f>AB139</f>
        <v>25.49</v>
      </c>
      <c r="CZ139">
        <f>AF139</f>
        <v>2.36</v>
      </c>
      <c r="DA139">
        <f>AJ139</f>
        <v>10.8</v>
      </c>
      <c r="DB139">
        <v>0</v>
      </c>
    </row>
    <row r="140" spans="1:106" x14ac:dyDescent="0.2">
      <c r="A140">
        <f>ROW(Source!A192)</f>
        <v>192</v>
      </c>
      <c r="B140">
        <v>45037307</v>
      </c>
      <c r="C140">
        <v>45037789</v>
      </c>
      <c r="D140">
        <v>22725956</v>
      </c>
      <c r="E140">
        <v>1</v>
      </c>
      <c r="F140">
        <v>1</v>
      </c>
      <c r="G140">
        <v>22652947</v>
      </c>
      <c r="H140">
        <v>2</v>
      </c>
      <c r="I140" t="s">
        <v>689</v>
      </c>
      <c r="J140" t="s">
        <v>690</v>
      </c>
      <c r="K140" t="s">
        <v>691</v>
      </c>
      <c r="L140">
        <v>1367</v>
      </c>
      <c r="N140">
        <v>1011</v>
      </c>
      <c r="O140" t="s">
        <v>623</v>
      </c>
      <c r="P140" t="s">
        <v>623</v>
      </c>
      <c r="Q140">
        <v>1</v>
      </c>
      <c r="W140">
        <v>0</v>
      </c>
      <c r="X140">
        <v>-1931009994</v>
      </c>
      <c r="Y140">
        <v>0.38750000000000001</v>
      </c>
      <c r="AA140">
        <v>0</v>
      </c>
      <c r="AB140">
        <v>408.95</v>
      </c>
      <c r="AC140">
        <v>303.76</v>
      </c>
      <c r="AD140">
        <v>0</v>
      </c>
      <c r="AE140">
        <v>0</v>
      </c>
      <c r="AF140">
        <v>31.85</v>
      </c>
      <c r="AG140">
        <v>14.89</v>
      </c>
      <c r="AH140">
        <v>0</v>
      </c>
      <c r="AI140">
        <v>1</v>
      </c>
      <c r="AJ140">
        <v>12.84</v>
      </c>
      <c r="AK140">
        <v>20.399999999999999</v>
      </c>
      <c r="AL140">
        <v>1</v>
      </c>
      <c r="AN140">
        <v>0</v>
      </c>
      <c r="AO140">
        <v>1</v>
      </c>
      <c r="AP140">
        <v>1</v>
      </c>
      <c r="AQ140">
        <v>0</v>
      </c>
      <c r="AR140">
        <v>0</v>
      </c>
      <c r="AS140" t="s">
        <v>3</v>
      </c>
      <c r="AT140">
        <v>0.31</v>
      </c>
      <c r="AU140" t="s">
        <v>36</v>
      </c>
      <c r="AV140">
        <v>0</v>
      </c>
      <c r="AW140">
        <v>2</v>
      </c>
      <c r="AX140">
        <v>45038553</v>
      </c>
      <c r="AY140">
        <v>1</v>
      </c>
      <c r="AZ140">
        <v>0</v>
      </c>
      <c r="BA140">
        <v>140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CX140">
        <f>Y140*Source!I192</f>
        <v>6.9749999999999994E-3</v>
      </c>
      <c r="CY140">
        <f>AB140</f>
        <v>408.95</v>
      </c>
      <c r="CZ140">
        <f>AF140</f>
        <v>31.85</v>
      </c>
      <c r="DA140">
        <f>AJ140</f>
        <v>12.84</v>
      </c>
      <c r="DB140">
        <v>0</v>
      </c>
    </row>
    <row r="141" spans="1:106" x14ac:dyDescent="0.2">
      <c r="A141">
        <f>ROW(Source!A192)</f>
        <v>192</v>
      </c>
      <c r="B141">
        <v>45037307</v>
      </c>
      <c r="C141">
        <v>45037789</v>
      </c>
      <c r="D141">
        <v>22653672</v>
      </c>
      <c r="E141">
        <v>22652947</v>
      </c>
      <c r="F141">
        <v>1</v>
      </c>
      <c r="G141">
        <v>22652947</v>
      </c>
      <c r="H141">
        <v>2</v>
      </c>
      <c r="I141" t="s">
        <v>630</v>
      </c>
      <c r="J141" t="s">
        <v>3</v>
      </c>
      <c r="K141" t="s">
        <v>631</v>
      </c>
      <c r="L141">
        <v>1344</v>
      </c>
      <c r="N141">
        <v>1008</v>
      </c>
      <c r="O141" t="s">
        <v>632</v>
      </c>
      <c r="P141" t="s">
        <v>632</v>
      </c>
      <c r="Q141">
        <v>1</v>
      </c>
      <c r="W141">
        <v>0</v>
      </c>
      <c r="X141">
        <v>-1180195794</v>
      </c>
      <c r="Y141">
        <v>32.450000000000003</v>
      </c>
      <c r="AA141">
        <v>0</v>
      </c>
      <c r="AB141">
        <v>1</v>
      </c>
      <c r="AC141">
        <v>0</v>
      </c>
      <c r="AD141">
        <v>0</v>
      </c>
      <c r="AE141">
        <v>0</v>
      </c>
      <c r="AF141">
        <v>1</v>
      </c>
      <c r="AG141">
        <v>0</v>
      </c>
      <c r="AH141">
        <v>0</v>
      </c>
      <c r="AI141">
        <v>1</v>
      </c>
      <c r="AJ141">
        <v>1</v>
      </c>
      <c r="AK141">
        <v>1</v>
      </c>
      <c r="AL141">
        <v>1</v>
      </c>
      <c r="AN141">
        <v>0</v>
      </c>
      <c r="AO141">
        <v>1</v>
      </c>
      <c r="AP141">
        <v>1</v>
      </c>
      <c r="AQ141">
        <v>0</v>
      </c>
      <c r="AR141">
        <v>0</v>
      </c>
      <c r="AS141" t="s">
        <v>3</v>
      </c>
      <c r="AT141">
        <v>25.96</v>
      </c>
      <c r="AU141" t="s">
        <v>36</v>
      </c>
      <c r="AV141">
        <v>0</v>
      </c>
      <c r="AW141">
        <v>2</v>
      </c>
      <c r="AX141">
        <v>45038554</v>
      </c>
      <c r="AY141">
        <v>1</v>
      </c>
      <c r="AZ141">
        <v>0</v>
      </c>
      <c r="BA141">
        <v>141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CX141">
        <f>Y141*Source!I192</f>
        <v>0.58409999999999995</v>
      </c>
      <c r="CY141">
        <f>AB141</f>
        <v>1</v>
      </c>
      <c r="CZ141">
        <f>AF141</f>
        <v>1</v>
      </c>
      <c r="DA141">
        <f>AJ141</f>
        <v>1</v>
      </c>
      <c r="DB141">
        <v>0</v>
      </c>
    </row>
    <row r="142" spans="1:106" x14ac:dyDescent="0.2">
      <c r="A142">
        <f>ROW(Source!A192)</f>
        <v>192</v>
      </c>
      <c r="B142">
        <v>45037307</v>
      </c>
      <c r="C142">
        <v>45037789</v>
      </c>
      <c r="D142">
        <v>22700967</v>
      </c>
      <c r="E142">
        <v>1</v>
      </c>
      <c r="F142">
        <v>1</v>
      </c>
      <c r="G142">
        <v>22652947</v>
      </c>
      <c r="H142">
        <v>3</v>
      </c>
      <c r="I142" t="s">
        <v>273</v>
      </c>
      <c r="J142" t="s">
        <v>275</v>
      </c>
      <c r="K142" t="s">
        <v>274</v>
      </c>
      <c r="L142">
        <v>1339</v>
      </c>
      <c r="N142">
        <v>1007</v>
      </c>
      <c r="O142" t="s">
        <v>80</v>
      </c>
      <c r="P142" t="s">
        <v>80</v>
      </c>
      <c r="Q142">
        <v>1</v>
      </c>
      <c r="W142">
        <v>0</v>
      </c>
      <c r="X142">
        <v>-862991314</v>
      </c>
      <c r="Y142">
        <v>0.13300000000000001</v>
      </c>
      <c r="AA142">
        <v>29.98</v>
      </c>
      <c r="AB142">
        <v>0</v>
      </c>
      <c r="AC142">
        <v>0</v>
      </c>
      <c r="AD142">
        <v>0</v>
      </c>
      <c r="AE142">
        <v>7.07</v>
      </c>
      <c r="AF142">
        <v>0</v>
      </c>
      <c r="AG142">
        <v>0</v>
      </c>
      <c r="AH142">
        <v>0</v>
      </c>
      <c r="AI142">
        <v>4.24</v>
      </c>
      <c r="AJ142">
        <v>1</v>
      </c>
      <c r="AK142">
        <v>1</v>
      </c>
      <c r="AL142">
        <v>1</v>
      </c>
      <c r="AN142">
        <v>0</v>
      </c>
      <c r="AO142">
        <v>1</v>
      </c>
      <c r="AP142">
        <v>0</v>
      </c>
      <c r="AQ142">
        <v>0</v>
      </c>
      <c r="AR142">
        <v>0</v>
      </c>
      <c r="AS142" t="s">
        <v>3</v>
      </c>
      <c r="AT142">
        <v>0.13300000000000001</v>
      </c>
      <c r="AU142" t="s">
        <v>3</v>
      </c>
      <c r="AV142">
        <v>0</v>
      </c>
      <c r="AW142">
        <v>2</v>
      </c>
      <c r="AX142">
        <v>45038555</v>
      </c>
      <c r="AY142">
        <v>1</v>
      </c>
      <c r="AZ142">
        <v>0</v>
      </c>
      <c r="BA142">
        <v>142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CX142">
        <f>Y142*Source!I192</f>
        <v>2.3939999999999999E-3</v>
      </c>
      <c r="CY142">
        <f>AA142</f>
        <v>29.98</v>
      </c>
      <c r="CZ142">
        <f>AE142</f>
        <v>7.07</v>
      </c>
      <c r="DA142">
        <f>AI142</f>
        <v>4.24</v>
      </c>
      <c r="DB142">
        <v>0</v>
      </c>
    </row>
    <row r="143" spans="1:106" x14ac:dyDescent="0.2">
      <c r="A143">
        <f>ROW(Source!A192)</f>
        <v>192</v>
      </c>
      <c r="B143">
        <v>45037307</v>
      </c>
      <c r="C143">
        <v>45037789</v>
      </c>
      <c r="D143">
        <v>22703018</v>
      </c>
      <c r="E143">
        <v>1</v>
      </c>
      <c r="F143">
        <v>1</v>
      </c>
      <c r="G143">
        <v>22652947</v>
      </c>
      <c r="H143">
        <v>3</v>
      </c>
      <c r="I143" t="s">
        <v>243</v>
      </c>
      <c r="J143" t="s">
        <v>245</v>
      </c>
      <c r="K143" t="s">
        <v>244</v>
      </c>
      <c r="L143">
        <v>1327</v>
      </c>
      <c r="N143">
        <v>1005</v>
      </c>
      <c r="O143" t="s">
        <v>101</v>
      </c>
      <c r="P143" t="s">
        <v>101</v>
      </c>
      <c r="Q143">
        <v>1</v>
      </c>
      <c r="W143">
        <v>0</v>
      </c>
      <c r="X143">
        <v>1213652254</v>
      </c>
      <c r="Y143">
        <v>102</v>
      </c>
      <c r="AA143">
        <v>403.05</v>
      </c>
      <c r="AB143">
        <v>0</v>
      </c>
      <c r="AC143">
        <v>0</v>
      </c>
      <c r="AD143">
        <v>0</v>
      </c>
      <c r="AE143">
        <v>92.02</v>
      </c>
      <c r="AF143">
        <v>0</v>
      </c>
      <c r="AG143">
        <v>0</v>
      </c>
      <c r="AH143">
        <v>0</v>
      </c>
      <c r="AI143">
        <v>4.38</v>
      </c>
      <c r="AJ143">
        <v>1</v>
      </c>
      <c r="AK143">
        <v>1</v>
      </c>
      <c r="AL143">
        <v>1</v>
      </c>
      <c r="AN143">
        <v>0</v>
      </c>
      <c r="AO143">
        <v>0</v>
      </c>
      <c r="AP143">
        <v>0</v>
      </c>
      <c r="AQ143">
        <v>0</v>
      </c>
      <c r="AR143">
        <v>0</v>
      </c>
      <c r="AS143" t="s">
        <v>3</v>
      </c>
      <c r="AT143">
        <v>102</v>
      </c>
      <c r="AU143" t="s">
        <v>3</v>
      </c>
      <c r="AV143">
        <v>0</v>
      </c>
      <c r="AW143">
        <v>1</v>
      </c>
      <c r="AX143">
        <v>-1</v>
      </c>
      <c r="AY143">
        <v>0</v>
      </c>
      <c r="AZ143">
        <v>0</v>
      </c>
      <c r="BA143" t="s">
        <v>3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CX143">
        <f>Y143*Source!I192</f>
        <v>1.8359999999999999</v>
      </c>
      <c r="CY143">
        <f>AA143</f>
        <v>403.05</v>
      </c>
      <c r="CZ143">
        <f>AE143</f>
        <v>92.02</v>
      </c>
      <c r="DA143">
        <f>AI143</f>
        <v>4.38</v>
      </c>
      <c r="DB143">
        <v>0</v>
      </c>
    </row>
    <row r="144" spans="1:106" x14ac:dyDescent="0.2">
      <c r="A144">
        <f>ROW(Source!A192)</f>
        <v>192</v>
      </c>
      <c r="B144">
        <v>45037307</v>
      </c>
      <c r="C144">
        <v>45037789</v>
      </c>
      <c r="D144">
        <v>22703080</v>
      </c>
      <c r="E144">
        <v>1</v>
      </c>
      <c r="F144">
        <v>1</v>
      </c>
      <c r="G144">
        <v>22652947</v>
      </c>
      <c r="H144">
        <v>3</v>
      </c>
      <c r="I144" t="s">
        <v>692</v>
      </c>
      <c r="J144" t="s">
        <v>693</v>
      </c>
      <c r="K144" t="s">
        <v>694</v>
      </c>
      <c r="L144">
        <v>1348</v>
      </c>
      <c r="N144">
        <v>1009</v>
      </c>
      <c r="O144" t="s">
        <v>29</v>
      </c>
      <c r="P144" t="s">
        <v>29</v>
      </c>
      <c r="Q144">
        <v>1000</v>
      </c>
      <c r="W144">
        <v>0</v>
      </c>
      <c r="X144">
        <v>353027985</v>
      </c>
      <c r="Y144">
        <v>0.01</v>
      </c>
      <c r="AA144">
        <v>106223.15</v>
      </c>
      <c r="AB144">
        <v>0</v>
      </c>
      <c r="AC144">
        <v>0</v>
      </c>
      <c r="AD144">
        <v>0</v>
      </c>
      <c r="AE144">
        <v>69883.649999999994</v>
      </c>
      <c r="AF144">
        <v>0</v>
      </c>
      <c r="AG144">
        <v>0</v>
      </c>
      <c r="AH144">
        <v>0</v>
      </c>
      <c r="AI144">
        <v>1.52</v>
      </c>
      <c r="AJ144">
        <v>1</v>
      </c>
      <c r="AK144">
        <v>1</v>
      </c>
      <c r="AL144">
        <v>1</v>
      </c>
      <c r="AN144">
        <v>0</v>
      </c>
      <c r="AO144">
        <v>1</v>
      </c>
      <c r="AP144">
        <v>0</v>
      </c>
      <c r="AQ144">
        <v>0</v>
      </c>
      <c r="AR144">
        <v>0</v>
      </c>
      <c r="AS144" t="s">
        <v>3</v>
      </c>
      <c r="AT144">
        <v>0.01</v>
      </c>
      <c r="AU144" t="s">
        <v>3</v>
      </c>
      <c r="AV144">
        <v>0</v>
      </c>
      <c r="AW144">
        <v>2</v>
      </c>
      <c r="AX144">
        <v>45038556</v>
      </c>
      <c r="AY144">
        <v>1</v>
      </c>
      <c r="AZ144">
        <v>0</v>
      </c>
      <c r="BA144">
        <v>143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CX144">
        <f>Y144*Source!I192</f>
        <v>1.7999999999999998E-4</v>
      </c>
      <c r="CY144">
        <f>AA144</f>
        <v>106223.15</v>
      </c>
      <c r="CZ144">
        <f>AE144</f>
        <v>69883.649999999994</v>
      </c>
      <c r="DA144">
        <f>AI144</f>
        <v>1.52</v>
      </c>
      <c r="DB144">
        <v>0</v>
      </c>
    </row>
    <row r="145" spans="1:106" x14ac:dyDescent="0.2">
      <c r="A145">
        <f>ROW(Source!A192)</f>
        <v>192</v>
      </c>
      <c r="B145">
        <v>45037307</v>
      </c>
      <c r="C145">
        <v>45037789</v>
      </c>
      <c r="D145">
        <v>22719573</v>
      </c>
      <c r="E145">
        <v>1</v>
      </c>
      <c r="F145">
        <v>1</v>
      </c>
      <c r="G145">
        <v>22652947</v>
      </c>
      <c r="H145">
        <v>3</v>
      </c>
      <c r="I145" t="s">
        <v>235</v>
      </c>
      <c r="J145" t="s">
        <v>237</v>
      </c>
      <c r="K145" t="s">
        <v>236</v>
      </c>
      <c r="L145">
        <v>1348</v>
      </c>
      <c r="N145">
        <v>1009</v>
      </c>
      <c r="O145" t="s">
        <v>29</v>
      </c>
      <c r="P145" t="s">
        <v>29</v>
      </c>
      <c r="Q145">
        <v>1000</v>
      </c>
      <c r="W145">
        <v>0</v>
      </c>
      <c r="X145">
        <v>1389983172</v>
      </c>
      <c r="Y145">
        <v>0.111111</v>
      </c>
      <c r="AA145">
        <v>25994.54</v>
      </c>
      <c r="AB145">
        <v>0</v>
      </c>
      <c r="AC145">
        <v>0</v>
      </c>
      <c r="AD145">
        <v>0</v>
      </c>
      <c r="AE145">
        <v>27362.67</v>
      </c>
      <c r="AF145">
        <v>0</v>
      </c>
      <c r="AG145">
        <v>0</v>
      </c>
      <c r="AH145">
        <v>0</v>
      </c>
      <c r="AI145">
        <v>0.95</v>
      </c>
      <c r="AJ145">
        <v>1</v>
      </c>
      <c r="AK145">
        <v>1</v>
      </c>
      <c r="AL145">
        <v>1</v>
      </c>
      <c r="AN145">
        <v>0</v>
      </c>
      <c r="AO145">
        <v>0</v>
      </c>
      <c r="AP145">
        <v>0</v>
      </c>
      <c r="AQ145">
        <v>0</v>
      </c>
      <c r="AR145">
        <v>0</v>
      </c>
      <c r="AS145" t="s">
        <v>3</v>
      </c>
      <c r="AT145">
        <v>0.111111</v>
      </c>
      <c r="AU145" t="s">
        <v>3</v>
      </c>
      <c r="AV145">
        <v>0</v>
      </c>
      <c r="AW145">
        <v>1</v>
      </c>
      <c r="AX145">
        <v>-1</v>
      </c>
      <c r="AY145">
        <v>0</v>
      </c>
      <c r="AZ145">
        <v>0</v>
      </c>
      <c r="BA145" t="s">
        <v>3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CX145">
        <f>Y145*Source!I192</f>
        <v>1.9999979999999998E-3</v>
      </c>
      <c r="CY145">
        <f>AA145</f>
        <v>25994.54</v>
      </c>
      <c r="CZ145">
        <f>AE145</f>
        <v>27362.67</v>
      </c>
      <c r="DA145">
        <f>AI145</f>
        <v>0.95</v>
      </c>
      <c r="DB145">
        <v>0</v>
      </c>
    </row>
    <row r="146" spans="1:106" x14ac:dyDescent="0.2">
      <c r="A146">
        <f>ROW(Source!A192)</f>
        <v>192</v>
      </c>
      <c r="B146">
        <v>45037307</v>
      </c>
      <c r="C146">
        <v>45037789</v>
      </c>
      <c r="D146">
        <v>22719601</v>
      </c>
      <c r="E146">
        <v>1</v>
      </c>
      <c r="F146">
        <v>1</v>
      </c>
      <c r="G146">
        <v>22652947</v>
      </c>
      <c r="H146">
        <v>3</v>
      </c>
      <c r="I146" t="s">
        <v>239</v>
      </c>
      <c r="J146" t="s">
        <v>241</v>
      </c>
      <c r="K146" t="s">
        <v>240</v>
      </c>
      <c r="L146">
        <v>1348</v>
      </c>
      <c r="N146">
        <v>1009</v>
      </c>
      <c r="O146" t="s">
        <v>29</v>
      </c>
      <c r="P146" t="s">
        <v>29</v>
      </c>
      <c r="Q146">
        <v>1000</v>
      </c>
      <c r="W146">
        <v>0</v>
      </c>
      <c r="X146">
        <v>-137175376</v>
      </c>
      <c r="Y146">
        <v>0.47</v>
      </c>
      <c r="AA146">
        <v>7638.99</v>
      </c>
      <c r="AB146">
        <v>0</v>
      </c>
      <c r="AC146">
        <v>0</v>
      </c>
      <c r="AD146">
        <v>0</v>
      </c>
      <c r="AE146">
        <v>6529.05</v>
      </c>
      <c r="AF146">
        <v>0</v>
      </c>
      <c r="AG146">
        <v>0</v>
      </c>
      <c r="AH146">
        <v>0</v>
      </c>
      <c r="AI146">
        <v>1.17</v>
      </c>
      <c r="AJ146">
        <v>1</v>
      </c>
      <c r="AK146">
        <v>1</v>
      </c>
      <c r="AL146">
        <v>1</v>
      </c>
      <c r="AN146">
        <v>0</v>
      </c>
      <c r="AO146">
        <v>0</v>
      </c>
      <c r="AP146">
        <v>0</v>
      </c>
      <c r="AQ146">
        <v>0</v>
      </c>
      <c r="AR146">
        <v>0</v>
      </c>
      <c r="AS146" t="s">
        <v>3</v>
      </c>
      <c r="AT146">
        <v>0.47</v>
      </c>
      <c r="AU146" t="s">
        <v>3</v>
      </c>
      <c r="AV146">
        <v>0</v>
      </c>
      <c r="AW146">
        <v>1</v>
      </c>
      <c r="AX146">
        <v>-1</v>
      </c>
      <c r="AY146">
        <v>0</v>
      </c>
      <c r="AZ146">
        <v>0</v>
      </c>
      <c r="BA146" t="s">
        <v>3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CX146">
        <f>Y146*Source!I192</f>
        <v>8.4599999999999988E-3</v>
      </c>
      <c r="CY146">
        <f>AA146</f>
        <v>7638.99</v>
      </c>
      <c r="CZ146">
        <f>AE146</f>
        <v>6529.05</v>
      </c>
      <c r="DA146">
        <f>AI146</f>
        <v>1.17</v>
      </c>
      <c r="DB146">
        <v>0</v>
      </c>
    </row>
    <row r="147" spans="1:106" x14ac:dyDescent="0.2">
      <c r="A147">
        <f>ROW(Source!A199)</f>
        <v>199</v>
      </c>
      <c r="B147">
        <v>45037306</v>
      </c>
      <c r="C147">
        <v>45037811</v>
      </c>
      <c r="D147">
        <v>22652952</v>
      </c>
      <c r="E147">
        <v>22652947</v>
      </c>
      <c r="F147">
        <v>1</v>
      </c>
      <c r="G147">
        <v>22652947</v>
      </c>
      <c r="H147">
        <v>1</v>
      </c>
      <c r="I147" t="s">
        <v>617</v>
      </c>
      <c r="J147" t="s">
        <v>3</v>
      </c>
      <c r="K147" t="s">
        <v>618</v>
      </c>
      <c r="L147">
        <v>1191</v>
      </c>
      <c r="N147">
        <v>1013</v>
      </c>
      <c r="O147" t="s">
        <v>619</v>
      </c>
      <c r="P147" t="s">
        <v>619</v>
      </c>
      <c r="Q147">
        <v>1</v>
      </c>
      <c r="W147">
        <v>0</v>
      </c>
      <c r="X147">
        <v>476480486</v>
      </c>
      <c r="Y147">
        <v>47.724999999999994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1</v>
      </c>
      <c r="AJ147">
        <v>1</v>
      </c>
      <c r="AK147">
        <v>1</v>
      </c>
      <c r="AL147">
        <v>1</v>
      </c>
      <c r="AN147">
        <v>0</v>
      </c>
      <c r="AO147">
        <v>1</v>
      </c>
      <c r="AP147">
        <v>1</v>
      </c>
      <c r="AQ147">
        <v>0</v>
      </c>
      <c r="AR147">
        <v>0</v>
      </c>
      <c r="AS147" t="s">
        <v>3</v>
      </c>
      <c r="AT147">
        <v>41.5</v>
      </c>
      <c r="AU147" t="s">
        <v>37</v>
      </c>
      <c r="AV147">
        <v>1</v>
      </c>
      <c r="AW147">
        <v>2</v>
      </c>
      <c r="AX147">
        <v>45038560</v>
      </c>
      <c r="AY147">
        <v>1</v>
      </c>
      <c r="AZ147">
        <v>0</v>
      </c>
      <c r="BA147">
        <v>147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CX147">
        <f>Y147*Source!I199</f>
        <v>7.1587499999999986</v>
      </c>
      <c r="CY147">
        <f>AD147</f>
        <v>0</v>
      </c>
      <c r="CZ147">
        <f>AH147</f>
        <v>0</v>
      </c>
      <c r="DA147">
        <f>AL147</f>
        <v>1</v>
      </c>
      <c r="DB147">
        <v>0</v>
      </c>
    </row>
    <row r="148" spans="1:106" x14ac:dyDescent="0.2">
      <c r="A148">
        <f>ROW(Source!A199)</f>
        <v>199</v>
      </c>
      <c r="B148">
        <v>45037306</v>
      </c>
      <c r="C148">
        <v>45037811</v>
      </c>
      <c r="D148">
        <v>22653672</v>
      </c>
      <c r="E148">
        <v>22652947</v>
      </c>
      <c r="F148">
        <v>1</v>
      </c>
      <c r="G148">
        <v>22652947</v>
      </c>
      <c r="H148">
        <v>2</v>
      </c>
      <c r="I148" t="s">
        <v>630</v>
      </c>
      <c r="J148" t="s">
        <v>3</v>
      </c>
      <c r="K148" t="s">
        <v>631</v>
      </c>
      <c r="L148">
        <v>1344</v>
      </c>
      <c r="N148">
        <v>1008</v>
      </c>
      <c r="O148" t="s">
        <v>632</v>
      </c>
      <c r="P148" t="s">
        <v>632</v>
      </c>
      <c r="Q148">
        <v>1</v>
      </c>
      <c r="W148">
        <v>0</v>
      </c>
      <c r="X148">
        <v>-1180195794</v>
      </c>
      <c r="Y148">
        <v>101.425</v>
      </c>
      <c r="AA148">
        <v>0</v>
      </c>
      <c r="AB148">
        <v>1</v>
      </c>
      <c r="AC148">
        <v>0</v>
      </c>
      <c r="AD148">
        <v>0</v>
      </c>
      <c r="AE148">
        <v>0</v>
      </c>
      <c r="AF148">
        <v>1</v>
      </c>
      <c r="AG148">
        <v>0</v>
      </c>
      <c r="AH148">
        <v>0</v>
      </c>
      <c r="AI148">
        <v>1</v>
      </c>
      <c r="AJ148">
        <v>1</v>
      </c>
      <c r="AK148">
        <v>1</v>
      </c>
      <c r="AL148">
        <v>1</v>
      </c>
      <c r="AN148">
        <v>0</v>
      </c>
      <c r="AO148">
        <v>1</v>
      </c>
      <c r="AP148">
        <v>1</v>
      </c>
      <c r="AQ148">
        <v>0</v>
      </c>
      <c r="AR148">
        <v>0</v>
      </c>
      <c r="AS148" t="s">
        <v>3</v>
      </c>
      <c r="AT148">
        <v>81.14</v>
      </c>
      <c r="AU148" t="s">
        <v>36</v>
      </c>
      <c r="AV148">
        <v>0</v>
      </c>
      <c r="AW148">
        <v>2</v>
      </c>
      <c r="AX148">
        <v>45038561</v>
      </c>
      <c r="AY148">
        <v>1</v>
      </c>
      <c r="AZ148">
        <v>0</v>
      </c>
      <c r="BA148">
        <v>148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CX148">
        <f>Y148*Source!I199</f>
        <v>15.213749999999999</v>
      </c>
      <c r="CY148">
        <f>AB148</f>
        <v>1</v>
      </c>
      <c r="CZ148">
        <f>AF148</f>
        <v>1</v>
      </c>
      <c r="DA148">
        <f>AJ148</f>
        <v>1</v>
      </c>
      <c r="DB148">
        <v>0</v>
      </c>
    </row>
    <row r="149" spans="1:106" x14ac:dyDescent="0.2">
      <c r="A149">
        <f>ROW(Source!A199)</f>
        <v>199</v>
      </c>
      <c r="B149">
        <v>45037306</v>
      </c>
      <c r="C149">
        <v>45037811</v>
      </c>
      <c r="D149">
        <v>22702046</v>
      </c>
      <c r="E149">
        <v>1</v>
      </c>
      <c r="F149">
        <v>1</v>
      </c>
      <c r="G149">
        <v>22652947</v>
      </c>
      <c r="H149">
        <v>3</v>
      </c>
      <c r="I149" t="s">
        <v>254</v>
      </c>
      <c r="J149" t="s">
        <v>256</v>
      </c>
      <c r="K149" t="s">
        <v>255</v>
      </c>
      <c r="L149">
        <v>1348</v>
      </c>
      <c r="N149">
        <v>1009</v>
      </c>
      <c r="O149" t="s">
        <v>29</v>
      </c>
      <c r="P149" t="s">
        <v>29</v>
      </c>
      <c r="Q149">
        <v>1000</v>
      </c>
      <c r="W149">
        <v>0</v>
      </c>
      <c r="X149">
        <v>2075225388</v>
      </c>
      <c r="Y149">
        <v>0.15</v>
      </c>
      <c r="AA149">
        <v>315.2</v>
      </c>
      <c r="AB149">
        <v>0</v>
      </c>
      <c r="AC149">
        <v>0</v>
      </c>
      <c r="AD149">
        <v>0</v>
      </c>
      <c r="AE149">
        <v>315.2</v>
      </c>
      <c r="AF149">
        <v>0</v>
      </c>
      <c r="AG149">
        <v>0</v>
      </c>
      <c r="AH149">
        <v>0</v>
      </c>
      <c r="AI149">
        <v>1</v>
      </c>
      <c r="AJ149">
        <v>1</v>
      </c>
      <c r="AK149">
        <v>1</v>
      </c>
      <c r="AL149">
        <v>1</v>
      </c>
      <c r="AN149">
        <v>0</v>
      </c>
      <c r="AO149">
        <v>0</v>
      </c>
      <c r="AP149">
        <v>0</v>
      </c>
      <c r="AQ149">
        <v>0</v>
      </c>
      <c r="AR149">
        <v>0</v>
      </c>
      <c r="AS149" t="s">
        <v>3</v>
      </c>
      <c r="AT149">
        <v>0.15</v>
      </c>
      <c r="AU149" t="s">
        <v>3</v>
      </c>
      <c r="AV149">
        <v>0</v>
      </c>
      <c r="AW149">
        <v>1</v>
      </c>
      <c r="AX149">
        <v>-1</v>
      </c>
      <c r="AY149">
        <v>0</v>
      </c>
      <c r="AZ149">
        <v>0</v>
      </c>
      <c r="BA149" t="s">
        <v>3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CX149">
        <f>Y149*Source!I199</f>
        <v>2.2499999999999999E-2</v>
      </c>
      <c r="CY149">
        <f>AA149</f>
        <v>315.2</v>
      </c>
      <c r="CZ149">
        <f>AE149</f>
        <v>315.2</v>
      </c>
      <c r="DA149">
        <f>AI149</f>
        <v>1</v>
      </c>
      <c r="DB149">
        <v>0</v>
      </c>
    </row>
    <row r="150" spans="1:106" x14ac:dyDescent="0.2">
      <c r="A150">
        <f>ROW(Source!A199)</f>
        <v>199</v>
      </c>
      <c r="B150">
        <v>45037306</v>
      </c>
      <c r="C150">
        <v>45037811</v>
      </c>
      <c r="D150">
        <v>0</v>
      </c>
      <c r="E150">
        <v>22652947</v>
      </c>
      <c r="F150">
        <v>1</v>
      </c>
      <c r="G150">
        <v>22652947</v>
      </c>
      <c r="H150">
        <v>3</v>
      </c>
      <c r="I150" t="s">
        <v>258</v>
      </c>
      <c r="J150" t="s">
        <v>3</v>
      </c>
      <c r="K150" t="s">
        <v>259</v>
      </c>
      <c r="L150">
        <v>1385</v>
      </c>
      <c r="N150">
        <v>1013</v>
      </c>
      <c r="O150" t="s">
        <v>260</v>
      </c>
      <c r="P150" t="s">
        <v>260</v>
      </c>
      <c r="Q150">
        <v>1</v>
      </c>
      <c r="W150">
        <v>0</v>
      </c>
      <c r="X150">
        <v>1550056831</v>
      </c>
      <c r="Y150">
        <v>74</v>
      </c>
      <c r="AA150">
        <v>710.7</v>
      </c>
      <c r="AB150">
        <v>0</v>
      </c>
      <c r="AC150">
        <v>0</v>
      </c>
      <c r="AD150">
        <v>0</v>
      </c>
      <c r="AE150">
        <v>710.7</v>
      </c>
      <c r="AF150">
        <v>0</v>
      </c>
      <c r="AG150">
        <v>0</v>
      </c>
      <c r="AH150">
        <v>0</v>
      </c>
      <c r="AI150">
        <v>1</v>
      </c>
      <c r="AJ150">
        <v>1</v>
      </c>
      <c r="AK150">
        <v>1</v>
      </c>
      <c r="AL150">
        <v>1</v>
      </c>
      <c r="AN150">
        <v>0</v>
      </c>
      <c r="AO150">
        <v>0</v>
      </c>
      <c r="AP150">
        <v>0</v>
      </c>
      <c r="AQ150">
        <v>0</v>
      </c>
      <c r="AR150">
        <v>0</v>
      </c>
      <c r="AS150" t="s">
        <v>3</v>
      </c>
      <c r="AT150">
        <v>74</v>
      </c>
      <c r="AU150" t="s">
        <v>3</v>
      </c>
      <c r="AV150">
        <v>0</v>
      </c>
      <c r="AW150">
        <v>1</v>
      </c>
      <c r="AX150">
        <v>-1</v>
      </c>
      <c r="AY150">
        <v>0</v>
      </c>
      <c r="AZ150">
        <v>0</v>
      </c>
      <c r="BA150" t="s">
        <v>3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CX150">
        <f>Y150*Source!I199</f>
        <v>11.1</v>
      </c>
      <c r="CY150">
        <f>AA150</f>
        <v>710.7</v>
      </c>
      <c r="CZ150">
        <f>AE150</f>
        <v>710.7</v>
      </c>
      <c r="DA150">
        <f>AI150</f>
        <v>1</v>
      </c>
      <c r="DB150">
        <v>0</v>
      </c>
    </row>
    <row r="151" spans="1:106" x14ac:dyDescent="0.2">
      <c r="A151">
        <f>ROW(Source!A199)</f>
        <v>199</v>
      </c>
      <c r="B151">
        <v>45037306</v>
      </c>
      <c r="C151">
        <v>45037811</v>
      </c>
      <c r="D151">
        <v>0</v>
      </c>
      <c r="E151">
        <v>22652947</v>
      </c>
      <c r="F151">
        <v>1</v>
      </c>
      <c r="G151">
        <v>22652947</v>
      </c>
      <c r="H151">
        <v>3</v>
      </c>
      <c r="I151" t="s">
        <v>258</v>
      </c>
      <c r="J151" t="s">
        <v>3</v>
      </c>
      <c r="K151" t="s">
        <v>263</v>
      </c>
      <c r="L151">
        <v>1385</v>
      </c>
      <c r="N151">
        <v>1013</v>
      </c>
      <c r="O151" t="s">
        <v>260</v>
      </c>
      <c r="P151" t="s">
        <v>260</v>
      </c>
      <c r="Q151">
        <v>1</v>
      </c>
      <c r="W151">
        <v>0</v>
      </c>
      <c r="X151">
        <v>1342183003</v>
      </c>
      <c r="Y151">
        <v>26</v>
      </c>
      <c r="AA151">
        <v>694.17</v>
      </c>
      <c r="AB151">
        <v>0</v>
      </c>
      <c r="AC151">
        <v>0</v>
      </c>
      <c r="AD151">
        <v>0</v>
      </c>
      <c r="AE151">
        <v>694.17</v>
      </c>
      <c r="AF151">
        <v>0</v>
      </c>
      <c r="AG151">
        <v>0</v>
      </c>
      <c r="AH151">
        <v>0</v>
      </c>
      <c r="AI151">
        <v>1</v>
      </c>
      <c r="AJ151">
        <v>1</v>
      </c>
      <c r="AK151">
        <v>1</v>
      </c>
      <c r="AL151">
        <v>1</v>
      </c>
      <c r="AN151">
        <v>0</v>
      </c>
      <c r="AO151">
        <v>0</v>
      </c>
      <c r="AP151">
        <v>0</v>
      </c>
      <c r="AQ151">
        <v>0</v>
      </c>
      <c r="AR151">
        <v>0</v>
      </c>
      <c r="AS151" t="s">
        <v>3</v>
      </c>
      <c r="AT151">
        <v>26</v>
      </c>
      <c r="AU151" t="s">
        <v>3</v>
      </c>
      <c r="AV151">
        <v>0</v>
      </c>
      <c r="AW151">
        <v>1</v>
      </c>
      <c r="AX151">
        <v>-1</v>
      </c>
      <c r="AY151">
        <v>0</v>
      </c>
      <c r="AZ151">
        <v>0</v>
      </c>
      <c r="BA151" t="s">
        <v>3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CX151">
        <f>Y151*Source!I199</f>
        <v>3.9</v>
      </c>
      <c r="CY151">
        <f>AA151</f>
        <v>694.17</v>
      </c>
      <c r="CZ151">
        <f>AE151</f>
        <v>694.17</v>
      </c>
      <c r="DA151">
        <f>AI151</f>
        <v>1</v>
      </c>
      <c r="DB151">
        <v>0</v>
      </c>
    </row>
    <row r="152" spans="1:106" x14ac:dyDescent="0.2">
      <c r="A152">
        <f>ROW(Source!A200)</f>
        <v>200</v>
      </c>
      <c r="B152">
        <v>45037307</v>
      </c>
      <c r="C152">
        <v>45037811</v>
      </c>
      <c r="D152">
        <v>22652952</v>
      </c>
      <c r="E152">
        <v>22652947</v>
      </c>
      <c r="F152">
        <v>1</v>
      </c>
      <c r="G152">
        <v>22652947</v>
      </c>
      <c r="H152">
        <v>1</v>
      </c>
      <c r="I152" t="s">
        <v>617</v>
      </c>
      <c r="J152" t="s">
        <v>3</v>
      </c>
      <c r="K152" t="s">
        <v>618</v>
      </c>
      <c r="L152">
        <v>1191</v>
      </c>
      <c r="N152">
        <v>1013</v>
      </c>
      <c r="O152" t="s">
        <v>619</v>
      </c>
      <c r="P152" t="s">
        <v>619</v>
      </c>
      <c r="Q152">
        <v>1</v>
      </c>
      <c r="W152">
        <v>0</v>
      </c>
      <c r="X152">
        <v>476480486</v>
      </c>
      <c r="Y152">
        <v>47.724999999999994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1</v>
      </c>
      <c r="AJ152">
        <v>1</v>
      </c>
      <c r="AK152">
        <v>1</v>
      </c>
      <c r="AL152">
        <v>1</v>
      </c>
      <c r="AN152">
        <v>0</v>
      </c>
      <c r="AO152">
        <v>1</v>
      </c>
      <c r="AP152">
        <v>1</v>
      </c>
      <c r="AQ152">
        <v>0</v>
      </c>
      <c r="AR152">
        <v>0</v>
      </c>
      <c r="AS152" t="s">
        <v>3</v>
      </c>
      <c r="AT152">
        <v>41.5</v>
      </c>
      <c r="AU152" t="s">
        <v>37</v>
      </c>
      <c r="AV152">
        <v>1</v>
      </c>
      <c r="AW152">
        <v>2</v>
      </c>
      <c r="AX152">
        <v>45038560</v>
      </c>
      <c r="AY152">
        <v>1</v>
      </c>
      <c r="AZ152">
        <v>0</v>
      </c>
      <c r="BA152">
        <v>151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CX152">
        <f>Y152*Source!I200</f>
        <v>7.1587499999999986</v>
      </c>
      <c r="CY152">
        <f>AD152</f>
        <v>0</v>
      </c>
      <c r="CZ152">
        <f>AH152</f>
        <v>0</v>
      </c>
      <c r="DA152">
        <f>AL152</f>
        <v>1</v>
      </c>
      <c r="DB152">
        <v>0</v>
      </c>
    </row>
    <row r="153" spans="1:106" x14ac:dyDescent="0.2">
      <c r="A153">
        <f>ROW(Source!A200)</f>
        <v>200</v>
      </c>
      <c r="B153">
        <v>45037307</v>
      </c>
      <c r="C153">
        <v>45037811</v>
      </c>
      <c r="D153">
        <v>22653672</v>
      </c>
      <c r="E153">
        <v>22652947</v>
      </c>
      <c r="F153">
        <v>1</v>
      </c>
      <c r="G153">
        <v>22652947</v>
      </c>
      <c r="H153">
        <v>2</v>
      </c>
      <c r="I153" t="s">
        <v>630</v>
      </c>
      <c r="J153" t="s">
        <v>3</v>
      </c>
      <c r="K153" t="s">
        <v>631</v>
      </c>
      <c r="L153">
        <v>1344</v>
      </c>
      <c r="N153">
        <v>1008</v>
      </c>
      <c r="O153" t="s">
        <v>632</v>
      </c>
      <c r="P153" t="s">
        <v>632</v>
      </c>
      <c r="Q153">
        <v>1</v>
      </c>
      <c r="W153">
        <v>0</v>
      </c>
      <c r="X153">
        <v>-1180195794</v>
      </c>
      <c r="Y153">
        <v>101.425</v>
      </c>
      <c r="AA153">
        <v>0</v>
      </c>
      <c r="AB153">
        <v>1</v>
      </c>
      <c r="AC153">
        <v>0</v>
      </c>
      <c r="AD153">
        <v>0</v>
      </c>
      <c r="AE153">
        <v>0</v>
      </c>
      <c r="AF153">
        <v>1</v>
      </c>
      <c r="AG153">
        <v>0</v>
      </c>
      <c r="AH153">
        <v>0</v>
      </c>
      <c r="AI153">
        <v>1</v>
      </c>
      <c r="AJ153">
        <v>1</v>
      </c>
      <c r="AK153">
        <v>1</v>
      </c>
      <c r="AL153">
        <v>1</v>
      </c>
      <c r="AN153">
        <v>0</v>
      </c>
      <c r="AO153">
        <v>1</v>
      </c>
      <c r="AP153">
        <v>1</v>
      </c>
      <c r="AQ153">
        <v>0</v>
      </c>
      <c r="AR153">
        <v>0</v>
      </c>
      <c r="AS153" t="s">
        <v>3</v>
      </c>
      <c r="AT153">
        <v>81.14</v>
      </c>
      <c r="AU153" t="s">
        <v>36</v>
      </c>
      <c r="AV153">
        <v>0</v>
      </c>
      <c r="AW153">
        <v>2</v>
      </c>
      <c r="AX153">
        <v>45038561</v>
      </c>
      <c r="AY153">
        <v>1</v>
      </c>
      <c r="AZ153">
        <v>0</v>
      </c>
      <c r="BA153">
        <v>152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CX153">
        <f>Y153*Source!I200</f>
        <v>15.213749999999999</v>
      </c>
      <c r="CY153">
        <f>AB153</f>
        <v>1</v>
      </c>
      <c r="CZ153">
        <f>AF153</f>
        <v>1</v>
      </c>
      <c r="DA153">
        <f>AJ153</f>
        <v>1</v>
      </c>
      <c r="DB153">
        <v>0</v>
      </c>
    </row>
    <row r="154" spans="1:106" x14ac:dyDescent="0.2">
      <c r="A154">
        <f>ROW(Source!A200)</f>
        <v>200</v>
      </c>
      <c r="B154">
        <v>45037307</v>
      </c>
      <c r="C154">
        <v>45037811</v>
      </c>
      <c r="D154">
        <v>22702046</v>
      </c>
      <c r="E154">
        <v>1</v>
      </c>
      <c r="F154">
        <v>1</v>
      </c>
      <c r="G154">
        <v>22652947</v>
      </c>
      <c r="H154">
        <v>3</v>
      </c>
      <c r="I154" t="s">
        <v>254</v>
      </c>
      <c r="J154" t="s">
        <v>256</v>
      </c>
      <c r="K154" t="s">
        <v>255</v>
      </c>
      <c r="L154">
        <v>1348</v>
      </c>
      <c r="N154">
        <v>1009</v>
      </c>
      <c r="O154" t="s">
        <v>29</v>
      </c>
      <c r="P154" t="s">
        <v>29</v>
      </c>
      <c r="Q154">
        <v>1000</v>
      </c>
      <c r="W154">
        <v>0</v>
      </c>
      <c r="X154">
        <v>2075225388</v>
      </c>
      <c r="Y154">
        <v>0.15</v>
      </c>
      <c r="AA154">
        <v>3356.88</v>
      </c>
      <c r="AB154">
        <v>0</v>
      </c>
      <c r="AC154">
        <v>0</v>
      </c>
      <c r="AD154">
        <v>0</v>
      </c>
      <c r="AE154">
        <v>315.2</v>
      </c>
      <c r="AF154">
        <v>0</v>
      </c>
      <c r="AG154">
        <v>0</v>
      </c>
      <c r="AH154">
        <v>0</v>
      </c>
      <c r="AI154">
        <v>10.65</v>
      </c>
      <c r="AJ154">
        <v>1</v>
      </c>
      <c r="AK154">
        <v>1</v>
      </c>
      <c r="AL154">
        <v>1</v>
      </c>
      <c r="AN154">
        <v>0</v>
      </c>
      <c r="AO154">
        <v>0</v>
      </c>
      <c r="AP154">
        <v>0</v>
      </c>
      <c r="AQ154">
        <v>0</v>
      </c>
      <c r="AR154">
        <v>0</v>
      </c>
      <c r="AS154" t="s">
        <v>3</v>
      </c>
      <c r="AT154">
        <v>0.15</v>
      </c>
      <c r="AU154" t="s">
        <v>3</v>
      </c>
      <c r="AV154">
        <v>0</v>
      </c>
      <c r="AW154">
        <v>1</v>
      </c>
      <c r="AX154">
        <v>-1</v>
      </c>
      <c r="AY154">
        <v>0</v>
      </c>
      <c r="AZ154">
        <v>0</v>
      </c>
      <c r="BA154" t="s">
        <v>3</v>
      </c>
      <c r="BB154">
        <v>0</v>
      </c>
      <c r="BC154">
        <v>0</v>
      </c>
      <c r="BD154">
        <v>0</v>
      </c>
      <c r="BE154">
        <v>0</v>
      </c>
      <c r="BF154">
        <v>0</v>
      </c>
      <c r="BG154">
        <v>0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0</v>
      </c>
      <c r="BQ154">
        <v>0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CX154">
        <f>Y154*Source!I200</f>
        <v>2.2499999999999999E-2</v>
      </c>
      <c r="CY154">
        <f>AA154</f>
        <v>3356.88</v>
      </c>
      <c r="CZ154">
        <f>AE154</f>
        <v>315.2</v>
      </c>
      <c r="DA154">
        <f>AI154</f>
        <v>10.65</v>
      </c>
      <c r="DB154">
        <v>0</v>
      </c>
    </row>
    <row r="155" spans="1:106" x14ac:dyDescent="0.2">
      <c r="A155">
        <f>ROW(Source!A200)</f>
        <v>200</v>
      </c>
      <c r="B155">
        <v>45037307</v>
      </c>
      <c r="C155">
        <v>45037811</v>
      </c>
      <c r="D155">
        <v>0</v>
      </c>
      <c r="E155">
        <v>22652947</v>
      </c>
      <c r="F155">
        <v>1</v>
      </c>
      <c r="G155">
        <v>22652947</v>
      </c>
      <c r="H155">
        <v>3</v>
      </c>
      <c r="I155" t="s">
        <v>258</v>
      </c>
      <c r="J155" t="s">
        <v>3</v>
      </c>
      <c r="K155" t="s">
        <v>259</v>
      </c>
      <c r="L155">
        <v>1385</v>
      </c>
      <c r="N155">
        <v>1013</v>
      </c>
      <c r="O155" t="s">
        <v>260</v>
      </c>
      <c r="P155" t="s">
        <v>260</v>
      </c>
      <c r="Q155">
        <v>1</v>
      </c>
      <c r="W155">
        <v>0</v>
      </c>
      <c r="X155">
        <v>1550056831</v>
      </c>
      <c r="Y155">
        <v>74</v>
      </c>
      <c r="AA155">
        <v>3716.96</v>
      </c>
      <c r="AB155">
        <v>0</v>
      </c>
      <c r="AC155">
        <v>0</v>
      </c>
      <c r="AD155">
        <v>0</v>
      </c>
      <c r="AE155">
        <v>710.7</v>
      </c>
      <c r="AF155">
        <v>0</v>
      </c>
      <c r="AG155">
        <v>0</v>
      </c>
      <c r="AH155">
        <v>0</v>
      </c>
      <c r="AI155">
        <v>5.23</v>
      </c>
      <c r="AJ155">
        <v>1</v>
      </c>
      <c r="AK155">
        <v>1</v>
      </c>
      <c r="AL155">
        <v>1</v>
      </c>
      <c r="AN155">
        <v>0</v>
      </c>
      <c r="AO155">
        <v>0</v>
      </c>
      <c r="AP155">
        <v>0</v>
      </c>
      <c r="AQ155">
        <v>0</v>
      </c>
      <c r="AR155">
        <v>0</v>
      </c>
      <c r="AS155" t="s">
        <v>3</v>
      </c>
      <c r="AT155">
        <v>74</v>
      </c>
      <c r="AU155" t="s">
        <v>3</v>
      </c>
      <c r="AV155">
        <v>0</v>
      </c>
      <c r="AW155">
        <v>1</v>
      </c>
      <c r="AX155">
        <v>-1</v>
      </c>
      <c r="AY155">
        <v>0</v>
      </c>
      <c r="AZ155">
        <v>0</v>
      </c>
      <c r="BA155" t="s">
        <v>3</v>
      </c>
      <c r="BB155">
        <v>0</v>
      </c>
      <c r="BC155">
        <v>0</v>
      </c>
      <c r="BD155">
        <v>0</v>
      </c>
      <c r="BE155">
        <v>0</v>
      </c>
      <c r="BF155">
        <v>0</v>
      </c>
      <c r="BG155">
        <v>0</v>
      </c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0</v>
      </c>
      <c r="BQ155">
        <v>0</v>
      </c>
      <c r="BR155">
        <v>0</v>
      </c>
      <c r="BS155">
        <v>0</v>
      </c>
      <c r="BT155">
        <v>0</v>
      </c>
      <c r="BU155">
        <v>0</v>
      </c>
      <c r="BV155">
        <v>0</v>
      </c>
      <c r="BW155">
        <v>0</v>
      </c>
      <c r="CX155">
        <f>Y155*Source!I200</f>
        <v>11.1</v>
      </c>
      <c r="CY155">
        <f>AA155</f>
        <v>3716.96</v>
      </c>
      <c r="CZ155">
        <f>AE155</f>
        <v>710.7</v>
      </c>
      <c r="DA155">
        <f>AI155</f>
        <v>5.23</v>
      </c>
      <c r="DB155">
        <v>0</v>
      </c>
    </row>
    <row r="156" spans="1:106" x14ac:dyDescent="0.2">
      <c r="A156">
        <f>ROW(Source!A200)</f>
        <v>200</v>
      </c>
      <c r="B156">
        <v>45037307</v>
      </c>
      <c r="C156">
        <v>45037811</v>
      </c>
      <c r="D156">
        <v>0</v>
      </c>
      <c r="E156">
        <v>22652947</v>
      </c>
      <c r="F156">
        <v>1</v>
      </c>
      <c r="G156">
        <v>22652947</v>
      </c>
      <c r="H156">
        <v>3</v>
      </c>
      <c r="I156" t="s">
        <v>258</v>
      </c>
      <c r="J156" t="s">
        <v>3</v>
      </c>
      <c r="K156" t="s">
        <v>263</v>
      </c>
      <c r="L156">
        <v>1385</v>
      </c>
      <c r="N156">
        <v>1013</v>
      </c>
      <c r="O156" t="s">
        <v>260</v>
      </c>
      <c r="P156" t="s">
        <v>260</v>
      </c>
      <c r="Q156">
        <v>1</v>
      </c>
      <c r="W156">
        <v>0</v>
      </c>
      <c r="X156">
        <v>1342183003</v>
      </c>
      <c r="Y156">
        <v>26</v>
      </c>
      <c r="AA156">
        <v>3630.51</v>
      </c>
      <c r="AB156">
        <v>0</v>
      </c>
      <c r="AC156">
        <v>0</v>
      </c>
      <c r="AD156">
        <v>0</v>
      </c>
      <c r="AE156">
        <v>694.17</v>
      </c>
      <c r="AF156">
        <v>0</v>
      </c>
      <c r="AG156">
        <v>0</v>
      </c>
      <c r="AH156">
        <v>0</v>
      </c>
      <c r="AI156">
        <v>5.23</v>
      </c>
      <c r="AJ156">
        <v>1</v>
      </c>
      <c r="AK156">
        <v>1</v>
      </c>
      <c r="AL156">
        <v>1</v>
      </c>
      <c r="AN156">
        <v>0</v>
      </c>
      <c r="AO156">
        <v>0</v>
      </c>
      <c r="AP156">
        <v>0</v>
      </c>
      <c r="AQ156">
        <v>0</v>
      </c>
      <c r="AR156">
        <v>0</v>
      </c>
      <c r="AS156" t="s">
        <v>3</v>
      </c>
      <c r="AT156">
        <v>26</v>
      </c>
      <c r="AU156" t="s">
        <v>3</v>
      </c>
      <c r="AV156">
        <v>0</v>
      </c>
      <c r="AW156">
        <v>1</v>
      </c>
      <c r="AX156">
        <v>-1</v>
      </c>
      <c r="AY156">
        <v>0</v>
      </c>
      <c r="AZ156">
        <v>0</v>
      </c>
      <c r="BA156" t="s">
        <v>3</v>
      </c>
      <c r="BB156">
        <v>0</v>
      </c>
      <c r="BC156">
        <v>0</v>
      </c>
      <c r="BD156">
        <v>0</v>
      </c>
      <c r="BE156">
        <v>0</v>
      </c>
      <c r="BF156">
        <v>0</v>
      </c>
      <c r="BG156">
        <v>0</v>
      </c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0</v>
      </c>
      <c r="BQ156">
        <v>0</v>
      </c>
      <c r="BR156">
        <v>0</v>
      </c>
      <c r="BS156">
        <v>0</v>
      </c>
      <c r="BT156">
        <v>0</v>
      </c>
      <c r="BU156">
        <v>0</v>
      </c>
      <c r="BV156">
        <v>0</v>
      </c>
      <c r="BW156">
        <v>0</v>
      </c>
      <c r="CX156">
        <f>Y156*Source!I200</f>
        <v>3.9</v>
      </c>
      <c r="CY156">
        <f>AA156</f>
        <v>3630.51</v>
      </c>
      <c r="CZ156">
        <f>AE156</f>
        <v>694.17</v>
      </c>
      <c r="DA156">
        <f>AI156</f>
        <v>5.23</v>
      </c>
      <c r="DB156">
        <v>0</v>
      </c>
    </row>
    <row r="157" spans="1:106" x14ac:dyDescent="0.2">
      <c r="A157">
        <f>ROW(Source!A207)</f>
        <v>207</v>
      </c>
      <c r="B157">
        <v>45037306</v>
      </c>
      <c r="C157">
        <v>45037824</v>
      </c>
      <c r="D157">
        <v>22652952</v>
      </c>
      <c r="E157">
        <v>22652947</v>
      </c>
      <c r="F157">
        <v>1</v>
      </c>
      <c r="G157">
        <v>22652947</v>
      </c>
      <c r="H157">
        <v>1</v>
      </c>
      <c r="I157" t="s">
        <v>617</v>
      </c>
      <c r="J157" t="s">
        <v>3</v>
      </c>
      <c r="K157" t="s">
        <v>618</v>
      </c>
      <c r="L157">
        <v>1191</v>
      </c>
      <c r="N157">
        <v>1013</v>
      </c>
      <c r="O157" t="s">
        <v>619</v>
      </c>
      <c r="P157" t="s">
        <v>619</v>
      </c>
      <c r="Q157">
        <v>1</v>
      </c>
      <c r="W157">
        <v>0</v>
      </c>
      <c r="X157">
        <v>476480486</v>
      </c>
      <c r="Y157">
        <v>205.85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1</v>
      </c>
      <c r="AJ157">
        <v>1</v>
      </c>
      <c r="AK157">
        <v>1</v>
      </c>
      <c r="AL157">
        <v>1</v>
      </c>
      <c r="AN157">
        <v>0</v>
      </c>
      <c r="AO157">
        <v>1</v>
      </c>
      <c r="AP157">
        <v>1</v>
      </c>
      <c r="AQ157">
        <v>0</v>
      </c>
      <c r="AR157">
        <v>0</v>
      </c>
      <c r="AS157" t="s">
        <v>3</v>
      </c>
      <c r="AT157">
        <v>179</v>
      </c>
      <c r="AU157" t="s">
        <v>37</v>
      </c>
      <c r="AV157">
        <v>1</v>
      </c>
      <c r="AW157">
        <v>2</v>
      </c>
      <c r="AX157">
        <v>45038564</v>
      </c>
      <c r="AY157">
        <v>1</v>
      </c>
      <c r="AZ157">
        <v>0</v>
      </c>
      <c r="BA157">
        <v>155</v>
      </c>
      <c r="BB157">
        <v>0</v>
      </c>
      <c r="BC157">
        <v>0</v>
      </c>
      <c r="BD157">
        <v>0</v>
      </c>
      <c r="BE157">
        <v>0</v>
      </c>
      <c r="BF157">
        <v>0</v>
      </c>
      <c r="BG157">
        <v>0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P157">
        <v>0</v>
      </c>
      <c r="BQ157">
        <v>0</v>
      </c>
      <c r="BR157">
        <v>0</v>
      </c>
      <c r="BS157">
        <v>0</v>
      </c>
      <c r="BT157">
        <v>0</v>
      </c>
      <c r="BU157">
        <v>0</v>
      </c>
      <c r="BV157">
        <v>0</v>
      </c>
      <c r="BW157">
        <v>0</v>
      </c>
      <c r="CX157">
        <f>Y157*Source!I207</f>
        <v>12.556849999999999</v>
      </c>
      <c r="CY157">
        <f>AD157</f>
        <v>0</v>
      </c>
      <c r="CZ157">
        <f>AH157</f>
        <v>0</v>
      </c>
      <c r="DA157">
        <f>AL157</f>
        <v>1</v>
      </c>
      <c r="DB157">
        <v>0</v>
      </c>
    </row>
    <row r="158" spans="1:106" x14ac:dyDescent="0.2">
      <c r="A158">
        <f>ROW(Source!A207)</f>
        <v>207</v>
      </c>
      <c r="B158">
        <v>45037306</v>
      </c>
      <c r="C158">
        <v>45037824</v>
      </c>
      <c r="D158">
        <v>22653672</v>
      </c>
      <c r="E158">
        <v>22652947</v>
      </c>
      <c r="F158">
        <v>1</v>
      </c>
      <c r="G158">
        <v>22652947</v>
      </c>
      <c r="H158">
        <v>2</v>
      </c>
      <c r="I158" t="s">
        <v>630</v>
      </c>
      <c r="J158" t="s">
        <v>3</v>
      </c>
      <c r="K158" t="s">
        <v>631</v>
      </c>
      <c r="L158">
        <v>1344</v>
      </c>
      <c r="N158">
        <v>1008</v>
      </c>
      <c r="O158" t="s">
        <v>632</v>
      </c>
      <c r="P158" t="s">
        <v>632</v>
      </c>
      <c r="Q158">
        <v>1</v>
      </c>
      <c r="W158">
        <v>0</v>
      </c>
      <c r="X158">
        <v>-1180195794</v>
      </c>
      <c r="Y158">
        <v>108.86250000000001</v>
      </c>
      <c r="AA158">
        <v>0</v>
      </c>
      <c r="AB158">
        <v>1</v>
      </c>
      <c r="AC158">
        <v>0</v>
      </c>
      <c r="AD158">
        <v>0</v>
      </c>
      <c r="AE158">
        <v>0</v>
      </c>
      <c r="AF158">
        <v>1</v>
      </c>
      <c r="AG158">
        <v>0</v>
      </c>
      <c r="AH158">
        <v>0</v>
      </c>
      <c r="AI158">
        <v>1</v>
      </c>
      <c r="AJ158">
        <v>1</v>
      </c>
      <c r="AK158">
        <v>1</v>
      </c>
      <c r="AL158">
        <v>1</v>
      </c>
      <c r="AN158">
        <v>0</v>
      </c>
      <c r="AO158">
        <v>1</v>
      </c>
      <c r="AP158">
        <v>1</v>
      </c>
      <c r="AQ158">
        <v>0</v>
      </c>
      <c r="AR158">
        <v>0</v>
      </c>
      <c r="AS158" t="s">
        <v>3</v>
      </c>
      <c r="AT158">
        <v>87.09</v>
      </c>
      <c r="AU158" t="s">
        <v>36</v>
      </c>
      <c r="AV158">
        <v>0</v>
      </c>
      <c r="AW158">
        <v>2</v>
      </c>
      <c r="AX158">
        <v>45038565</v>
      </c>
      <c r="AY158">
        <v>1</v>
      </c>
      <c r="AZ158">
        <v>0</v>
      </c>
      <c r="BA158">
        <v>156</v>
      </c>
      <c r="BB158">
        <v>0</v>
      </c>
      <c r="BC158">
        <v>0</v>
      </c>
      <c r="BD158">
        <v>0</v>
      </c>
      <c r="BE158">
        <v>0</v>
      </c>
      <c r="BF158">
        <v>0</v>
      </c>
      <c r="BG158">
        <v>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0</v>
      </c>
      <c r="BR158">
        <v>0</v>
      </c>
      <c r="BS158">
        <v>0</v>
      </c>
      <c r="BT158">
        <v>0</v>
      </c>
      <c r="BU158">
        <v>0</v>
      </c>
      <c r="BV158">
        <v>0</v>
      </c>
      <c r="BW158">
        <v>0</v>
      </c>
      <c r="CX158">
        <f>Y158*Source!I207</f>
        <v>6.6406125000000005</v>
      </c>
      <c r="CY158">
        <f>AB158</f>
        <v>1</v>
      </c>
      <c r="CZ158">
        <f>AF158</f>
        <v>1</v>
      </c>
      <c r="DA158">
        <f>AJ158</f>
        <v>1</v>
      </c>
      <c r="DB158">
        <v>0</v>
      </c>
    </row>
    <row r="159" spans="1:106" x14ac:dyDescent="0.2">
      <c r="A159">
        <f>ROW(Source!A207)</f>
        <v>207</v>
      </c>
      <c r="B159">
        <v>45037306</v>
      </c>
      <c r="C159">
        <v>45037824</v>
      </c>
      <c r="D159">
        <v>22700967</v>
      </c>
      <c r="E159">
        <v>1</v>
      </c>
      <c r="F159">
        <v>1</v>
      </c>
      <c r="G159">
        <v>22652947</v>
      </c>
      <c r="H159">
        <v>3</v>
      </c>
      <c r="I159" t="s">
        <v>273</v>
      </c>
      <c r="J159" t="s">
        <v>275</v>
      </c>
      <c r="K159" t="s">
        <v>274</v>
      </c>
      <c r="L159">
        <v>1339</v>
      </c>
      <c r="N159">
        <v>1007</v>
      </c>
      <c r="O159" t="s">
        <v>80</v>
      </c>
      <c r="P159" t="s">
        <v>80</v>
      </c>
      <c r="Q159">
        <v>1</v>
      </c>
      <c r="W159">
        <v>0</v>
      </c>
      <c r="X159">
        <v>-862991314</v>
      </c>
      <c r="Y159">
        <v>0.24640000000000001</v>
      </c>
      <c r="AA159">
        <v>7.07</v>
      </c>
      <c r="AB159">
        <v>0</v>
      </c>
      <c r="AC159">
        <v>0</v>
      </c>
      <c r="AD159">
        <v>0</v>
      </c>
      <c r="AE159">
        <v>7.07</v>
      </c>
      <c r="AF159">
        <v>0</v>
      </c>
      <c r="AG159">
        <v>0</v>
      </c>
      <c r="AH159">
        <v>0</v>
      </c>
      <c r="AI159">
        <v>1</v>
      </c>
      <c r="AJ159">
        <v>1</v>
      </c>
      <c r="AK159">
        <v>1</v>
      </c>
      <c r="AL159">
        <v>1</v>
      </c>
      <c r="AN159">
        <v>0</v>
      </c>
      <c r="AO159">
        <v>0</v>
      </c>
      <c r="AP159">
        <v>0</v>
      </c>
      <c r="AQ159">
        <v>0</v>
      </c>
      <c r="AR159">
        <v>0</v>
      </c>
      <c r="AS159" t="s">
        <v>3</v>
      </c>
      <c r="AT159">
        <v>0.24640000000000001</v>
      </c>
      <c r="AU159" t="s">
        <v>3</v>
      </c>
      <c r="AV159">
        <v>0</v>
      </c>
      <c r="AW159">
        <v>1</v>
      </c>
      <c r="AX159">
        <v>-1</v>
      </c>
      <c r="AY159">
        <v>0</v>
      </c>
      <c r="AZ159">
        <v>0</v>
      </c>
      <c r="BA159" t="s">
        <v>3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CX159">
        <f>Y159*Source!I207</f>
        <v>1.5030399999999999E-2</v>
      </c>
      <c r="CY159">
        <f>AA159</f>
        <v>7.07</v>
      </c>
      <c r="CZ159">
        <f>AE159</f>
        <v>7.07</v>
      </c>
      <c r="DA159">
        <f>AI159</f>
        <v>1</v>
      </c>
      <c r="DB159">
        <v>0</v>
      </c>
    </row>
    <row r="160" spans="1:106" x14ac:dyDescent="0.2">
      <c r="A160">
        <f>ROW(Source!A207)</f>
        <v>207</v>
      </c>
      <c r="B160">
        <v>45037306</v>
      </c>
      <c r="C160">
        <v>45037824</v>
      </c>
      <c r="D160">
        <v>22719483</v>
      </c>
      <c r="E160">
        <v>1</v>
      </c>
      <c r="F160">
        <v>1</v>
      </c>
      <c r="G160">
        <v>22652947</v>
      </c>
      <c r="H160">
        <v>3</v>
      </c>
      <c r="I160" t="s">
        <v>281</v>
      </c>
      <c r="J160" t="s">
        <v>283</v>
      </c>
      <c r="K160" t="s">
        <v>282</v>
      </c>
      <c r="L160">
        <v>1339</v>
      </c>
      <c r="N160">
        <v>1007</v>
      </c>
      <c r="O160" t="s">
        <v>80</v>
      </c>
      <c r="P160" t="s">
        <v>80</v>
      </c>
      <c r="Q160">
        <v>1</v>
      </c>
      <c r="W160">
        <v>0</v>
      </c>
      <c r="X160">
        <v>-2018362707</v>
      </c>
      <c r="Y160">
        <v>3.44</v>
      </c>
      <c r="AA160">
        <v>441.1</v>
      </c>
      <c r="AB160">
        <v>0</v>
      </c>
      <c r="AC160">
        <v>0</v>
      </c>
      <c r="AD160">
        <v>0</v>
      </c>
      <c r="AE160">
        <v>441.1</v>
      </c>
      <c r="AF160">
        <v>0</v>
      </c>
      <c r="AG160">
        <v>0</v>
      </c>
      <c r="AH160">
        <v>0</v>
      </c>
      <c r="AI160">
        <v>1</v>
      </c>
      <c r="AJ160">
        <v>1</v>
      </c>
      <c r="AK160">
        <v>1</v>
      </c>
      <c r="AL160">
        <v>1</v>
      </c>
      <c r="AN160">
        <v>0</v>
      </c>
      <c r="AO160">
        <v>0</v>
      </c>
      <c r="AP160">
        <v>0</v>
      </c>
      <c r="AQ160">
        <v>0</v>
      </c>
      <c r="AR160">
        <v>0</v>
      </c>
      <c r="AS160" t="s">
        <v>3</v>
      </c>
      <c r="AT160">
        <v>3.44</v>
      </c>
      <c r="AU160" t="s">
        <v>3</v>
      </c>
      <c r="AV160">
        <v>0</v>
      </c>
      <c r="AW160">
        <v>1</v>
      </c>
      <c r="AX160">
        <v>-1</v>
      </c>
      <c r="AY160">
        <v>0</v>
      </c>
      <c r="AZ160">
        <v>0</v>
      </c>
      <c r="BA160" t="s">
        <v>3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CX160">
        <f>Y160*Source!I207</f>
        <v>0.20984</v>
      </c>
      <c r="CY160">
        <f>AA160</f>
        <v>441.1</v>
      </c>
      <c r="CZ160">
        <f>AE160</f>
        <v>441.1</v>
      </c>
      <c r="DA160">
        <f>AI160</f>
        <v>1</v>
      </c>
      <c r="DB160">
        <v>0</v>
      </c>
    </row>
    <row r="161" spans="1:106" x14ac:dyDescent="0.2">
      <c r="A161">
        <f>ROW(Source!A207)</f>
        <v>207</v>
      </c>
      <c r="B161">
        <v>45037306</v>
      </c>
      <c r="C161">
        <v>45037824</v>
      </c>
      <c r="D161">
        <v>22719497</v>
      </c>
      <c r="E161">
        <v>1</v>
      </c>
      <c r="F161">
        <v>1</v>
      </c>
      <c r="G161">
        <v>22652947</v>
      </c>
      <c r="H161">
        <v>3</v>
      </c>
      <c r="I161" t="s">
        <v>277</v>
      </c>
      <c r="J161" t="s">
        <v>279</v>
      </c>
      <c r="K161" t="s">
        <v>278</v>
      </c>
      <c r="L161">
        <v>1348</v>
      </c>
      <c r="N161">
        <v>1009</v>
      </c>
      <c r="O161" t="s">
        <v>29</v>
      </c>
      <c r="P161" t="s">
        <v>29</v>
      </c>
      <c r="Q161">
        <v>1000</v>
      </c>
      <c r="W161">
        <v>0</v>
      </c>
      <c r="X161">
        <v>1872927496</v>
      </c>
      <c r="Y161">
        <v>1.4079999999999999</v>
      </c>
      <c r="AA161">
        <v>1823.55</v>
      </c>
      <c r="AB161">
        <v>0</v>
      </c>
      <c r="AC161">
        <v>0</v>
      </c>
      <c r="AD161">
        <v>0</v>
      </c>
      <c r="AE161">
        <v>1823.55</v>
      </c>
      <c r="AF161">
        <v>0</v>
      </c>
      <c r="AG161">
        <v>0</v>
      </c>
      <c r="AH161">
        <v>0</v>
      </c>
      <c r="AI161">
        <v>1</v>
      </c>
      <c r="AJ161">
        <v>1</v>
      </c>
      <c r="AK161">
        <v>1</v>
      </c>
      <c r="AL161">
        <v>1</v>
      </c>
      <c r="AN161">
        <v>0</v>
      </c>
      <c r="AO161">
        <v>0</v>
      </c>
      <c r="AP161">
        <v>0</v>
      </c>
      <c r="AQ161">
        <v>0</v>
      </c>
      <c r="AR161">
        <v>0</v>
      </c>
      <c r="AS161" t="s">
        <v>3</v>
      </c>
      <c r="AT161">
        <v>1.4079999999999999</v>
      </c>
      <c r="AU161" t="s">
        <v>3</v>
      </c>
      <c r="AV161">
        <v>0</v>
      </c>
      <c r="AW161">
        <v>1</v>
      </c>
      <c r="AX161">
        <v>-1</v>
      </c>
      <c r="AY161">
        <v>0</v>
      </c>
      <c r="AZ161">
        <v>0</v>
      </c>
      <c r="BA161" t="s">
        <v>3</v>
      </c>
      <c r="BB161">
        <v>0</v>
      </c>
      <c r="BC161">
        <v>0</v>
      </c>
      <c r="BD161">
        <v>0</v>
      </c>
      <c r="BE161">
        <v>0</v>
      </c>
      <c r="BF161">
        <v>0</v>
      </c>
      <c r="BG161">
        <v>0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0</v>
      </c>
      <c r="BQ161">
        <v>0</v>
      </c>
      <c r="BR161">
        <v>0</v>
      </c>
      <c r="BS161">
        <v>0</v>
      </c>
      <c r="BT161">
        <v>0</v>
      </c>
      <c r="BU161">
        <v>0</v>
      </c>
      <c r="BV161">
        <v>0</v>
      </c>
      <c r="BW161">
        <v>0</v>
      </c>
      <c r="CX161">
        <f>Y161*Source!I207</f>
        <v>8.5887999999999992E-2</v>
      </c>
      <c r="CY161">
        <f>AA161</f>
        <v>1823.55</v>
      </c>
      <c r="CZ161">
        <f>AE161</f>
        <v>1823.55</v>
      </c>
      <c r="DA161">
        <f>AI161</f>
        <v>1</v>
      </c>
      <c r="DB161">
        <v>0</v>
      </c>
    </row>
    <row r="162" spans="1:106" x14ac:dyDescent="0.2">
      <c r="A162">
        <f>ROW(Source!A207)</f>
        <v>207</v>
      </c>
      <c r="B162">
        <v>45037306</v>
      </c>
      <c r="C162">
        <v>45037824</v>
      </c>
      <c r="D162">
        <v>22674651</v>
      </c>
      <c r="E162">
        <v>22652947</v>
      </c>
      <c r="F162">
        <v>1</v>
      </c>
      <c r="G162">
        <v>22652947</v>
      </c>
      <c r="H162">
        <v>3</v>
      </c>
      <c r="I162" t="s">
        <v>675</v>
      </c>
      <c r="J162" t="s">
        <v>3</v>
      </c>
      <c r="K162" t="s">
        <v>676</v>
      </c>
      <c r="L162">
        <v>1344</v>
      </c>
      <c r="N162">
        <v>1008</v>
      </c>
      <c r="O162" t="s">
        <v>632</v>
      </c>
      <c r="P162" t="s">
        <v>632</v>
      </c>
      <c r="Q162">
        <v>1</v>
      </c>
      <c r="W162">
        <v>0</v>
      </c>
      <c r="X162">
        <v>-94250534</v>
      </c>
      <c r="Y162">
        <v>0.71</v>
      </c>
      <c r="AA162">
        <v>1</v>
      </c>
      <c r="AB162">
        <v>0</v>
      </c>
      <c r="AC162">
        <v>0</v>
      </c>
      <c r="AD162">
        <v>0</v>
      </c>
      <c r="AE162">
        <v>1</v>
      </c>
      <c r="AF162">
        <v>0</v>
      </c>
      <c r="AG162">
        <v>0</v>
      </c>
      <c r="AH162">
        <v>0</v>
      </c>
      <c r="AI162">
        <v>1</v>
      </c>
      <c r="AJ162">
        <v>1</v>
      </c>
      <c r="AK162">
        <v>1</v>
      </c>
      <c r="AL162">
        <v>1</v>
      </c>
      <c r="AN162">
        <v>0</v>
      </c>
      <c r="AO162">
        <v>1</v>
      </c>
      <c r="AP162">
        <v>0</v>
      </c>
      <c r="AQ162">
        <v>0</v>
      </c>
      <c r="AR162">
        <v>0</v>
      </c>
      <c r="AS162" t="s">
        <v>3</v>
      </c>
      <c r="AT162">
        <v>0.71</v>
      </c>
      <c r="AU162" t="s">
        <v>3</v>
      </c>
      <c r="AV162">
        <v>0</v>
      </c>
      <c r="AW162">
        <v>2</v>
      </c>
      <c r="AX162">
        <v>45038570</v>
      </c>
      <c r="AY162">
        <v>1</v>
      </c>
      <c r="AZ162">
        <v>0</v>
      </c>
      <c r="BA162">
        <v>161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CX162">
        <f>Y162*Source!I207</f>
        <v>4.3309999999999994E-2</v>
      </c>
      <c r="CY162">
        <f>AA162</f>
        <v>1</v>
      </c>
      <c r="CZ162">
        <f>AE162</f>
        <v>1</v>
      </c>
      <c r="DA162">
        <f>AI162</f>
        <v>1</v>
      </c>
      <c r="DB162">
        <v>0</v>
      </c>
    </row>
    <row r="163" spans="1:106" x14ac:dyDescent="0.2">
      <c r="A163">
        <f>ROW(Source!A208)</f>
        <v>208</v>
      </c>
      <c r="B163">
        <v>45037307</v>
      </c>
      <c r="C163">
        <v>45037824</v>
      </c>
      <c r="D163">
        <v>22652952</v>
      </c>
      <c r="E163">
        <v>22652947</v>
      </c>
      <c r="F163">
        <v>1</v>
      </c>
      <c r="G163">
        <v>22652947</v>
      </c>
      <c r="H163">
        <v>1</v>
      </c>
      <c r="I163" t="s">
        <v>617</v>
      </c>
      <c r="J163" t="s">
        <v>3</v>
      </c>
      <c r="K163" t="s">
        <v>618</v>
      </c>
      <c r="L163">
        <v>1191</v>
      </c>
      <c r="N163">
        <v>1013</v>
      </c>
      <c r="O163" t="s">
        <v>619</v>
      </c>
      <c r="P163" t="s">
        <v>619</v>
      </c>
      <c r="Q163">
        <v>1</v>
      </c>
      <c r="W163">
        <v>0</v>
      </c>
      <c r="X163">
        <v>476480486</v>
      </c>
      <c r="Y163">
        <v>205.85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1</v>
      </c>
      <c r="AJ163">
        <v>1</v>
      </c>
      <c r="AK163">
        <v>1</v>
      </c>
      <c r="AL163">
        <v>1</v>
      </c>
      <c r="AN163">
        <v>0</v>
      </c>
      <c r="AO163">
        <v>1</v>
      </c>
      <c r="AP163">
        <v>1</v>
      </c>
      <c r="AQ163">
        <v>0</v>
      </c>
      <c r="AR163">
        <v>0</v>
      </c>
      <c r="AS163" t="s">
        <v>3</v>
      </c>
      <c r="AT163">
        <v>179</v>
      </c>
      <c r="AU163" t="s">
        <v>37</v>
      </c>
      <c r="AV163">
        <v>1</v>
      </c>
      <c r="AW163">
        <v>2</v>
      </c>
      <c r="AX163">
        <v>45038564</v>
      </c>
      <c r="AY163">
        <v>1</v>
      </c>
      <c r="AZ163">
        <v>0</v>
      </c>
      <c r="BA163">
        <v>162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CX163">
        <f>Y163*Source!I208</f>
        <v>12.556849999999999</v>
      </c>
      <c r="CY163">
        <f>AD163</f>
        <v>0</v>
      </c>
      <c r="CZ163">
        <f>AH163</f>
        <v>0</v>
      </c>
      <c r="DA163">
        <f>AL163</f>
        <v>1</v>
      </c>
      <c r="DB163">
        <v>0</v>
      </c>
    </row>
    <row r="164" spans="1:106" x14ac:dyDescent="0.2">
      <c r="A164">
        <f>ROW(Source!A208)</f>
        <v>208</v>
      </c>
      <c r="B164">
        <v>45037307</v>
      </c>
      <c r="C164">
        <v>45037824</v>
      </c>
      <c r="D164">
        <v>22653672</v>
      </c>
      <c r="E164">
        <v>22652947</v>
      </c>
      <c r="F164">
        <v>1</v>
      </c>
      <c r="G164">
        <v>22652947</v>
      </c>
      <c r="H164">
        <v>2</v>
      </c>
      <c r="I164" t="s">
        <v>630</v>
      </c>
      <c r="J164" t="s">
        <v>3</v>
      </c>
      <c r="K164" t="s">
        <v>631</v>
      </c>
      <c r="L164">
        <v>1344</v>
      </c>
      <c r="N164">
        <v>1008</v>
      </c>
      <c r="O164" t="s">
        <v>632</v>
      </c>
      <c r="P164" t="s">
        <v>632</v>
      </c>
      <c r="Q164">
        <v>1</v>
      </c>
      <c r="W164">
        <v>0</v>
      </c>
      <c r="X164">
        <v>-1180195794</v>
      </c>
      <c r="Y164">
        <v>108.86250000000001</v>
      </c>
      <c r="AA164">
        <v>0</v>
      </c>
      <c r="AB164">
        <v>1</v>
      </c>
      <c r="AC164">
        <v>0</v>
      </c>
      <c r="AD164">
        <v>0</v>
      </c>
      <c r="AE164">
        <v>0</v>
      </c>
      <c r="AF164">
        <v>1</v>
      </c>
      <c r="AG164">
        <v>0</v>
      </c>
      <c r="AH164">
        <v>0</v>
      </c>
      <c r="AI164">
        <v>1</v>
      </c>
      <c r="AJ164">
        <v>1</v>
      </c>
      <c r="AK164">
        <v>1</v>
      </c>
      <c r="AL164">
        <v>1</v>
      </c>
      <c r="AN164">
        <v>0</v>
      </c>
      <c r="AO164">
        <v>1</v>
      </c>
      <c r="AP164">
        <v>1</v>
      </c>
      <c r="AQ164">
        <v>0</v>
      </c>
      <c r="AR164">
        <v>0</v>
      </c>
      <c r="AS164" t="s">
        <v>3</v>
      </c>
      <c r="AT164">
        <v>87.09</v>
      </c>
      <c r="AU164" t="s">
        <v>36</v>
      </c>
      <c r="AV164">
        <v>0</v>
      </c>
      <c r="AW164">
        <v>2</v>
      </c>
      <c r="AX164">
        <v>45038565</v>
      </c>
      <c r="AY164">
        <v>1</v>
      </c>
      <c r="AZ164">
        <v>0</v>
      </c>
      <c r="BA164">
        <v>163</v>
      </c>
      <c r="BB164">
        <v>0</v>
      </c>
      <c r="BC164">
        <v>0</v>
      </c>
      <c r="BD164">
        <v>0</v>
      </c>
      <c r="BE164">
        <v>0</v>
      </c>
      <c r="BF164">
        <v>0</v>
      </c>
      <c r="BG164">
        <v>0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0</v>
      </c>
      <c r="BQ164">
        <v>0</v>
      </c>
      <c r="BR164">
        <v>0</v>
      </c>
      <c r="BS164">
        <v>0</v>
      </c>
      <c r="BT164">
        <v>0</v>
      </c>
      <c r="BU164">
        <v>0</v>
      </c>
      <c r="BV164">
        <v>0</v>
      </c>
      <c r="BW164">
        <v>0</v>
      </c>
      <c r="CX164">
        <f>Y164*Source!I208</f>
        <v>6.6406125000000005</v>
      </c>
      <c r="CY164">
        <f>AB164</f>
        <v>1</v>
      </c>
      <c r="CZ164">
        <f>AF164</f>
        <v>1</v>
      </c>
      <c r="DA164">
        <f>AJ164</f>
        <v>1</v>
      </c>
      <c r="DB164">
        <v>0</v>
      </c>
    </row>
    <row r="165" spans="1:106" x14ac:dyDescent="0.2">
      <c r="A165">
        <f>ROW(Source!A208)</f>
        <v>208</v>
      </c>
      <c r="B165">
        <v>45037307</v>
      </c>
      <c r="C165">
        <v>45037824</v>
      </c>
      <c r="D165">
        <v>22700967</v>
      </c>
      <c r="E165">
        <v>1</v>
      </c>
      <c r="F165">
        <v>1</v>
      </c>
      <c r="G165">
        <v>22652947</v>
      </c>
      <c r="H165">
        <v>3</v>
      </c>
      <c r="I165" t="s">
        <v>273</v>
      </c>
      <c r="J165" t="s">
        <v>275</v>
      </c>
      <c r="K165" t="s">
        <v>274</v>
      </c>
      <c r="L165">
        <v>1339</v>
      </c>
      <c r="N165">
        <v>1007</v>
      </c>
      <c r="O165" t="s">
        <v>80</v>
      </c>
      <c r="P165" t="s">
        <v>80</v>
      </c>
      <c r="Q165">
        <v>1</v>
      </c>
      <c r="W165">
        <v>0</v>
      </c>
      <c r="X165">
        <v>-862991314</v>
      </c>
      <c r="Y165">
        <v>0.24640000000000001</v>
      </c>
      <c r="AA165">
        <v>29.98</v>
      </c>
      <c r="AB165">
        <v>0</v>
      </c>
      <c r="AC165">
        <v>0</v>
      </c>
      <c r="AD165">
        <v>0</v>
      </c>
      <c r="AE165">
        <v>7.07</v>
      </c>
      <c r="AF165">
        <v>0</v>
      </c>
      <c r="AG165">
        <v>0</v>
      </c>
      <c r="AH165">
        <v>0</v>
      </c>
      <c r="AI165">
        <v>4.24</v>
      </c>
      <c r="AJ165">
        <v>1</v>
      </c>
      <c r="AK165">
        <v>1</v>
      </c>
      <c r="AL165">
        <v>1</v>
      </c>
      <c r="AN165">
        <v>0</v>
      </c>
      <c r="AO165">
        <v>0</v>
      </c>
      <c r="AP165">
        <v>0</v>
      </c>
      <c r="AQ165">
        <v>0</v>
      </c>
      <c r="AR165">
        <v>0</v>
      </c>
      <c r="AS165" t="s">
        <v>3</v>
      </c>
      <c r="AT165">
        <v>0.24640000000000001</v>
      </c>
      <c r="AU165" t="s">
        <v>3</v>
      </c>
      <c r="AV165">
        <v>0</v>
      </c>
      <c r="AW165">
        <v>1</v>
      </c>
      <c r="AX165">
        <v>-1</v>
      </c>
      <c r="AY165">
        <v>0</v>
      </c>
      <c r="AZ165">
        <v>0</v>
      </c>
      <c r="BA165" t="s">
        <v>3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CX165">
        <f>Y165*Source!I208</f>
        <v>1.5030399999999999E-2</v>
      </c>
      <c r="CY165">
        <f>AA165</f>
        <v>29.98</v>
      </c>
      <c r="CZ165">
        <f>AE165</f>
        <v>7.07</v>
      </c>
      <c r="DA165">
        <f>AI165</f>
        <v>4.24</v>
      </c>
      <c r="DB165">
        <v>0</v>
      </c>
    </row>
    <row r="166" spans="1:106" x14ac:dyDescent="0.2">
      <c r="A166">
        <f>ROW(Source!A208)</f>
        <v>208</v>
      </c>
      <c r="B166">
        <v>45037307</v>
      </c>
      <c r="C166">
        <v>45037824</v>
      </c>
      <c r="D166">
        <v>22719483</v>
      </c>
      <c r="E166">
        <v>1</v>
      </c>
      <c r="F166">
        <v>1</v>
      </c>
      <c r="G166">
        <v>22652947</v>
      </c>
      <c r="H166">
        <v>3</v>
      </c>
      <c r="I166" t="s">
        <v>281</v>
      </c>
      <c r="J166" t="s">
        <v>283</v>
      </c>
      <c r="K166" t="s">
        <v>282</v>
      </c>
      <c r="L166">
        <v>1339</v>
      </c>
      <c r="N166">
        <v>1007</v>
      </c>
      <c r="O166" t="s">
        <v>80</v>
      </c>
      <c r="P166" t="s">
        <v>80</v>
      </c>
      <c r="Q166">
        <v>1</v>
      </c>
      <c r="W166">
        <v>0</v>
      </c>
      <c r="X166">
        <v>-2018362707</v>
      </c>
      <c r="Y166">
        <v>3.44</v>
      </c>
      <c r="AA166">
        <v>2915.67</v>
      </c>
      <c r="AB166">
        <v>0</v>
      </c>
      <c r="AC166">
        <v>0</v>
      </c>
      <c r="AD166">
        <v>0</v>
      </c>
      <c r="AE166">
        <v>441.1</v>
      </c>
      <c r="AF166">
        <v>0</v>
      </c>
      <c r="AG166">
        <v>0</v>
      </c>
      <c r="AH166">
        <v>0</v>
      </c>
      <c r="AI166">
        <v>6.61</v>
      </c>
      <c r="AJ166">
        <v>1</v>
      </c>
      <c r="AK166">
        <v>1</v>
      </c>
      <c r="AL166">
        <v>1</v>
      </c>
      <c r="AN166">
        <v>0</v>
      </c>
      <c r="AO166">
        <v>0</v>
      </c>
      <c r="AP166">
        <v>0</v>
      </c>
      <c r="AQ166">
        <v>0</v>
      </c>
      <c r="AR166">
        <v>0</v>
      </c>
      <c r="AS166" t="s">
        <v>3</v>
      </c>
      <c r="AT166">
        <v>3.44</v>
      </c>
      <c r="AU166" t="s">
        <v>3</v>
      </c>
      <c r="AV166">
        <v>0</v>
      </c>
      <c r="AW166">
        <v>1</v>
      </c>
      <c r="AX166">
        <v>-1</v>
      </c>
      <c r="AY166">
        <v>0</v>
      </c>
      <c r="AZ166">
        <v>0</v>
      </c>
      <c r="BA166" t="s">
        <v>3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CX166">
        <f>Y166*Source!I208</f>
        <v>0.20984</v>
      </c>
      <c r="CY166">
        <f>AA166</f>
        <v>2915.67</v>
      </c>
      <c r="CZ166">
        <f>AE166</f>
        <v>441.1</v>
      </c>
      <c r="DA166">
        <f>AI166</f>
        <v>6.61</v>
      </c>
      <c r="DB166">
        <v>0</v>
      </c>
    </row>
    <row r="167" spans="1:106" x14ac:dyDescent="0.2">
      <c r="A167">
        <f>ROW(Source!A208)</f>
        <v>208</v>
      </c>
      <c r="B167">
        <v>45037307</v>
      </c>
      <c r="C167">
        <v>45037824</v>
      </c>
      <c r="D167">
        <v>22719497</v>
      </c>
      <c r="E167">
        <v>1</v>
      </c>
      <c r="F167">
        <v>1</v>
      </c>
      <c r="G167">
        <v>22652947</v>
      </c>
      <c r="H167">
        <v>3</v>
      </c>
      <c r="I167" t="s">
        <v>277</v>
      </c>
      <c r="J167" t="s">
        <v>279</v>
      </c>
      <c r="K167" t="s">
        <v>278</v>
      </c>
      <c r="L167">
        <v>1348</v>
      </c>
      <c r="N167">
        <v>1009</v>
      </c>
      <c r="O167" t="s">
        <v>29</v>
      </c>
      <c r="P167" t="s">
        <v>29</v>
      </c>
      <c r="Q167">
        <v>1000</v>
      </c>
      <c r="W167">
        <v>0</v>
      </c>
      <c r="X167">
        <v>1872927496</v>
      </c>
      <c r="Y167">
        <v>1.4079999999999999</v>
      </c>
      <c r="AA167">
        <v>4412.99</v>
      </c>
      <c r="AB167">
        <v>0</v>
      </c>
      <c r="AC167">
        <v>0</v>
      </c>
      <c r="AD167">
        <v>0</v>
      </c>
      <c r="AE167">
        <v>1823.55</v>
      </c>
      <c r="AF167">
        <v>0</v>
      </c>
      <c r="AG167">
        <v>0</v>
      </c>
      <c r="AH167">
        <v>0</v>
      </c>
      <c r="AI167">
        <v>2.42</v>
      </c>
      <c r="AJ167">
        <v>1</v>
      </c>
      <c r="AK167">
        <v>1</v>
      </c>
      <c r="AL167">
        <v>1</v>
      </c>
      <c r="AN167">
        <v>0</v>
      </c>
      <c r="AO167">
        <v>0</v>
      </c>
      <c r="AP167">
        <v>0</v>
      </c>
      <c r="AQ167">
        <v>0</v>
      </c>
      <c r="AR167">
        <v>0</v>
      </c>
      <c r="AS167" t="s">
        <v>3</v>
      </c>
      <c r="AT167">
        <v>1.4079999999999999</v>
      </c>
      <c r="AU167" t="s">
        <v>3</v>
      </c>
      <c r="AV167">
        <v>0</v>
      </c>
      <c r="AW167">
        <v>1</v>
      </c>
      <c r="AX167">
        <v>-1</v>
      </c>
      <c r="AY167">
        <v>0</v>
      </c>
      <c r="AZ167">
        <v>0</v>
      </c>
      <c r="BA167" t="s">
        <v>3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CX167">
        <f>Y167*Source!I208</f>
        <v>8.5887999999999992E-2</v>
      </c>
      <c r="CY167">
        <f>AA167</f>
        <v>4412.99</v>
      </c>
      <c r="CZ167">
        <f>AE167</f>
        <v>1823.55</v>
      </c>
      <c r="DA167">
        <f>AI167</f>
        <v>2.42</v>
      </c>
      <c r="DB167">
        <v>0</v>
      </c>
    </row>
    <row r="168" spans="1:106" x14ac:dyDescent="0.2">
      <c r="A168">
        <f>ROW(Source!A208)</f>
        <v>208</v>
      </c>
      <c r="B168">
        <v>45037307</v>
      </c>
      <c r="C168">
        <v>45037824</v>
      </c>
      <c r="D168">
        <v>22674651</v>
      </c>
      <c r="E168">
        <v>22652947</v>
      </c>
      <c r="F168">
        <v>1</v>
      </c>
      <c r="G168">
        <v>22652947</v>
      </c>
      <c r="H168">
        <v>3</v>
      </c>
      <c r="I168" t="s">
        <v>675</v>
      </c>
      <c r="J168" t="s">
        <v>3</v>
      </c>
      <c r="K168" t="s">
        <v>676</v>
      </c>
      <c r="L168">
        <v>1344</v>
      </c>
      <c r="N168">
        <v>1008</v>
      </c>
      <c r="O168" t="s">
        <v>632</v>
      </c>
      <c r="P168" t="s">
        <v>632</v>
      </c>
      <c r="Q168">
        <v>1</v>
      </c>
      <c r="W168">
        <v>0</v>
      </c>
      <c r="X168">
        <v>-94250534</v>
      </c>
      <c r="Y168">
        <v>0.71</v>
      </c>
      <c r="AA168">
        <v>1</v>
      </c>
      <c r="AB168">
        <v>0</v>
      </c>
      <c r="AC168">
        <v>0</v>
      </c>
      <c r="AD168">
        <v>0</v>
      </c>
      <c r="AE168">
        <v>1</v>
      </c>
      <c r="AF168">
        <v>0</v>
      </c>
      <c r="AG168">
        <v>0</v>
      </c>
      <c r="AH168">
        <v>0</v>
      </c>
      <c r="AI168">
        <v>1</v>
      </c>
      <c r="AJ168">
        <v>1</v>
      </c>
      <c r="AK168">
        <v>1</v>
      </c>
      <c r="AL168">
        <v>1</v>
      </c>
      <c r="AN168">
        <v>0</v>
      </c>
      <c r="AO168">
        <v>1</v>
      </c>
      <c r="AP168">
        <v>0</v>
      </c>
      <c r="AQ168">
        <v>0</v>
      </c>
      <c r="AR168">
        <v>0</v>
      </c>
      <c r="AS168" t="s">
        <v>3</v>
      </c>
      <c r="AT168">
        <v>0.71</v>
      </c>
      <c r="AU168" t="s">
        <v>3</v>
      </c>
      <c r="AV168">
        <v>0</v>
      </c>
      <c r="AW168">
        <v>2</v>
      </c>
      <c r="AX168">
        <v>45038570</v>
      </c>
      <c r="AY168">
        <v>1</v>
      </c>
      <c r="AZ168">
        <v>0</v>
      </c>
      <c r="BA168">
        <v>168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CX168">
        <f>Y168*Source!I208</f>
        <v>4.3309999999999994E-2</v>
      </c>
      <c r="CY168">
        <f>AA168</f>
        <v>1</v>
      </c>
      <c r="CZ168">
        <f>AE168</f>
        <v>1</v>
      </c>
      <c r="DA168">
        <f>AI168</f>
        <v>1</v>
      </c>
      <c r="DB168">
        <v>0</v>
      </c>
    </row>
    <row r="169" spans="1:106" x14ac:dyDescent="0.2">
      <c r="A169">
        <f>ROW(Source!A215)</f>
        <v>215</v>
      </c>
      <c r="B169">
        <v>45037306</v>
      </c>
      <c r="C169">
        <v>45037841</v>
      </c>
      <c r="D169">
        <v>22652952</v>
      </c>
      <c r="E169">
        <v>22652947</v>
      </c>
      <c r="F169">
        <v>1</v>
      </c>
      <c r="G169">
        <v>22652947</v>
      </c>
      <c r="H169">
        <v>1</v>
      </c>
      <c r="I169" t="s">
        <v>617</v>
      </c>
      <c r="J169" t="s">
        <v>3</v>
      </c>
      <c r="K169" t="s">
        <v>618</v>
      </c>
      <c r="L169">
        <v>1191</v>
      </c>
      <c r="N169">
        <v>1013</v>
      </c>
      <c r="O169" t="s">
        <v>619</v>
      </c>
      <c r="P169" t="s">
        <v>619</v>
      </c>
      <c r="Q169">
        <v>1</v>
      </c>
      <c r="W169">
        <v>0</v>
      </c>
      <c r="X169">
        <v>476480486</v>
      </c>
      <c r="Y169">
        <v>44.849999999999994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1</v>
      </c>
      <c r="AJ169">
        <v>1</v>
      </c>
      <c r="AK169">
        <v>1</v>
      </c>
      <c r="AL169">
        <v>1</v>
      </c>
      <c r="AN169">
        <v>0</v>
      </c>
      <c r="AO169">
        <v>1</v>
      </c>
      <c r="AP169">
        <v>1</v>
      </c>
      <c r="AQ169">
        <v>0</v>
      </c>
      <c r="AR169">
        <v>0</v>
      </c>
      <c r="AS169" t="s">
        <v>3</v>
      </c>
      <c r="AT169">
        <v>39</v>
      </c>
      <c r="AU169" t="s">
        <v>37</v>
      </c>
      <c r="AV169">
        <v>1</v>
      </c>
      <c r="AW169">
        <v>2</v>
      </c>
      <c r="AX169">
        <v>45038571</v>
      </c>
      <c r="AY169">
        <v>1</v>
      </c>
      <c r="AZ169">
        <v>0</v>
      </c>
      <c r="BA169">
        <v>169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CX169">
        <f>Y169*Source!I215</f>
        <v>2.7358499999999997</v>
      </c>
      <c r="CY169">
        <f>AD169</f>
        <v>0</v>
      </c>
      <c r="CZ169">
        <f>AH169</f>
        <v>0</v>
      </c>
      <c r="DA169">
        <f>AL169</f>
        <v>1</v>
      </c>
      <c r="DB169">
        <v>0</v>
      </c>
    </row>
    <row r="170" spans="1:106" x14ac:dyDescent="0.2">
      <c r="A170">
        <f>ROW(Source!A215)</f>
        <v>215</v>
      </c>
      <c r="B170">
        <v>45037306</v>
      </c>
      <c r="C170">
        <v>45037841</v>
      </c>
      <c r="D170">
        <v>22653672</v>
      </c>
      <c r="E170">
        <v>22652947</v>
      </c>
      <c r="F170">
        <v>1</v>
      </c>
      <c r="G170">
        <v>22652947</v>
      </c>
      <c r="H170">
        <v>2</v>
      </c>
      <c r="I170" t="s">
        <v>630</v>
      </c>
      <c r="J170" t="s">
        <v>3</v>
      </c>
      <c r="K170" t="s">
        <v>631</v>
      </c>
      <c r="L170">
        <v>1344</v>
      </c>
      <c r="N170">
        <v>1008</v>
      </c>
      <c r="O170" t="s">
        <v>632</v>
      </c>
      <c r="P170" t="s">
        <v>632</v>
      </c>
      <c r="Q170">
        <v>1</v>
      </c>
      <c r="W170">
        <v>0</v>
      </c>
      <c r="X170">
        <v>-1180195794</v>
      </c>
      <c r="Y170">
        <v>36.287500000000001</v>
      </c>
      <c r="AA170">
        <v>0</v>
      </c>
      <c r="AB170">
        <v>1</v>
      </c>
      <c r="AC170">
        <v>0</v>
      </c>
      <c r="AD170">
        <v>0</v>
      </c>
      <c r="AE170">
        <v>0</v>
      </c>
      <c r="AF170">
        <v>1</v>
      </c>
      <c r="AG170">
        <v>0</v>
      </c>
      <c r="AH170">
        <v>0</v>
      </c>
      <c r="AI170">
        <v>1</v>
      </c>
      <c r="AJ170">
        <v>1</v>
      </c>
      <c r="AK170">
        <v>1</v>
      </c>
      <c r="AL170">
        <v>1</v>
      </c>
      <c r="AN170">
        <v>0</v>
      </c>
      <c r="AO170">
        <v>1</v>
      </c>
      <c r="AP170">
        <v>1</v>
      </c>
      <c r="AQ170">
        <v>0</v>
      </c>
      <c r="AR170">
        <v>0</v>
      </c>
      <c r="AS170" t="s">
        <v>3</v>
      </c>
      <c r="AT170">
        <v>29.03</v>
      </c>
      <c r="AU170" t="s">
        <v>36</v>
      </c>
      <c r="AV170">
        <v>0</v>
      </c>
      <c r="AW170">
        <v>2</v>
      </c>
      <c r="AX170">
        <v>45038572</v>
      </c>
      <c r="AY170">
        <v>1</v>
      </c>
      <c r="AZ170">
        <v>0</v>
      </c>
      <c r="BA170">
        <v>170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CX170">
        <f>Y170*Source!I215</f>
        <v>2.2135375000000002</v>
      </c>
      <c r="CY170">
        <f>AB170</f>
        <v>1</v>
      </c>
      <c r="CZ170">
        <f>AF170</f>
        <v>1</v>
      </c>
      <c r="DA170">
        <f>AJ170</f>
        <v>1</v>
      </c>
      <c r="DB170">
        <v>0</v>
      </c>
    </row>
    <row r="171" spans="1:106" x14ac:dyDescent="0.2">
      <c r="A171">
        <f>ROW(Source!A215)</f>
        <v>215</v>
      </c>
      <c r="B171">
        <v>45037306</v>
      </c>
      <c r="C171">
        <v>45037841</v>
      </c>
      <c r="D171">
        <v>22702200</v>
      </c>
      <c r="E171">
        <v>1</v>
      </c>
      <c r="F171">
        <v>1</v>
      </c>
      <c r="G171">
        <v>22652947</v>
      </c>
      <c r="H171">
        <v>3</v>
      </c>
      <c r="I171" t="s">
        <v>292</v>
      </c>
      <c r="J171" t="s">
        <v>294</v>
      </c>
      <c r="K171" t="s">
        <v>293</v>
      </c>
      <c r="L171">
        <v>1348</v>
      </c>
      <c r="N171">
        <v>1009</v>
      </c>
      <c r="O171" t="s">
        <v>29</v>
      </c>
      <c r="P171" t="s">
        <v>29</v>
      </c>
      <c r="Q171">
        <v>1000</v>
      </c>
      <c r="W171">
        <v>0</v>
      </c>
      <c r="X171">
        <v>1793685401</v>
      </c>
      <c r="Y171">
        <v>5.0999999999999997E-2</v>
      </c>
      <c r="AA171">
        <v>2278.84</v>
      </c>
      <c r="AB171">
        <v>0</v>
      </c>
      <c r="AC171">
        <v>0</v>
      </c>
      <c r="AD171">
        <v>0</v>
      </c>
      <c r="AE171">
        <v>2278.84</v>
      </c>
      <c r="AF171">
        <v>0</v>
      </c>
      <c r="AG171">
        <v>0</v>
      </c>
      <c r="AH171">
        <v>0</v>
      </c>
      <c r="AI171">
        <v>1</v>
      </c>
      <c r="AJ171">
        <v>1</v>
      </c>
      <c r="AK171">
        <v>1</v>
      </c>
      <c r="AL171">
        <v>1</v>
      </c>
      <c r="AN171">
        <v>0</v>
      </c>
      <c r="AO171">
        <v>0</v>
      </c>
      <c r="AP171">
        <v>0</v>
      </c>
      <c r="AQ171">
        <v>0</v>
      </c>
      <c r="AR171">
        <v>0</v>
      </c>
      <c r="AS171" t="s">
        <v>3</v>
      </c>
      <c r="AT171">
        <v>5.0999999999999997E-2</v>
      </c>
      <c r="AU171" t="s">
        <v>3</v>
      </c>
      <c r="AV171">
        <v>0</v>
      </c>
      <c r="AW171">
        <v>1</v>
      </c>
      <c r="AX171">
        <v>-1</v>
      </c>
      <c r="AY171">
        <v>0</v>
      </c>
      <c r="AZ171">
        <v>0</v>
      </c>
      <c r="BA171" t="s">
        <v>3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CX171">
        <f>Y171*Source!I215</f>
        <v>3.1109999999999996E-3</v>
      </c>
      <c r="CY171">
        <f>AA171</f>
        <v>2278.84</v>
      </c>
      <c r="CZ171">
        <f>AE171</f>
        <v>2278.84</v>
      </c>
      <c r="DA171">
        <f>AI171</f>
        <v>1</v>
      </c>
      <c r="DB171">
        <v>0</v>
      </c>
    </row>
    <row r="172" spans="1:106" x14ac:dyDescent="0.2">
      <c r="A172">
        <f>ROW(Source!A215)</f>
        <v>215</v>
      </c>
      <c r="B172">
        <v>45037306</v>
      </c>
      <c r="C172">
        <v>45037841</v>
      </c>
      <c r="D172">
        <v>22701270</v>
      </c>
      <c r="E172">
        <v>1</v>
      </c>
      <c r="F172">
        <v>1</v>
      </c>
      <c r="G172">
        <v>22652947</v>
      </c>
      <c r="H172">
        <v>3</v>
      </c>
      <c r="I172" t="s">
        <v>296</v>
      </c>
      <c r="J172" t="s">
        <v>298</v>
      </c>
      <c r="K172" t="s">
        <v>297</v>
      </c>
      <c r="L172">
        <v>1348</v>
      </c>
      <c r="N172">
        <v>1009</v>
      </c>
      <c r="O172" t="s">
        <v>29</v>
      </c>
      <c r="P172" t="s">
        <v>29</v>
      </c>
      <c r="Q172">
        <v>1000</v>
      </c>
      <c r="W172">
        <v>0</v>
      </c>
      <c r="X172">
        <v>-908598485</v>
      </c>
      <c r="Y172">
        <v>6.3E-2</v>
      </c>
      <c r="AA172">
        <v>22652.13</v>
      </c>
      <c r="AB172">
        <v>0</v>
      </c>
      <c r="AC172">
        <v>0</v>
      </c>
      <c r="AD172">
        <v>0</v>
      </c>
      <c r="AE172">
        <v>22652.13</v>
      </c>
      <c r="AF172">
        <v>0</v>
      </c>
      <c r="AG172">
        <v>0</v>
      </c>
      <c r="AH172">
        <v>0</v>
      </c>
      <c r="AI172">
        <v>1</v>
      </c>
      <c r="AJ172">
        <v>1</v>
      </c>
      <c r="AK172">
        <v>1</v>
      </c>
      <c r="AL172">
        <v>1</v>
      </c>
      <c r="AN172">
        <v>0</v>
      </c>
      <c r="AO172">
        <v>0</v>
      </c>
      <c r="AP172">
        <v>0</v>
      </c>
      <c r="AQ172">
        <v>0</v>
      </c>
      <c r="AR172">
        <v>0</v>
      </c>
      <c r="AS172" t="s">
        <v>3</v>
      </c>
      <c r="AT172">
        <v>6.3E-2</v>
      </c>
      <c r="AU172" t="s">
        <v>3</v>
      </c>
      <c r="AV172">
        <v>0</v>
      </c>
      <c r="AW172">
        <v>1</v>
      </c>
      <c r="AX172">
        <v>-1</v>
      </c>
      <c r="AY172">
        <v>0</v>
      </c>
      <c r="AZ172">
        <v>0</v>
      </c>
      <c r="BA172" t="s">
        <v>3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CX172">
        <f>Y172*Source!I215</f>
        <v>3.8430000000000001E-3</v>
      </c>
      <c r="CY172">
        <f>AA172</f>
        <v>22652.13</v>
      </c>
      <c r="CZ172">
        <f>AE172</f>
        <v>22652.13</v>
      </c>
      <c r="DA172">
        <f>AI172</f>
        <v>1</v>
      </c>
      <c r="DB172">
        <v>0</v>
      </c>
    </row>
    <row r="173" spans="1:106" x14ac:dyDescent="0.2">
      <c r="A173">
        <f>ROW(Source!A215)</f>
        <v>215</v>
      </c>
      <c r="B173">
        <v>45037306</v>
      </c>
      <c r="C173">
        <v>45037841</v>
      </c>
      <c r="D173">
        <v>22674651</v>
      </c>
      <c r="E173">
        <v>22652947</v>
      </c>
      <c r="F173">
        <v>1</v>
      </c>
      <c r="G173">
        <v>22652947</v>
      </c>
      <c r="H173">
        <v>3</v>
      </c>
      <c r="I173" t="s">
        <v>675</v>
      </c>
      <c r="J173" t="s">
        <v>3</v>
      </c>
      <c r="K173" t="s">
        <v>676</v>
      </c>
      <c r="L173">
        <v>1344</v>
      </c>
      <c r="N173">
        <v>1008</v>
      </c>
      <c r="O173" t="s">
        <v>632</v>
      </c>
      <c r="P173" t="s">
        <v>632</v>
      </c>
      <c r="Q173">
        <v>1</v>
      </c>
      <c r="W173">
        <v>0</v>
      </c>
      <c r="X173">
        <v>-94250534</v>
      </c>
      <c r="Y173">
        <v>6.09</v>
      </c>
      <c r="AA173">
        <v>1</v>
      </c>
      <c r="AB173">
        <v>0</v>
      </c>
      <c r="AC173">
        <v>0</v>
      </c>
      <c r="AD173">
        <v>0</v>
      </c>
      <c r="AE173">
        <v>1</v>
      </c>
      <c r="AF173">
        <v>0</v>
      </c>
      <c r="AG173">
        <v>0</v>
      </c>
      <c r="AH173">
        <v>0</v>
      </c>
      <c r="AI173">
        <v>1</v>
      </c>
      <c r="AJ173">
        <v>1</v>
      </c>
      <c r="AK173">
        <v>1</v>
      </c>
      <c r="AL173">
        <v>1</v>
      </c>
      <c r="AN173">
        <v>0</v>
      </c>
      <c r="AO173">
        <v>1</v>
      </c>
      <c r="AP173">
        <v>0</v>
      </c>
      <c r="AQ173">
        <v>0</v>
      </c>
      <c r="AR173">
        <v>0</v>
      </c>
      <c r="AS173" t="s">
        <v>3</v>
      </c>
      <c r="AT173">
        <v>6.09</v>
      </c>
      <c r="AU173" t="s">
        <v>3</v>
      </c>
      <c r="AV173">
        <v>0</v>
      </c>
      <c r="AW173">
        <v>2</v>
      </c>
      <c r="AX173">
        <v>45038576</v>
      </c>
      <c r="AY173">
        <v>1</v>
      </c>
      <c r="AZ173">
        <v>0</v>
      </c>
      <c r="BA173">
        <v>174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CX173">
        <f>Y173*Source!I215</f>
        <v>0.37148999999999999</v>
      </c>
      <c r="CY173">
        <f>AA173</f>
        <v>1</v>
      </c>
      <c r="CZ173">
        <f>AE173</f>
        <v>1</v>
      </c>
      <c r="DA173">
        <f>AI173</f>
        <v>1</v>
      </c>
      <c r="DB173">
        <v>0</v>
      </c>
    </row>
    <row r="174" spans="1:106" x14ac:dyDescent="0.2">
      <c r="A174">
        <f>ROW(Source!A216)</f>
        <v>216</v>
      </c>
      <c r="B174">
        <v>45037307</v>
      </c>
      <c r="C174">
        <v>45037841</v>
      </c>
      <c r="D174">
        <v>22652952</v>
      </c>
      <c r="E174">
        <v>22652947</v>
      </c>
      <c r="F174">
        <v>1</v>
      </c>
      <c r="G174">
        <v>22652947</v>
      </c>
      <c r="H174">
        <v>1</v>
      </c>
      <c r="I174" t="s">
        <v>617</v>
      </c>
      <c r="J174" t="s">
        <v>3</v>
      </c>
      <c r="K174" t="s">
        <v>618</v>
      </c>
      <c r="L174">
        <v>1191</v>
      </c>
      <c r="N174">
        <v>1013</v>
      </c>
      <c r="O174" t="s">
        <v>619</v>
      </c>
      <c r="P174" t="s">
        <v>619</v>
      </c>
      <c r="Q174">
        <v>1</v>
      </c>
      <c r="W174">
        <v>0</v>
      </c>
      <c r="X174">
        <v>476480486</v>
      </c>
      <c r="Y174">
        <v>44.849999999999994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1</v>
      </c>
      <c r="AJ174">
        <v>1</v>
      </c>
      <c r="AK174">
        <v>1</v>
      </c>
      <c r="AL174">
        <v>1</v>
      </c>
      <c r="AN174">
        <v>0</v>
      </c>
      <c r="AO174">
        <v>1</v>
      </c>
      <c r="AP174">
        <v>1</v>
      </c>
      <c r="AQ174">
        <v>0</v>
      </c>
      <c r="AR174">
        <v>0</v>
      </c>
      <c r="AS174" t="s">
        <v>3</v>
      </c>
      <c r="AT174">
        <v>39</v>
      </c>
      <c r="AU174" t="s">
        <v>37</v>
      </c>
      <c r="AV174">
        <v>1</v>
      </c>
      <c r="AW174">
        <v>2</v>
      </c>
      <c r="AX174">
        <v>45038571</v>
      </c>
      <c r="AY174">
        <v>1</v>
      </c>
      <c r="AZ174">
        <v>0</v>
      </c>
      <c r="BA174">
        <v>175</v>
      </c>
      <c r="BB174">
        <v>0</v>
      </c>
      <c r="BC174">
        <v>0</v>
      </c>
      <c r="BD174">
        <v>0</v>
      </c>
      <c r="BE174">
        <v>0</v>
      </c>
      <c r="BF174">
        <v>0</v>
      </c>
      <c r="BG174">
        <v>0</v>
      </c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P174">
        <v>0</v>
      </c>
      <c r="BQ174">
        <v>0</v>
      </c>
      <c r="BR174">
        <v>0</v>
      </c>
      <c r="BS174">
        <v>0</v>
      </c>
      <c r="BT174">
        <v>0</v>
      </c>
      <c r="BU174">
        <v>0</v>
      </c>
      <c r="BV174">
        <v>0</v>
      </c>
      <c r="BW174">
        <v>0</v>
      </c>
      <c r="CX174">
        <f>Y174*Source!I216</f>
        <v>2.7358499999999997</v>
      </c>
      <c r="CY174">
        <f>AD174</f>
        <v>0</v>
      </c>
      <c r="CZ174">
        <f>AH174</f>
        <v>0</v>
      </c>
      <c r="DA174">
        <f>AL174</f>
        <v>1</v>
      </c>
      <c r="DB174">
        <v>0</v>
      </c>
    </row>
    <row r="175" spans="1:106" x14ac:dyDescent="0.2">
      <c r="A175">
        <f>ROW(Source!A216)</f>
        <v>216</v>
      </c>
      <c r="B175">
        <v>45037307</v>
      </c>
      <c r="C175">
        <v>45037841</v>
      </c>
      <c r="D175">
        <v>22653672</v>
      </c>
      <c r="E175">
        <v>22652947</v>
      </c>
      <c r="F175">
        <v>1</v>
      </c>
      <c r="G175">
        <v>22652947</v>
      </c>
      <c r="H175">
        <v>2</v>
      </c>
      <c r="I175" t="s">
        <v>630</v>
      </c>
      <c r="J175" t="s">
        <v>3</v>
      </c>
      <c r="K175" t="s">
        <v>631</v>
      </c>
      <c r="L175">
        <v>1344</v>
      </c>
      <c r="N175">
        <v>1008</v>
      </c>
      <c r="O175" t="s">
        <v>632</v>
      </c>
      <c r="P175" t="s">
        <v>632</v>
      </c>
      <c r="Q175">
        <v>1</v>
      </c>
      <c r="W175">
        <v>0</v>
      </c>
      <c r="X175">
        <v>-1180195794</v>
      </c>
      <c r="Y175">
        <v>36.287500000000001</v>
      </c>
      <c r="AA175">
        <v>0</v>
      </c>
      <c r="AB175">
        <v>1</v>
      </c>
      <c r="AC175">
        <v>0</v>
      </c>
      <c r="AD175">
        <v>0</v>
      </c>
      <c r="AE175">
        <v>0</v>
      </c>
      <c r="AF175">
        <v>1</v>
      </c>
      <c r="AG175">
        <v>0</v>
      </c>
      <c r="AH175">
        <v>0</v>
      </c>
      <c r="AI175">
        <v>1</v>
      </c>
      <c r="AJ175">
        <v>1</v>
      </c>
      <c r="AK175">
        <v>1</v>
      </c>
      <c r="AL175">
        <v>1</v>
      </c>
      <c r="AN175">
        <v>0</v>
      </c>
      <c r="AO175">
        <v>1</v>
      </c>
      <c r="AP175">
        <v>1</v>
      </c>
      <c r="AQ175">
        <v>0</v>
      </c>
      <c r="AR175">
        <v>0</v>
      </c>
      <c r="AS175" t="s">
        <v>3</v>
      </c>
      <c r="AT175">
        <v>29.03</v>
      </c>
      <c r="AU175" t="s">
        <v>36</v>
      </c>
      <c r="AV175">
        <v>0</v>
      </c>
      <c r="AW175">
        <v>2</v>
      </c>
      <c r="AX175">
        <v>45038572</v>
      </c>
      <c r="AY175">
        <v>1</v>
      </c>
      <c r="AZ175">
        <v>0</v>
      </c>
      <c r="BA175">
        <v>176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0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0</v>
      </c>
      <c r="BW175">
        <v>0</v>
      </c>
      <c r="CX175">
        <f>Y175*Source!I216</f>
        <v>2.2135375000000002</v>
      </c>
      <c r="CY175">
        <f>AB175</f>
        <v>1</v>
      </c>
      <c r="CZ175">
        <f>AF175</f>
        <v>1</v>
      </c>
      <c r="DA175">
        <f>AJ175</f>
        <v>1</v>
      </c>
      <c r="DB175">
        <v>0</v>
      </c>
    </row>
    <row r="176" spans="1:106" x14ac:dyDescent="0.2">
      <c r="A176">
        <f>ROW(Source!A216)</f>
        <v>216</v>
      </c>
      <c r="B176">
        <v>45037307</v>
      </c>
      <c r="C176">
        <v>45037841</v>
      </c>
      <c r="D176">
        <v>22702200</v>
      </c>
      <c r="E176">
        <v>1</v>
      </c>
      <c r="F176">
        <v>1</v>
      </c>
      <c r="G176">
        <v>22652947</v>
      </c>
      <c r="H176">
        <v>3</v>
      </c>
      <c r="I176" t="s">
        <v>292</v>
      </c>
      <c r="J176" t="s">
        <v>294</v>
      </c>
      <c r="K176" t="s">
        <v>293</v>
      </c>
      <c r="L176">
        <v>1348</v>
      </c>
      <c r="N176">
        <v>1009</v>
      </c>
      <c r="O176" t="s">
        <v>29</v>
      </c>
      <c r="P176" t="s">
        <v>29</v>
      </c>
      <c r="Q176">
        <v>1000</v>
      </c>
      <c r="W176">
        <v>0</v>
      </c>
      <c r="X176">
        <v>1793685401</v>
      </c>
      <c r="Y176">
        <v>5.0999999999999997E-2</v>
      </c>
      <c r="AA176">
        <v>14311.12</v>
      </c>
      <c r="AB176">
        <v>0</v>
      </c>
      <c r="AC176">
        <v>0</v>
      </c>
      <c r="AD176">
        <v>0</v>
      </c>
      <c r="AE176">
        <v>2278.84</v>
      </c>
      <c r="AF176">
        <v>0</v>
      </c>
      <c r="AG176">
        <v>0</v>
      </c>
      <c r="AH176">
        <v>0</v>
      </c>
      <c r="AI176">
        <v>6.28</v>
      </c>
      <c r="AJ176">
        <v>1</v>
      </c>
      <c r="AK176">
        <v>1</v>
      </c>
      <c r="AL176">
        <v>1</v>
      </c>
      <c r="AN176">
        <v>0</v>
      </c>
      <c r="AO176">
        <v>0</v>
      </c>
      <c r="AP176">
        <v>0</v>
      </c>
      <c r="AQ176">
        <v>0</v>
      </c>
      <c r="AR176">
        <v>0</v>
      </c>
      <c r="AS176" t="s">
        <v>3</v>
      </c>
      <c r="AT176">
        <v>5.0999999999999997E-2</v>
      </c>
      <c r="AU176" t="s">
        <v>3</v>
      </c>
      <c r="AV176">
        <v>0</v>
      </c>
      <c r="AW176">
        <v>1</v>
      </c>
      <c r="AX176">
        <v>-1</v>
      </c>
      <c r="AY176">
        <v>0</v>
      </c>
      <c r="AZ176">
        <v>0</v>
      </c>
      <c r="BA176" t="s">
        <v>3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CX176">
        <f>Y176*Source!I216</f>
        <v>3.1109999999999996E-3</v>
      </c>
      <c r="CY176">
        <f>AA176</f>
        <v>14311.12</v>
      </c>
      <c r="CZ176">
        <f>AE176</f>
        <v>2278.84</v>
      </c>
      <c r="DA176">
        <f>AI176</f>
        <v>6.28</v>
      </c>
      <c r="DB176">
        <v>0</v>
      </c>
    </row>
    <row r="177" spans="1:106" x14ac:dyDescent="0.2">
      <c r="A177">
        <f>ROW(Source!A216)</f>
        <v>216</v>
      </c>
      <c r="B177">
        <v>45037307</v>
      </c>
      <c r="C177">
        <v>45037841</v>
      </c>
      <c r="D177">
        <v>22701270</v>
      </c>
      <c r="E177">
        <v>1</v>
      </c>
      <c r="F177">
        <v>1</v>
      </c>
      <c r="G177">
        <v>22652947</v>
      </c>
      <c r="H177">
        <v>3</v>
      </c>
      <c r="I177" t="s">
        <v>296</v>
      </c>
      <c r="J177" t="s">
        <v>298</v>
      </c>
      <c r="K177" t="s">
        <v>297</v>
      </c>
      <c r="L177">
        <v>1348</v>
      </c>
      <c r="N177">
        <v>1009</v>
      </c>
      <c r="O177" t="s">
        <v>29</v>
      </c>
      <c r="P177" t="s">
        <v>29</v>
      </c>
      <c r="Q177">
        <v>1000</v>
      </c>
      <c r="W177">
        <v>0</v>
      </c>
      <c r="X177">
        <v>-908598485</v>
      </c>
      <c r="Y177">
        <v>6.3E-2</v>
      </c>
      <c r="AA177">
        <v>42132.959999999999</v>
      </c>
      <c r="AB177">
        <v>0</v>
      </c>
      <c r="AC177">
        <v>0</v>
      </c>
      <c r="AD177">
        <v>0</v>
      </c>
      <c r="AE177">
        <v>22652.13</v>
      </c>
      <c r="AF177">
        <v>0</v>
      </c>
      <c r="AG177">
        <v>0</v>
      </c>
      <c r="AH177">
        <v>0</v>
      </c>
      <c r="AI177">
        <v>1.86</v>
      </c>
      <c r="AJ177">
        <v>1</v>
      </c>
      <c r="AK177">
        <v>1</v>
      </c>
      <c r="AL177">
        <v>1</v>
      </c>
      <c r="AN177">
        <v>0</v>
      </c>
      <c r="AO177">
        <v>0</v>
      </c>
      <c r="AP177">
        <v>0</v>
      </c>
      <c r="AQ177">
        <v>0</v>
      </c>
      <c r="AR177">
        <v>0</v>
      </c>
      <c r="AS177" t="s">
        <v>3</v>
      </c>
      <c r="AT177">
        <v>6.3E-2</v>
      </c>
      <c r="AU177" t="s">
        <v>3</v>
      </c>
      <c r="AV177">
        <v>0</v>
      </c>
      <c r="AW177">
        <v>1</v>
      </c>
      <c r="AX177">
        <v>-1</v>
      </c>
      <c r="AY177">
        <v>0</v>
      </c>
      <c r="AZ177">
        <v>0</v>
      </c>
      <c r="BA177" t="s">
        <v>3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CX177">
        <f>Y177*Source!I216</f>
        <v>3.8430000000000001E-3</v>
      </c>
      <c r="CY177">
        <f>AA177</f>
        <v>42132.959999999999</v>
      </c>
      <c r="CZ177">
        <f>AE177</f>
        <v>22652.13</v>
      </c>
      <c r="DA177">
        <f>AI177</f>
        <v>1.86</v>
      </c>
      <c r="DB177">
        <v>0</v>
      </c>
    </row>
    <row r="178" spans="1:106" x14ac:dyDescent="0.2">
      <c r="A178">
        <f>ROW(Source!A216)</f>
        <v>216</v>
      </c>
      <c r="B178">
        <v>45037307</v>
      </c>
      <c r="C178">
        <v>45037841</v>
      </c>
      <c r="D178">
        <v>22674651</v>
      </c>
      <c r="E178">
        <v>22652947</v>
      </c>
      <c r="F178">
        <v>1</v>
      </c>
      <c r="G178">
        <v>22652947</v>
      </c>
      <c r="H178">
        <v>3</v>
      </c>
      <c r="I178" t="s">
        <v>675</v>
      </c>
      <c r="J178" t="s">
        <v>3</v>
      </c>
      <c r="K178" t="s">
        <v>676</v>
      </c>
      <c r="L178">
        <v>1344</v>
      </c>
      <c r="N178">
        <v>1008</v>
      </c>
      <c r="O178" t="s">
        <v>632</v>
      </c>
      <c r="P178" t="s">
        <v>632</v>
      </c>
      <c r="Q178">
        <v>1</v>
      </c>
      <c r="W178">
        <v>0</v>
      </c>
      <c r="X178">
        <v>-94250534</v>
      </c>
      <c r="Y178">
        <v>6.09</v>
      </c>
      <c r="AA178">
        <v>1</v>
      </c>
      <c r="AB178">
        <v>0</v>
      </c>
      <c r="AC178">
        <v>0</v>
      </c>
      <c r="AD178">
        <v>0</v>
      </c>
      <c r="AE178">
        <v>1</v>
      </c>
      <c r="AF178">
        <v>0</v>
      </c>
      <c r="AG178">
        <v>0</v>
      </c>
      <c r="AH178">
        <v>0</v>
      </c>
      <c r="AI178">
        <v>1</v>
      </c>
      <c r="AJ178">
        <v>1</v>
      </c>
      <c r="AK178">
        <v>1</v>
      </c>
      <c r="AL178">
        <v>1</v>
      </c>
      <c r="AN178">
        <v>0</v>
      </c>
      <c r="AO178">
        <v>1</v>
      </c>
      <c r="AP178">
        <v>0</v>
      </c>
      <c r="AQ178">
        <v>0</v>
      </c>
      <c r="AR178">
        <v>0</v>
      </c>
      <c r="AS178" t="s">
        <v>3</v>
      </c>
      <c r="AT178">
        <v>6.09</v>
      </c>
      <c r="AU178" t="s">
        <v>3</v>
      </c>
      <c r="AV178">
        <v>0</v>
      </c>
      <c r="AW178">
        <v>2</v>
      </c>
      <c r="AX178">
        <v>45038576</v>
      </c>
      <c r="AY178">
        <v>1</v>
      </c>
      <c r="AZ178">
        <v>0</v>
      </c>
      <c r="BA178">
        <v>180</v>
      </c>
      <c r="BB178">
        <v>0</v>
      </c>
      <c r="BC178">
        <v>0</v>
      </c>
      <c r="BD178">
        <v>0</v>
      </c>
      <c r="BE178">
        <v>0</v>
      </c>
      <c r="BF178">
        <v>0</v>
      </c>
      <c r="BG178">
        <v>0</v>
      </c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0</v>
      </c>
      <c r="BR178">
        <v>0</v>
      </c>
      <c r="BS178">
        <v>0</v>
      </c>
      <c r="BT178">
        <v>0</v>
      </c>
      <c r="BU178">
        <v>0</v>
      </c>
      <c r="BV178">
        <v>0</v>
      </c>
      <c r="BW178">
        <v>0</v>
      </c>
      <c r="CX178">
        <f>Y178*Source!I216</f>
        <v>0.37148999999999999</v>
      </c>
      <c r="CY178">
        <f>AA178</f>
        <v>1</v>
      </c>
      <c r="CZ178">
        <f>AE178</f>
        <v>1</v>
      </c>
      <c r="DA178">
        <f>AI178</f>
        <v>1</v>
      </c>
      <c r="DB178">
        <v>0</v>
      </c>
    </row>
    <row r="179" spans="1:106" x14ac:dyDescent="0.2">
      <c r="A179">
        <f>ROW(Source!A221)</f>
        <v>221</v>
      </c>
      <c r="B179">
        <v>45037306</v>
      </c>
      <c r="C179">
        <v>45037855</v>
      </c>
      <c r="D179">
        <v>22652952</v>
      </c>
      <c r="E179">
        <v>22652947</v>
      </c>
      <c r="F179">
        <v>1</v>
      </c>
      <c r="G179">
        <v>22652947</v>
      </c>
      <c r="H179">
        <v>1</v>
      </c>
      <c r="I179" t="s">
        <v>617</v>
      </c>
      <c r="J179" t="s">
        <v>3</v>
      </c>
      <c r="K179" t="s">
        <v>618</v>
      </c>
      <c r="L179">
        <v>1191</v>
      </c>
      <c r="N179">
        <v>1013</v>
      </c>
      <c r="O179" t="s">
        <v>619</v>
      </c>
      <c r="P179" t="s">
        <v>619</v>
      </c>
      <c r="Q179">
        <v>1</v>
      </c>
      <c r="W179">
        <v>0</v>
      </c>
      <c r="X179">
        <v>476480486</v>
      </c>
      <c r="Y179">
        <v>94.414999999999992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1</v>
      </c>
      <c r="AJ179">
        <v>1</v>
      </c>
      <c r="AK179">
        <v>1</v>
      </c>
      <c r="AL179">
        <v>1</v>
      </c>
      <c r="AN179">
        <v>0</v>
      </c>
      <c r="AO179">
        <v>1</v>
      </c>
      <c r="AP179">
        <v>1</v>
      </c>
      <c r="AQ179">
        <v>0</v>
      </c>
      <c r="AR179">
        <v>0</v>
      </c>
      <c r="AS179" t="s">
        <v>3</v>
      </c>
      <c r="AT179">
        <v>82.1</v>
      </c>
      <c r="AU179" t="s">
        <v>37</v>
      </c>
      <c r="AV179">
        <v>1</v>
      </c>
      <c r="AW179">
        <v>2</v>
      </c>
      <c r="AX179">
        <v>45038577</v>
      </c>
      <c r="AY179">
        <v>1</v>
      </c>
      <c r="AZ179">
        <v>0</v>
      </c>
      <c r="BA179">
        <v>181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CX179">
        <f>Y179*Source!I221</f>
        <v>9.4414999999999996</v>
      </c>
      <c r="CY179">
        <f>AD179</f>
        <v>0</v>
      </c>
      <c r="CZ179">
        <f>AH179</f>
        <v>0</v>
      </c>
      <c r="DA179">
        <f>AL179</f>
        <v>1</v>
      </c>
      <c r="DB179">
        <v>0</v>
      </c>
    </row>
    <row r="180" spans="1:106" x14ac:dyDescent="0.2">
      <c r="A180">
        <f>ROW(Source!A221)</f>
        <v>221</v>
      </c>
      <c r="B180">
        <v>45037306</v>
      </c>
      <c r="C180">
        <v>45037855</v>
      </c>
      <c r="D180">
        <v>22725583</v>
      </c>
      <c r="E180">
        <v>1</v>
      </c>
      <c r="F180">
        <v>1</v>
      </c>
      <c r="G180">
        <v>22652947</v>
      </c>
      <c r="H180">
        <v>2</v>
      </c>
      <c r="I180" t="s">
        <v>669</v>
      </c>
      <c r="J180" t="s">
        <v>670</v>
      </c>
      <c r="K180" t="s">
        <v>671</v>
      </c>
      <c r="L180">
        <v>1367</v>
      </c>
      <c r="N180">
        <v>1011</v>
      </c>
      <c r="O180" t="s">
        <v>623</v>
      </c>
      <c r="P180" t="s">
        <v>623</v>
      </c>
      <c r="Q180">
        <v>1</v>
      </c>
      <c r="W180">
        <v>0</v>
      </c>
      <c r="X180">
        <v>-1260721122</v>
      </c>
      <c r="Y180">
        <v>7.4999999999999997E-2</v>
      </c>
      <c r="AA180">
        <v>0</v>
      </c>
      <c r="AB180">
        <v>6.39</v>
      </c>
      <c r="AC180">
        <v>0.32</v>
      </c>
      <c r="AD180">
        <v>0</v>
      </c>
      <c r="AE180">
        <v>0</v>
      </c>
      <c r="AF180">
        <v>6.39</v>
      </c>
      <c r="AG180">
        <v>0.32</v>
      </c>
      <c r="AH180">
        <v>0</v>
      </c>
      <c r="AI180">
        <v>1</v>
      </c>
      <c r="AJ180">
        <v>1</v>
      </c>
      <c r="AK180">
        <v>1</v>
      </c>
      <c r="AL180">
        <v>1</v>
      </c>
      <c r="AN180">
        <v>0</v>
      </c>
      <c r="AO180">
        <v>1</v>
      </c>
      <c r="AP180">
        <v>1</v>
      </c>
      <c r="AQ180">
        <v>0</v>
      </c>
      <c r="AR180">
        <v>0</v>
      </c>
      <c r="AS180" t="s">
        <v>3</v>
      </c>
      <c r="AT180">
        <v>0.06</v>
      </c>
      <c r="AU180" t="s">
        <v>36</v>
      </c>
      <c r="AV180">
        <v>0</v>
      </c>
      <c r="AW180">
        <v>2</v>
      </c>
      <c r="AX180">
        <v>45038578</v>
      </c>
      <c r="AY180">
        <v>1</v>
      </c>
      <c r="AZ180">
        <v>0</v>
      </c>
      <c r="BA180">
        <v>182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0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0</v>
      </c>
      <c r="BW180">
        <v>0</v>
      </c>
      <c r="CX180">
        <f>Y180*Source!I221</f>
        <v>7.4999999999999997E-3</v>
      </c>
      <c r="CY180">
        <f>AB180</f>
        <v>6.39</v>
      </c>
      <c r="CZ180">
        <f>AF180</f>
        <v>6.39</v>
      </c>
      <c r="DA180">
        <f>AJ180</f>
        <v>1</v>
      </c>
      <c r="DB180">
        <v>0</v>
      </c>
    </row>
    <row r="181" spans="1:106" x14ac:dyDescent="0.2">
      <c r="A181">
        <f>ROW(Source!A221)</f>
        <v>221</v>
      </c>
      <c r="B181">
        <v>45037306</v>
      </c>
      <c r="C181">
        <v>45037855</v>
      </c>
      <c r="D181">
        <v>22725932</v>
      </c>
      <c r="E181">
        <v>1</v>
      </c>
      <c r="F181">
        <v>1</v>
      </c>
      <c r="G181">
        <v>22652947</v>
      </c>
      <c r="H181">
        <v>2</v>
      </c>
      <c r="I181" t="s">
        <v>672</v>
      </c>
      <c r="J181" t="s">
        <v>673</v>
      </c>
      <c r="K181" t="s">
        <v>674</v>
      </c>
      <c r="L181">
        <v>1367</v>
      </c>
      <c r="N181">
        <v>1011</v>
      </c>
      <c r="O181" t="s">
        <v>623</v>
      </c>
      <c r="P181" t="s">
        <v>623</v>
      </c>
      <c r="Q181">
        <v>1</v>
      </c>
      <c r="W181">
        <v>0</v>
      </c>
      <c r="X181">
        <v>-840546339</v>
      </c>
      <c r="Y181">
        <v>0.95</v>
      </c>
      <c r="AA181">
        <v>0</v>
      </c>
      <c r="AB181">
        <v>2.58</v>
      </c>
      <c r="AC181">
        <v>0.04</v>
      </c>
      <c r="AD181">
        <v>0</v>
      </c>
      <c r="AE181">
        <v>0</v>
      </c>
      <c r="AF181">
        <v>2.58</v>
      </c>
      <c r="AG181">
        <v>0.04</v>
      </c>
      <c r="AH181">
        <v>0</v>
      </c>
      <c r="AI181">
        <v>1</v>
      </c>
      <c r="AJ181">
        <v>1</v>
      </c>
      <c r="AK181">
        <v>1</v>
      </c>
      <c r="AL181">
        <v>1</v>
      </c>
      <c r="AN181">
        <v>0</v>
      </c>
      <c r="AO181">
        <v>1</v>
      </c>
      <c r="AP181">
        <v>1</v>
      </c>
      <c r="AQ181">
        <v>0</v>
      </c>
      <c r="AR181">
        <v>0</v>
      </c>
      <c r="AS181" t="s">
        <v>3</v>
      </c>
      <c r="AT181">
        <v>0.76</v>
      </c>
      <c r="AU181" t="s">
        <v>36</v>
      </c>
      <c r="AV181">
        <v>0</v>
      </c>
      <c r="AW181">
        <v>2</v>
      </c>
      <c r="AX181">
        <v>45038579</v>
      </c>
      <c r="AY181">
        <v>1</v>
      </c>
      <c r="AZ181">
        <v>0</v>
      </c>
      <c r="BA181">
        <v>183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0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0</v>
      </c>
      <c r="BW181">
        <v>0</v>
      </c>
      <c r="CX181">
        <f>Y181*Source!I221</f>
        <v>9.5000000000000001E-2</v>
      </c>
      <c r="CY181">
        <f>AB181</f>
        <v>2.58</v>
      </c>
      <c r="CZ181">
        <f>AF181</f>
        <v>2.58</v>
      </c>
      <c r="DA181">
        <f>AJ181</f>
        <v>1</v>
      </c>
      <c r="DB181">
        <v>0</v>
      </c>
    </row>
    <row r="182" spans="1:106" x14ac:dyDescent="0.2">
      <c r="A182">
        <f>ROW(Source!A221)</f>
        <v>221</v>
      </c>
      <c r="B182">
        <v>45037306</v>
      </c>
      <c r="C182">
        <v>45037855</v>
      </c>
      <c r="D182">
        <v>22653672</v>
      </c>
      <c r="E182">
        <v>22652947</v>
      </c>
      <c r="F182">
        <v>1</v>
      </c>
      <c r="G182">
        <v>22652947</v>
      </c>
      <c r="H182">
        <v>2</v>
      </c>
      <c r="I182" t="s">
        <v>630</v>
      </c>
      <c r="J182" t="s">
        <v>3</v>
      </c>
      <c r="K182" t="s">
        <v>631</v>
      </c>
      <c r="L182">
        <v>1344</v>
      </c>
      <c r="N182">
        <v>1008</v>
      </c>
      <c r="O182" t="s">
        <v>632</v>
      </c>
      <c r="P182" t="s">
        <v>632</v>
      </c>
      <c r="Q182">
        <v>1</v>
      </c>
      <c r="W182">
        <v>0</v>
      </c>
      <c r="X182">
        <v>-1180195794</v>
      </c>
      <c r="Y182">
        <v>290.3125</v>
      </c>
      <c r="AA182">
        <v>0</v>
      </c>
      <c r="AB182">
        <v>1</v>
      </c>
      <c r="AC182">
        <v>0</v>
      </c>
      <c r="AD182">
        <v>0</v>
      </c>
      <c r="AE182">
        <v>0</v>
      </c>
      <c r="AF182">
        <v>1</v>
      </c>
      <c r="AG182">
        <v>0</v>
      </c>
      <c r="AH182">
        <v>0</v>
      </c>
      <c r="AI182">
        <v>1</v>
      </c>
      <c r="AJ182">
        <v>1</v>
      </c>
      <c r="AK182">
        <v>1</v>
      </c>
      <c r="AL182">
        <v>1</v>
      </c>
      <c r="AN182">
        <v>0</v>
      </c>
      <c r="AO182">
        <v>1</v>
      </c>
      <c r="AP182">
        <v>1</v>
      </c>
      <c r="AQ182">
        <v>0</v>
      </c>
      <c r="AR182">
        <v>0</v>
      </c>
      <c r="AS182" t="s">
        <v>3</v>
      </c>
      <c r="AT182">
        <v>232.25</v>
      </c>
      <c r="AU182" t="s">
        <v>36</v>
      </c>
      <c r="AV182">
        <v>0</v>
      </c>
      <c r="AW182">
        <v>2</v>
      </c>
      <c r="AX182">
        <v>45038580</v>
      </c>
      <c r="AY182">
        <v>1</v>
      </c>
      <c r="AZ182">
        <v>0</v>
      </c>
      <c r="BA182">
        <v>184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CX182">
        <f>Y182*Source!I221</f>
        <v>29.03125</v>
      </c>
      <c r="CY182">
        <f>AB182</f>
        <v>1</v>
      </c>
      <c r="CZ182">
        <f>AF182</f>
        <v>1</v>
      </c>
      <c r="DA182">
        <f>AJ182</f>
        <v>1</v>
      </c>
      <c r="DB182">
        <v>0</v>
      </c>
    </row>
    <row r="183" spans="1:106" x14ac:dyDescent="0.2">
      <c r="A183">
        <f>ROW(Source!A221)</f>
        <v>221</v>
      </c>
      <c r="B183">
        <v>45037306</v>
      </c>
      <c r="C183">
        <v>45037855</v>
      </c>
      <c r="D183">
        <v>22702279</v>
      </c>
      <c r="E183">
        <v>1</v>
      </c>
      <c r="F183">
        <v>1</v>
      </c>
      <c r="G183">
        <v>22652947</v>
      </c>
      <c r="H183">
        <v>3</v>
      </c>
      <c r="I183" t="s">
        <v>666</v>
      </c>
      <c r="J183" t="s">
        <v>667</v>
      </c>
      <c r="K183" t="s">
        <v>668</v>
      </c>
      <c r="L183">
        <v>1348</v>
      </c>
      <c r="N183">
        <v>1009</v>
      </c>
      <c r="O183" t="s">
        <v>29</v>
      </c>
      <c r="P183" t="s">
        <v>29</v>
      </c>
      <c r="Q183">
        <v>1000</v>
      </c>
      <c r="W183">
        <v>0</v>
      </c>
      <c r="X183">
        <v>1310716689</v>
      </c>
      <c r="Y183">
        <v>6.9999999999999999E-4</v>
      </c>
      <c r="AA183">
        <v>7191.81</v>
      </c>
      <c r="AB183">
        <v>0</v>
      </c>
      <c r="AC183">
        <v>0</v>
      </c>
      <c r="AD183">
        <v>0</v>
      </c>
      <c r="AE183">
        <v>7191.81</v>
      </c>
      <c r="AF183">
        <v>0</v>
      </c>
      <c r="AG183">
        <v>0</v>
      </c>
      <c r="AH183">
        <v>0</v>
      </c>
      <c r="AI183">
        <v>1</v>
      </c>
      <c r="AJ183">
        <v>1</v>
      </c>
      <c r="AK183">
        <v>1</v>
      </c>
      <c r="AL183">
        <v>1</v>
      </c>
      <c r="AN183">
        <v>0</v>
      </c>
      <c r="AO183">
        <v>1</v>
      </c>
      <c r="AP183">
        <v>0</v>
      </c>
      <c r="AQ183">
        <v>0</v>
      </c>
      <c r="AR183">
        <v>0</v>
      </c>
      <c r="AS183" t="s">
        <v>3</v>
      </c>
      <c r="AT183">
        <v>6.9999999999999999E-4</v>
      </c>
      <c r="AU183" t="s">
        <v>3</v>
      </c>
      <c r="AV183">
        <v>0</v>
      </c>
      <c r="AW183">
        <v>2</v>
      </c>
      <c r="AX183">
        <v>45038581</v>
      </c>
      <c r="AY183">
        <v>1</v>
      </c>
      <c r="AZ183">
        <v>0</v>
      </c>
      <c r="BA183">
        <v>185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CX183">
        <f>Y183*Source!I221</f>
        <v>7.0000000000000007E-5</v>
      </c>
      <c r="CY183">
        <f>AA183</f>
        <v>7191.81</v>
      </c>
      <c r="CZ183">
        <f>AE183</f>
        <v>7191.81</v>
      </c>
      <c r="DA183">
        <f>AI183</f>
        <v>1</v>
      </c>
      <c r="DB183">
        <v>0</v>
      </c>
    </row>
    <row r="184" spans="1:106" x14ac:dyDescent="0.2">
      <c r="A184">
        <f>ROW(Source!A221)</f>
        <v>221</v>
      </c>
      <c r="B184">
        <v>45037306</v>
      </c>
      <c r="C184">
        <v>45037855</v>
      </c>
      <c r="D184">
        <v>22723121</v>
      </c>
      <c r="E184">
        <v>1</v>
      </c>
      <c r="F184">
        <v>1</v>
      </c>
      <c r="G184">
        <v>22652947</v>
      </c>
      <c r="H184">
        <v>3</v>
      </c>
      <c r="I184" t="s">
        <v>302</v>
      </c>
      <c r="J184" t="s">
        <v>305</v>
      </c>
      <c r="K184" t="s">
        <v>303</v>
      </c>
      <c r="L184">
        <v>1354</v>
      </c>
      <c r="N184">
        <v>1010</v>
      </c>
      <c r="O184" t="s">
        <v>304</v>
      </c>
      <c r="P184" t="s">
        <v>304</v>
      </c>
      <c r="Q184">
        <v>1</v>
      </c>
      <c r="W184">
        <v>0</v>
      </c>
      <c r="X184">
        <v>1452044937</v>
      </c>
      <c r="Y184">
        <v>30</v>
      </c>
      <c r="AA184">
        <v>7495.77</v>
      </c>
      <c r="AB184">
        <v>0</v>
      </c>
      <c r="AC184">
        <v>0</v>
      </c>
      <c r="AD184">
        <v>0</v>
      </c>
      <c r="AE184">
        <v>7495.77</v>
      </c>
      <c r="AF184">
        <v>0</v>
      </c>
      <c r="AG184">
        <v>0</v>
      </c>
      <c r="AH184">
        <v>0</v>
      </c>
      <c r="AI184">
        <v>1</v>
      </c>
      <c r="AJ184">
        <v>1</v>
      </c>
      <c r="AK184">
        <v>1</v>
      </c>
      <c r="AL184">
        <v>1</v>
      </c>
      <c r="AN184">
        <v>0</v>
      </c>
      <c r="AO184">
        <v>0</v>
      </c>
      <c r="AP184">
        <v>0</v>
      </c>
      <c r="AQ184">
        <v>0</v>
      </c>
      <c r="AR184">
        <v>0</v>
      </c>
      <c r="AS184" t="s">
        <v>3</v>
      </c>
      <c r="AT184">
        <v>30</v>
      </c>
      <c r="AU184" t="s">
        <v>3</v>
      </c>
      <c r="AV184">
        <v>0</v>
      </c>
      <c r="AW184">
        <v>1</v>
      </c>
      <c r="AX184">
        <v>-1</v>
      </c>
      <c r="AY184">
        <v>0</v>
      </c>
      <c r="AZ184">
        <v>0</v>
      </c>
      <c r="BA184" t="s">
        <v>3</v>
      </c>
      <c r="BB184">
        <v>0</v>
      </c>
      <c r="BC184">
        <v>0</v>
      </c>
      <c r="BD184">
        <v>0</v>
      </c>
      <c r="BE184">
        <v>0</v>
      </c>
      <c r="BF184">
        <v>0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CX184">
        <f>Y184*Source!I221</f>
        <v>3</v>
      </c>
      <c r="CY184">
        <f>AA184</f>
        <v>7495.77</v>
      </c>
      <c r="CZ184">
        <f>AE184</f>
        <v>7495.77</v>
      </c>
      <c r="DA184">
        <f>AI184</f>
        <v>1</v>
      </c>
      <c r="DB184">
        <v>0</v>
      </c>
    </row>
    <row r="185" spans="1:106" x14ac:dyDescent="0.2">
      <c r="A185">
        <f>ROW(Source!A221)</f>
        <v>221</v>
      </c>
      <c r="B185">
        <v>45037306</v>
      </c>
      <c r="C185">
        <v>45037855</v>
      </c>
      <c r="D185">
        <v>22723124</v>
      </c>
      <c r="E185">
        <v>1</v>
      </c>
      <c r="F185">
        <v>1</v>
      </c>
      <c r="G185">
        <v>22652947</v>
      </c>
      <c r="H185">
        <v>3</v>
      </c>
      <c r="I185" t="s">
        <v>307</v>
      </c>
      <c r="J185" t="s">
        <v>309</v>
      </c>
      <c r="K185" t="s">
        <v>308</v>
      </c>
      <c r="L185">
        <v>1354</v>
      </c>
      <c r="N185">
        <v>1010</v>
      </c>
      <c r="O185" t="s">
        <v>304</v>
      </c>
      <c r="P185" t="s">
        <v>304</v>
      </c>
      <c r="Q185">
        <v>1</v>
      </c>
      <c r="W185">
        <v>0</v>
      </c>
      <c r="X185">
        <v>-105742610</v>
      </c>
      <c r="Y185">
        <v>40</v>
      </c>
      <c r="AA185">
        <v>739.17</v>
      </c>
      <c r="AB185">
        <v>0</v>
      </c>
      <c r="AC185">
        <v>0</v>
      </c>
      <c r="AD185">
        <v>0</v>
      </c>
      <c r="AE185">
        <v>739.17</v>
      </c>
      <c r="AF185">
        <v>0</v>
      </c>
      <c r="AG185">
        <v>0</v>
      </c>
      <c r="AH185">
        <v>0</v>
      </c>
      <c r="AI185">
        <v>1</v>
      </c>
      <c r="AJ185">
        <v>1</v>
      </c>
      <c r="AK185">
        <v>1</v>
      </c>
      <c r="AL185">
        <v>1</v>
      </c>
      <c r="AN185">
        <v>0</v>
      </c>
      <c r="AO185">
        <v>0</v>
      </c>
      <c r="AP185">
        <v>0</v>
      </c>
      <c r="AQ185">
        <v>0</v>
      </c>
      <c r="AR185">
        <v>0</v>
      </c>
      <c r="AS185" t="s">
        <v>3</v>
      </c>
      <c r="AT185">
        <v>40</v>
      </c>
      <c r="AU185" t="s">
        <v>3</v>
      </c>
      <c r="AV185">
        <v>0</v>
      </c>
      <c r="AW185">
        <v>1</v>
      </c>
      <c r="AX185">
        <v>-1</v>
      </c>
      <c r="AY185">
        <v>0</v>
      </c>
      <c r="AZ185">
        <v>0</v>
      </c>
      <c r="BA185" t="s">
        <v>3</v>
      </c>
      <c r="BB185">
        <v>0</v>
      </c>
      <c r="BC185">
        <v>0</v>
      </c>
      <c r="BD185">
        <v>0</v>
      </c>
      <c r="BE185">
        <v>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CX185">
        <f>Y185*Source!I221</f>
        <v>4</v>
      </c>
      <c r="CY185">
        <f>AA185</f>
        <v>739.17</v>
      </c>
      <c r="CZ185">
        <f>AE185</f>
        <v>739.17</v>
      </c>
      <c r="DA185">
        <f>AI185</f>
        <v>1</v>
      </c>
      <c r="DB185">
        <v>0</v>
      </c>
    </row>
    <row r="186" spans="1:106" x14ac:dyDescent="0.2">
      <c r="A186">
        <f>ROW(Source!A221)</f>
        <v>221</v>
      </c>
      <c r="B186">
        <v>45037306</v>
      </c>
      <c r="C186">
        <v>45037855</v>
      </c>
      <c r="D186">
        <v>22674651</v>
      </c>
      <c r="E186">
        <v>22652947</v>
      </c>
      <c r="F186">
        <v>1</v>
      </c>
      <c r="G186">
        <v>22652947</v>
      </c>
      <c r="H186">
        <v>3</v>
      </c>
      <c r="I186" t="s">
        <v>675</v>
      </c>
      <c r="J186" t="s">
        <v>3</v>
      </c>
      <c r="K186" t="s">
        <v>676</v>
      </c>
      <c r="L186">
        <v>1344</v>
      </c>
      <c r="N186">
        <v>1008</v>
      </c>
      <c r="O186" t="s">
        <v>632</v>
      </c>
      <c r="P186" t="s">
        <v>632</v>
      </c>
      <c r="Q186">
        <v>1</v>
      </c>
      <c r="W186">
        <v>0</v>
      </c>
      <c r="X186">
        <v>-94250534</v>
      </c>
      <c r="Y186">
        <v>39.479999999999997</v>
      </c>
      <c r="AA186">
        <v>1</v>
      </c>
      <c r="AB186">
        <v>0</v>
      </c>
      <c r="AC186">
        <v>0</v>
      </c>
      <c r="AD186">
        <v>0</v>
      </c>
      <c r="AE186">
        <v>1</v>
      </c>
      <c r="AF186">
        <v>0</v>
      </c>
      <c r="AG186">
        <v>0</v>
      </c>
      <c r="AH186">
        <v>0</v>
      </c>
      <c r="AI186">
        <v>1</v>
      </c>
      <c r="AJ186">
        <v>1</v>
      </c>
      <c r="AK186">
        <v>1</v>
      </c>
      <c r="AL186">
        <v>1</v>
      </c>
      <c r="AN186">
        <v>0</v>
      </c>
      <c r="AO186">
        <v>1</v>
      </c>
      <c r="AP186">
        <v>0</v>
      </c>
      <c r="AQ186">
        <v>0</v>
      </c>
      <c r="AR186">
        <v>0</v>
      </c>
      <c r="AS186" t="s">
        <v>3</v>
      </c>
      <c r="AT186">
        <v>39.479999999999997</v>
      </c>
      <c r="AU186" t="s">
        <v>3</v>
      </c>
      <c r="AV186">
        <v>0</v>
      </c>
      <c r="AW186">
        <v>2</v>
      </c>
      <c r="AX186">
        <v>45038583</v>
      </c>
      <c r="AY186">
        <v>1</v>
      </c>
      <c r="AZ186">
        <v>0</v>
      </c>
      <c r="BA186">
        <v>187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CX186">
        <f>Y186*Source!I221</f>
        <v>3.948</v>
      </c>
      <c r="CY186">
        <f>AA186</f>
        <v>1</v>
      </c>
      <c r="CZ186">
        <f>AE186</f>
        <v>1</v>
      </c>
      <c r="DA186">
        <f>AI186</f>
        <v>1</v>
      </c>
      <c r="DB186">
        <v>0</v>
      </c>
    </row>
    <row r="187" spans="1:106" x14ac:dyDescent="0.2">
      <c r="A187">
        <f>ROW(Source!A222)</f>
        <v>222</v>
      </c>
      <c r="B187">
        <v>45037307</v>
      </c>
      <c r="C187">
        <v>45037855</v>
      </c>
      <c r="D187">
        <v>22652952</v>
      </c>
      <c r="E187">
        <v>22652947</v>
      </c>
      <c r="F187">
        <v>1</v>
      </c>
      <c r="G187">
        <v>22652947</v>
      </c>
      <c r="H187">
        <v>1</v>
      </c>
      <c r="I187" t="s">
        <v>617</v>
      </c>
      <c r="J187" t="s">
        <v>3</v>
      </c>
      <c r="K187" t="s">
        <v>618</v>
      </c>
      <c r="L187">
        <v>1191</v>
      </c>
      <c r="N187">
        <v>1013</v>
      </c>
      <c r="O187" t="s">
        <v>619</v>
      </c>
      <c r="P187" t="s">
        <v>619</v>
      </c>
      <c r="Q187">
        <v>1</v>
      </c>
      <c r="W187">
        <v>0</v>
      </c>
      <c r="X187">
        <v>476480486</v>
      </c>
      <c r="Y187">
        <v>94.414999999999992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1</v>
      </c>
      <c r="AJ187">
        <v>1</v>
      </c>
      <c r="AK187">
        <v>1</v>
      </c>
      <c r="AL187">
        <v>1</v>
      </c>
      <c r="AN187">
        <v>0</v>
      </c>
      <c r="AO187">
        <v>1</v>
      </c>
      <c r="AP187">
        <v>1</v>
      </c>
      <c r="AQ187">
        <v>0</v>
      </c>
      <c r="AR187">
        <v>0</v>
      </c>
      <c r="AS187" t="s">
        <v>3</v>
      </c>
      <c r="AT187">
        <v>82.1</v>
      </c>
      <c r="AU187" t="s">
        <v>37</v>
      </c>
      <c r="AV187">
        <v>1</v>
      </c>
      <c r="AW187">
        <v>2</v>
      </c>
      <c r="AX187">
        <v>45038577</v>
      </c>
      <c r="AY187">
        <v>1</v>
      </c>
      <c r="AZ187">
        <v>0</v>
      </c>
      <c r="BA187">
        <v>188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CX187">
        <f>Y187*Source!I222</f>
        <v>9.4414999999999996</v>
      </c>
      <c r="CY187">
        <f>AD187</f>
        <v>0</v>
      </c>
      <c r="CZ187">
        <f>AH187</f>
        <v>0</v>
      </c>
      <c r="DA187">
        <f>AL187</f>
        <v>1</v>
      </c>
      <c r="DB187">
        <v>0</v>
      </c>
    </row>
    <row r="188" spans="1:106" x14ac:dyDescent="0.2">
      <c r="A188">
        <f>ROW(Source!A222)</f>
        <v>222</v>
      </c>
      <c r="B188">
        <v>45037307</v>
      </c>
      <c r="C188">
        <v>45037855</v>
      </c>
      <c r="D188">
        <v>22725583</v>
      </c>
      <c r="E188">
        <v>1</v>
      </c>
      <c r="F188">
        <v>1</v>
      </c>
      <c r="G188">
        <v>22652947</v>
      </c>
      <c r="H188">
        <v>2</v>
      </c>
      <c r="I188" t="s">
        <v>669</v>
      </c>
      <c r="J188" t="s">
        <v>670</v>
      </c>
      <c r="K188" t="s">
        <v>671</v>
      </c>
      <c r="L188">
        <v>1367</v>
      </c>
      <c r="N188">
        <v>1011</v>
      </c>
      <c r="O188" t="s">
        <v>623</v>
      </c>
      <c r="P188" t="s">
        <v>623</v>
      </c>
      <c r="Q188">
        <v>1</v>
      </c>
      <c r="W188">
        <v>0</v>
      </c>
      <c r="X188">
        <v>-1260721122</v>
      </c>
      <c r="Y188">
        <v>7.4999999999999997E-2</v>
      </c>
      <c r="AA188">
        <v>0</v>
      </c>
      <c r="AB188">
        <v>46.33</v>
      </c>
      <c r="AC188">
        <v>6.53</v>
      </c>
      <c r="AD188">
        <v>0</v>
      </c>
      <c r="AE188">
        <v>0</v>
      </c>
      <c r="AF188">
        <v>6.39</v>
      </c>
      <c r="AG188">
        <v>0.32</v>
      </c>
      <c r="AH188">
        <v>0</v>
      </c>
      <c r="AI188">
        <v>1</v>
      </c>
      <c r="AJ188">
        <v>7.25</v>
      </c>
      <c r="AK188">
        <v>20.399999999999999</v>
      </c>
      <c r="AL188">
        <v>1</v>
      </c>
      <c r="AN188">
        <v>0</v>
      </c>
      <c r="AO188">
        <v>1</v>
      </c>
      <c r="AP188">
        <v>1</v>
      </c>
      <c r="AQ188">
        <v>0</v>
      </c>
      <c r="AR188">
        <v>0</v>
      </c>
      <c r="AS188" t="s">
        <v>3</v>
      </c>
      <c r="AT188">
        <v>0.06</v>
      </c>
      <c r="AU188" t="s">
        <v>36</v>
      </c>
      <c r="AV188">
        <v>0</v>
      </c>
      <c r="AW188">
        <v>2</v>
      </c>
      <c r="AX188">
        <v>45038578</v>
      </c>
      <c r="AY188">
        <v>1</v>
      </c>
      <c r="AZ188">
        <v>0</v>
      </c>
      <c r="BA188">
        <v>189</v>
      </c>
      <c r="BB188">
        <v>0</v>
      </c>
      <c r="BC188">
        <v>0</v>
      </c>
      <c r="BD188">
        <v>0</v>
      </c>
      <c r="BE188">
        <v>0</v>
      </c>
      <c r="BF188">
        <v>0</v>
      </c>
      <c r="BG188">
        <v>0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P188">
        <v>0</v>
      </c>
      <c r="BQ188">
        <v>0</v>
      </c>
      <c r="BR188">
        <v>0</v>
      </c>
      <c r="BS188">
        <v>0</v>
      </c>
      <c r="BT188">
        <v>0</v>
      </c>
      <c r="BU188">
        <v>0</v>
      </c>
      <c r="BV188">
        <v>0</v>
      </c>
      <c r="BW188">
        <v>0</v>
      </c>
      <c r="CX188">
        <f>Y188*Source!I222</f>
        <v>7.4999999999999997E-3</v>
      </c>
      <c r="CY188">
        <f>AB188</f>
        <v>46.33</v>
      </c>
      <c r="CZ188">
        <f>AF188</f>
        <v>6.39</v>
      </c>
      <c r="DA188">
        <f>AJ188</f>
        <v>7.25</v>
      </c>
      <c r="DB188">
        <v>0</v>
      </c>
    </row>
    <row r="189" spans="1:106" x14ac:dyDescent="0.2">
      <c r="A189">
        <f>ROW(Source!A222)</f>
        <v>222</v>
      </c>
      <c r="B189">
        <v>45037307</v>
      </c>
      <c r="C189">
        <v>45037855</v>
      </c>
      <c r="D189">
        <v>22725932</v>
      </c>
      <c r="E189">
        <v>1</v>
      </c>
      <c r="F189">
        <v>1</v>
      </c>
      <c r="G189">
        <v>22652947</v>
      </c>
      <c r="H189">
        <v>2</v>
      </c>
      <c r="I189" t="s">
        <v>672</v>
      </c>
      <c r="J189" t="s">
        <v>673</v>
      </c>
      <c r="K189" t="s">
        <v>674</v>
      </c>
      <c r="L189">
        <v>1367</v>
      </c>
      <c r="N189">
        <v>1011</v>
      </c>
      <c r="O189" t="s">
        <v>623</v>
      </c>
      <c r="P189" t="s">
        <v>623</v>
      </c>
      <c r="Q189">
        <v>1</v>
      </c>
      <c r="W189">
        <v>0</v>
      </c>
      <c r="X189">
        <v>-840546339</v>
      </c>
      <c r="Y189">
        <v>0.95</v>
      </c>
      <c r="AA189">
        <v>0</v>
      </c>
      <c r="AB189">
        <v>25.67</v>
      </c>
      <c r="AC189">
        <v>0.82</v>
      </c>
      <c r="AD189">
        <v>0</v>
      </c>
      <c r="AE189">
        <v>0</v>
      </c>
      <c r="AF189">
        <v>2.58</v>
      </c>
      <c r="AG189">
        <v>0.04</v>
      </c>
      <c r="AH189">
        <v>0</v>
      </c>
      <c r="AI189">
        <v>1</v>
      </c>
      <c r="AJ189">
        <v>9.9499999999999993</v>
      </c>
      <c r="AK189">
        <v>20.399999999999999</v>
      </c>
      <c r="AL189">
        <v>1</v>
      </c>
      <c r="AN189">
        <v>0</v>
      </c>
      <c r="AO189">
        <v>1</v>
      </c>
      <c r="AP189">
        <v>1</v>
      </c>
      <c r="AQ189">
        <v>0</v>
      </c>
      <c r="AR189">
        <v>0</v>
      </c>
      <c r="AS189" t="s">
        <v>3</v>
      </c>
      <c r="AT189">
        <v>0.76</v>
      </c>
      <c r="AU189" t="s">
        <v>36</v>
      </c>
      <c r="AV189">
        <v>0</v>
      </c>
      <c r="AW189">
        <v>2</v>
      </c>
      <c r="AX189">
        <v>45038579</v>
      </c>
      <c r="AY189">
        <v>1</v>
      </c>
      <c r="AZ189">
        <v>0</v>
      </c>
      <c r="BA189">
        <v>190</v>
      </c>
      <c r="BB189">
        <v>0</v>
      </c>
      <c r="BC189">
        <v>0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0</v>
      </c>
      <c r="BQ189">
        <v>0</v>
      </c>
      <c r="BR189">
        <v>0</v>
      </c>
      <c r="BS189">
        <v>0</v>
      </c>
      <c r="BT189">
        <v>0</v>
      </c>
      <c r="BU189">
        <v>0</v>
      </c>
      <c r="BV189">
        <v>0</v>
      </c>
      <c r="BW189">
        <v>0</v>
      </c>
      <c r="CX189">
        <f>Y189*Source!I222</f>
        <v>9.5000000000000001E-2</v>
      </c>
      <c r="CY189">
        <f>AB189</f>
        <v>25.67</v>
      </c>
      <c r="CZ189">
        <f>AF189</f>
        <v>2.58</v>
      </c>
      <c r="DA189">
        <f>AJ189</f>
        <v>9.9499999999999993</v>
      </c>
      <c r="DB189">
        <v>0</v>
      </c>
    </row>
    <row r="190" spans="1:106" x14ac:dyDescent="0.2">
      <c r="A190">
        <f>ROW(Source!A222)</f>
        <v>222</v>
      </c>
      <c r="B190">
        <v>45037307</v>
      </c>
      <c r="C190">
        <v>45037855</v>
      </c>
      <c r="D190">
        <v>22653672</v>
      </c>
      <c r="E190">
        <v>22652947</v>
      </c>
      <c r="F190">
        <v>1</v>
      </c>
      <c r="G190">
        <v>22652947</v>
      </c>
      <c r="H190">
        <v>2</v>
      </c>
      <c r="I190" t="s">
        <v>630</v>
      </c>
      <c r="J190" t="s">
        <v>3</v>
      </c>
      <c r="K190" t="s">
        <v>631</v>
      </c>
      <c r="L190">
        <v>1344</v>
      </c>
      <c r="N190">
        <v>1008</v>
      </c>
      <c r="O190" t="s">
        <v>632</v>
      </c>
      <c r="P190" t="s">
        <v>632</v>
      </c>
      <c r="Q190">
        <v>1</v>
      </c>
      <c r="W190">
        <v>0</v>
      </c>
      <c r="X190">
        <v>-1180195794</v>
      </c>
      <c r="Y190">
        <v>290.3125</v>
      </c>
      <c r="AA190">
        <v>0</v>
      </c>
      <c r="AB190">
        <v>1</v>
      </c>
      <c r="AC190">
        <v>0</v>
      </c>
      <c r="AD190">
        <v>0</v>
      </c>
      <c r="AE190">
        <v>0</v>
      </c>
      <c r="AF190">
        <v>1</v>
      </c>
      <c r="AG190">
        <v>0</v>
      </c>
      <c r="AH190">
        <v>0</v>
      </c>
      <c r="AI190">
        <v>1</v>
      </c>
      <c r="AJ190">
        <v>1</v>
      </c>
      <c r="AK190">
        <v>1</v>
      </c>
      <c r="AL190">
        <v>1</v>
      </c>
      <c r="AN190">
        <v>0</v>
      </c>
      <c r="AO190">
        <v>1</v>
      </c>
      <c r="AP190">
        <v>1</v>
      </c>
      <c r="AQ190">
        <v>0</v>
      </c>
      <c r="AR190">
        <v>0</v>
      </c>
      <c r="AS190" t="s">
        <v>3</v>
      </c>
      <c r="AT190">
        <v>232.25</v>
      </c>
      <c r="AU190" t="s">
        <v>36</v>
      </c>
      <c r="AV190">
        <v>0</v>
      </c>
      <c r="AW190">
        <v>2</v>
      </c>
      <c r="AX190">
        <v>45038580</v>
      </c>
      <c r="AY190">
        <v>1</v>
      </c>
      <c r="AZ190">
        <v>0</v>
      </c>
      <c r="BA190">
        <v>191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CX190">
        <f>Y190*Source!I222</f>
        <v>29.03125</v>
      </c>
      <c r="CY190">
        <f>AB190</f>
        <v>1</v>
      </c>
      <c r="CZ190">
        <f>AF190</f>
        <v>1</v>
      </c>
      <c r="DA190">
        <f>AJ190</f>
        <v>1</v>
      </c>
      <c r="DB190">
        <v>0</v>
      </c>
    </row>
    <row r="191" spans="1:106" x14ac:dyDescent="0.2">
      <c r="A191">
        <f>ROW(Source!A222)</f>
        <v>222</v>
      </c>
      <c r="B191">
        <v>45037307</v>
      </c>
      <c r="C191">
        <v>45037855</v>
      </c>
      <c r="D191">
        <v>22702279</v>
      </c>
      <c r="E191">
        <v>1</v>
      </c>
      <c r="F191">
        <v>1</v>
      </c>
      <c r="G191">
        <v>22652947</v>
      </c>
      <c r="H191">
        <v>3</v>
      </c>
      <c r="I191" t="s">
        <v>666</v>
      </c>
      <c r="J191" t="s">
        <v>667</v>
      </c>
      <c r="K191" t="s">
        <v>668</v>
      </c>
      <c r="L191">
        <v>1348</v>
      </c>
      <c r="N191">
        <v>1009</v>
      </c>
      <c r="O191" t="s">
        <v>29</v>
      </c>
      <c r="P191" t="s">
        <v>29</v>
      </c>
      <c r="Q191">
        <v>1000</v>
      </c>
      <c r="W191">
        <v>0</v>
      </c>
      <c r="X191">
        <v>1310716689</v>
      </c>
      <c r="Y191">
        <v>6.9999999999999999E-4</v>
      </c>
      <c r="AA191">
        <v>86373.64</v>
      </c>
      <c r="AB191">
        <v>0</v>
      </c>
      <c r="AC191">
        <v>0</v>
      </c>
      <c r="AD191">
        <v>0</v>
      </c>
      <c r="AE191">
        <v>7191.81</v>
      </c>
      <c r="AF191">
        <v>0</v>
      </c>
      <c r="AG191">
        <v>0</v>
      </c>
      <c r="AH191">
        <v>0</v>
      </c>
      <c r="AI191">
        <v>12.01</v>
      </c>
      <c r="AJ191">
        <v>1</v>
      </c>
      <c r="AK191">
        <v>1</v>
      </c>
      <c r="AL191">
        <v>1</v>
      </c>
      <c r="AN191">
        <v>0</v>
      </c>
      <c r="AO191">
        <v>1</v>
      </c>
      <c r="AP191">
        <v>0</v>
      </c>
      <c r="AQ191">
        <v>0</v>
      </c>
      <c r="AR191">
        <v>0</v>
      </c>
      <c r="AS191" t="s">
        <v>3</v>
      </c>
      <c r="AT191">
        <v>6.9999999999999999E-4</v>
      </c>
      <c r="AU191" t="s">
        <v>3</v>
      </c>
      <c r="AV191">
        <v>0</v>
      </c>
      <c r="AW191">
        <v>2</v>
      </c>
      <c r="AX191">
        <v>45038581</v>
      </c>
      <c r="AY191">
        <v>1</v>
      </c>
      <c r="AZ191">
        <v>0</v>
      </c>
      <c r="BA191">
        <v>192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CX191">
        <f>Y191*Source!I222</f>
        <v>7.0000000000000007E-5</v>
      </c>
      <c r="CY191">
        <f>AA191</f>
        <v>86373.64</v>
      </c>
      <c r="CZ191">
        <f>AE191</f>
        <v>7191.81</v>
      </c>
      <c r="DA191">
        <f>AI191</f>
        <v>12.01</v>
      </c>
      <c r="DB191">
        <v>0</v>
      </c>
    </row>
    <row r="192" spans="1:106" x14ac:dyDescent="0.2">
      <c r="A192">
        <f>ROW(Source!A222)</f>
        <v>222</v>
      </c>
      <c r="B192">
        <v>45037307</v>
      </c>
      <c r="C192">
        <v>45037855</v>
      </c>
      <c r="D192">
        <v>22723121</v>
      </c>
      <c r="E192">
        <v>1</v>
      </c>
      <c r="F192">
        <v>1</v>
      </c>
      <c r="G192">
        <v>22652947</v>
      </c>
      <c r="H192">
        <v>3</v>
      </c>
      <c r="I192" t="s">
        <v>302</v>
      </c>
      <c r="J192" t="s">
        <v>305</v>
      </c>
      <c r="K192" t="s">
        <v>303</v>
      </c>
      <c r="L192">
        <v>1354</v>
      </c>
      <c r="N192">
        <v>1010</v>
      </c>
      <c r="O192" t="s">
        <v>304</v>
      </c>
      <c r="P192" t="s">
        <v>304</v>
      </c>
      <c r="Q192">
        <v>1</v>
      </c>
      <c r="W192">
        <v>0</v>
      </c>
      <c r="X192">
        <v>1452044937</v>
      </c>
      <c r="Y192">
        <v>30</v>
      </c>
      <c r="AA192">
        <v>14316.92</v>
      </c>
      <c r="AB192">
        <v>0</v>
      </c>
      <c r="AC192">
        <v>0</v>
      </c>
      <c r="AD192">
        <v>0</v>
      </c>
      <c r="AE192">
        <v>7495.77</v>
      </c>
      <c r="AF192">
        <v>0</v>
      </c>
      <c r="AG192">
        <v>0</v>
      </c>
      <c r="AH192">
        <v>0</v>
      </c>
      <c r="AI192">
        <v>1.91</v>
      </c>
      <c r="AJ192">
        <v>1</v>
      </c>
      <c r="AK192">
        <v>1</v>
      </c>
      <c r="AL192">
        <v>1</v>
      </c>
      <c r="AN192">
        <v>0</v>
      </c>
      <c r="AO192">
        <v>0</v>
      </c>
      <c r="AP192">
        <v>0</v>
      </c>
      <c r="AQ192">
        <v>0</v>
      </c>
      <c r="AR192">
        <v>0</v>
      </c>
      <c r="AS192" t="s">
        <v>3</v>
      </c>
      <c r="AT192">
        <v>30</v>
      </c>
      <c r="AU192" t="s">
        <v>3</v>
      </c>
      <c r="AV192">
        <v>0</v>
      </c>
      <c r="AW192">
        <v>1</v>
      </c>
      <c r="AX192">
        <v>-1</v>
      </c>
      <c r="AY192">
        <v>0</v>
      </c>
      <c r="AZ192">
        <v>0</v>
      </c>
      <c r="BA192" t="s">
        <v>3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CX192">
        <f>Y192*Source!I222</f>
        <v>3</v>
      </c>
      <c r="CY192">
        <f>AA192</f>
        <v>14316.92</v>
      </c>
      <c r="CZ192">
        <f>AE192</f>
        <v>7495.77</v>
      </c>
      <c r="DA192">
        <f>AI192</f>
        <v>1.91</v>
      </c>
      <c r="DB192">
        <v>0</v>
      </c>
    </row>
    <row r="193" spans="1:106" x14ac:dyDescent="0.2">
      <c r="A193">
        <f>ROW(Source!A222)</f>
        <v>222</v>
      </c>
      <c r="B193">
        <v>45037307</v>
      </c>
      <c r="C193">
        <v>45037855</v>
      </c>
      <c r="D193">
        <v>22723124</v>
      </c>
      <c r="E193">
        <v>1</v>
      </c>
      <c r="F193">
        <v>1</v>
      </c>
      <c r="G193">
        <v>22652947</v>
      </c>
      <c r="H193">
        <v>3</v>
      </c>
      <c r="I193" t="s">
        <v>307</v>
      </c>
      <c r="J193" t="s">
        <v>309</v>
      </c>
      <c r="K193" t="s">
        <v>308</v>
      </c>
      <c r="L193">
        <v>1354</v>
      </c>
      <c r="N193">
        <v>1010</v>
      </c>
      <c r="O193" t="s">
        <v>304</v>
      </c>
      <c r="P193" t="s">
        <v>304</v>
      </c>
      <c r="Q193">
        <v>1</v>
      </c>
      <c r="W193">
        <v>0</v>
      </c>
      <c r="X193">
        <v>-105742610</v>
      </c>
      <c r="Y193">
        <v>40</v>
      </c>
      <c r="AA193">
        <v>2136.1999999999998</v>
      </c>
      <c r="AB193">
        <v>0</v>
      </c>
      <c r="AC193">
        <v>0</v>
      </c>
      <c r="AD193">
        <v>0</v>
      </c>
      <c r="AE193">
        <v>739.17</v>
      </c>
      <c r="AF193">
        <v>0</v>
      </c>
      <c r="AG193">
        <v>0</v>
      </c>
      <c r="AH193">
        <v>0</v>
      </c>
      <c r="AI193">
        <v>2.89</v>
      </c>
      <c r="AJ193">
        <v>1</v>
      </c>
      <c r="AK193">
        <v>1</v>
      </c>
      <c r="AL193">
        <v>1</v>
      </c>
      <c r="AN193">
        <v>0</v>
      </c>
      <c r="AO193">
        <v>0</v>
      </c>
      <c r="AP193">
        <v>0</v>
      </c>
      <c r="AQ193">
        <v>0</v>
      </c>
      <c r="AR193">
        <v>0</v>
      </c>
      <c r="AS193" t="s">
        <v>3</v>
      </c>
      <c r="AT193">
        <v>40</v>
      </c>
      <c r="AU193" t="s">
        <v>3</v>
      </c>
      <c r="AV193">
        <v>0</v>
      </c>
      <c r="AW193">
        <v>1</v>
      </c>
      <c r="AX193">
        <v>-1</v>
      </c>
      <c r="AY193">
        <v>0</v>
      </c>
      <c r="AZ193">
        <v>0</v>
      </c>
      <c r="BA193" t="s">
        <v>3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CX193">
        <f>Y193*Source!I222</f>
        <v>4</v>
      </c>
      <c r="CY193">
        <f>AA193</f>
        <v>2136.1999999999998</v>
      </c>
      <c r="CZ193">
        <f>AE193</f>
        <v>739.17</v>
      </c>
      <c r="DA193">
        <f>AI193</f>
        <v>2.89</v>
      </c>
      <c r="DB193">
        <v>0</v>
      </c>
    </row>
    <row r="194" spans="1:106" x14ac:dyDescent="0.2">
      <c r="A194">
        <f>ROW(Source!A222)</f>
        <v>222</v>
      </c>
      <c r="B194">
        <v>45037307</v>
      </c>
      <c r="C194">
        <v>45037855</v>
      </c>
      <c r="D194">
        <v>22674651</v>
      </c>
      <c r="E194">
        <v>22652947</v>
      </c>
      <c r="F194">
        <v>1</v>
      </c>
      <c r="G194">
        <v>22652947</v>
      </c>
      <c r="H194">
        <v>3</v>
      </c>
      <c r="I194" t="s">
        <v>675</v>
      </c>
      <c r="J194" t="s">
        <v>3</v>
      </c>
      <c r="K194" t="s">
        <v>676</v>
      </c>
      <c r="L194">
        <v>1344</v>
      </c>
      <c r="N194">
        <v>1008</v>
      </c>
      <c r="O194" t="s">
        <v>632</v>
      </c>
      <c r="P194" t="s">
        <v>632</v>
      </c>
      <c r="Q194">
        <v>1</v>
      </c>
      <c r="W194">
        <v>0</v>
      </c>
      <c r="X194">
        <v>-94250534</v>
      </c>
      <c r="Y194">
        <v>39.479999999999997</v>
      </c>
      <c r="AA194">
        <v>1</v>
      </c>
      <c r="AB194">
        <v>0</v>
      </c>
      <c r="AC194">
        <v>0</v>
      </c>
      <c r="AD194">
        <v>0</v>
      </c>
      <c r="AE194">
        <v>1</v>
      </c>
      <c r="AF194">
        <v>0</v>
      </c>
      <c r="AG194">
        <v>0</v>
      </c>
      <c r="AH194">
        <v>0</v>
      </c>
      <c r="AI194">
        <v>1</v>
      </c>
      <c r="AJ194">
        <v>1</v>
      </c>
      <c r="AK194">
        <v>1</v>
      </c>
      <c r="AL194">
        <v>1</v>
      </c>
      <c r="AN194">
        <v>0</v>
      </c>
      <c r="AO194">
        <v>1</v>
      </c>
      <c r="AP194">
        <v>0</v>
      </c>
      <c r="AQ194">
        <v>0</v>
      </c>
      <c r="AR194">
        <v>0</v>
      </c>
      <c r="AS194" t="s">
        <v>3</v>
      </c>
      <c r="AT194">
        <v>39.479999999999997</v>
      </c>
      <c r="AU194" t="s">
        <v>3</v>
      </c>
      <c r="AV194">
        <v>0</v>
      </c>
      <c r="AW194">
        <v>2</v>
      </c>
      <c r="AX194">
        <v>45038583</v>
      </c>
      <c r="AY194">
        <v>1</v>
      </c>
      <c r="AZ194">
        <v>0</v>
      </c>
      <c r="BA194">
        <v>194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CX194">
        <f>Y194*Source!I222</f>
        <v>3.948</v>
      </c>
      <c r="CY194">
        <f>AA194</f>
        <v>1</v>
      </c>
      <c r="CZ194">
        <f>AE194</f>
        <v>1</v>
      </c>
      <c r="DA194">
        <f>AI194</f>
        <v>1</v>
      </c>
      <c r="DB194">
        <v>0</v>
      </c>
    </row>
    <row r="195" spans="1:106" x14ac:dyDescent="0.2">
      <c r="A195">
        <f>ROW(Source!A227)</f>
        <v>227</v>
      </c>
      <c r="B195">
        <v>45037306</v>
      </c>
      <c r="C195">
        <v>45037873</v>
      </c>
      <c r="D195">
        <v>22652952</v>
      </c>
      <c r="E195">
        <v>22652947</v>
      </c>
      <c r="F195">
        <v>1</v>
      </c>
      <c r="G195">
        <v>22652947</v>
      </c>
      <c r="H195">
        <v>1</v>
      </c>
      <c r="I195" t="s">
        <v>617</v>
      </c>
      <c r="J195" t="s">
        <v>3</v>
      </c>
      <c r="K195" t="s">
        <v>618</v>
      </c>
      <c r="L195">
        <v>1191</v>
      </c>
      <c r="N195">
        <v>1013</v>
      </c>
      <c r="O195" t="s">
        <v>619</v>
      </c>
      <c r="P195" t="s">
        <v>619</v>
      </c>
      <c r="Q195">
        <v>1</v>
      </c>
      <c r="W195">
        <v>0</v>
      </c>
      <c r="X195">
        <v>476480486</v>
      </c>
      <c r="Y195">
        <v>64.606999999999999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1</v>
      </c>
      <c r="AJ195">
        <v>1</v>
      </c>
      <c r="AK195">
        <v>1</v>
      </c>
      <c r="AL195">
        <v>1</v>
      </c>
      <c r="AN195">
        <v>0</v>
      </c>
      <c r="AO195">
        <v>1</v>
      </c>
      <c r="AP195">
        <v>1</v>
      </c>
      <c r="AQ195">
        <v>0</v>
      </c>
      <c r="AR195">
        <v>0</v>
      </c>
      <c r="AS195" t="s">
        <v>3</v>
      </c>
      <c r="AT195">
        <v>56.18</v>
      </c>
      <c r="AU195" t="s">
        <v>37</v>
      </c>
      <c r="AV195">
        <v>1</v>
      </c>
      <c r="AW195">
        <v>2</v>
      </c>
      <c r="AX195">
        <v>45038584</v>
      </c>
      <c r="AY195">
        <v>1</v>
      </c>
      <c r="AZ195">
        <v>0</v>
      </c>
      <c r="BA195">
        <v>195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CX195">
        <f>Y195*Source!I227</f>
        <v>19.382099999999998</v>
      </c>
      <c r="CY195">
        <f>AD195</f>
        <v>0</v>
      </c>
      <c r="CZ195">
        <f>AH195</f>
        <v>0</v>
      </c>
      <c r="DA195">
        <f>AL195</f>
        <v>1</v>
      </c>
      <c r="DB195">
        <v>0</v>
      </c>
    </row>
    <row r="196" spans="1:106" x14ac:dyDescent="0.2">
      <c r="A196">
        <f>ROW(Source!A227)</f>
        <v>227</v>
      </c>
      <c r="B196">
        <v>45037306</v>
      </c>
      <c r="C196">
        <v>45037873</v>
      </c>
      <c r="D196">
        <v>22725860</v>
      </c>
      <c r="E196">
        <v>1</v>
      </c>
      <c r="F196">
        <v>1</v>
      </c>
      <c r="G196">
        <v>22652947</v>
      </c>
      <c r="H196">
        <v>2</v>
      </c>
      <c r="I196" t="s">
        <v>660</v>
      </c>
      <c r="J196" t="s">
        <v>661</v>
      </c>
      <c r="K196" t="s">
        <v>662</v>
      </c>
      <c r="L196">
        <v>1367</v>
      </c>
      <c r="N196">
        <v>1011</v>
      </c>
      <c r="O196" t="s">
        <v>623</v>
      </c>
      <c r="P196" t="s">
        <v>623</v>
      </c>
      <c r="Q196">
        <v>1</v>
      </c>
      <c r="W196">
        <v>0</v>
      </c>
      <c r="X196">
        <v>-628430174</v>
      </c>
      <c r="Y196">
        <v>0.23749999999999999</v>
      </c>
      <c r="AA196">
        <v>0</v>
      </c>
      <c r="AB196">
        <v>76.81</v>
      </c>
      <c r="AC196">
        <v>14.36</v>
      </c>
      <c r="AD196">
        <v>0</v>
      </c>
      <c r="AE196">
        <v>0</v>
      </c>
      <c r="AF196">
        <v>76.81</v>
      </c>
      <c r="AG196">
        <v>14.36</v>
      </c>
      <c r="AH196">
        <v>0</v>
      </c>
      <c r="AI196">
        <v>1</v>
      </c>
      <c r="AJ196">
        <v>1</v>
      </c>
      <c r="AK196">
        <v>1</v>
      </c>
      <c r="AL196">
        <v>1</v>
      </c>
      <c r="AN196">
        <v>0</v>
      </c>
      <c r="AO196">
        <v>1</v>
      </c>
      <c r="AP196">
        <v>1</v>
      </c>
      <c r="AQ196">
        <v>0</v>
      </c>
      <c r="AR196">
        <v>0</v>
      </c>
      <c r="AS196" t="s">
        <v>3</v>
      </c>
      <c r="AT196">
        <v>0.19</v>
      </c>
      <c r="AU196" t="s">
        <v>36</v>
      </c>
      <c r="AV196">
        <v>0</v>
      </c>
      <c r="AW196">
        <v>2</v>
      </c>
      <c r="AX196">
        <v>45038585</v>
      </c>
      <c r="AY196">
        <v>1</v>
      </c>
      <c r="AZ196">
        <v>0</v>
      </c>
      <c r="BA196">
        <v>196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CX196">
        <f>Y196*Source!I227</f>
        <v>7.1249999999999994E-2</v>
      </c>
      <c r="CY196">
        <f>AB196</f>
        <v>76.81</v>
      </c>
      <c r="CZ196">
        <f>AF196</f>
        <v>76.81</v>
      </c>
      <c r="DA196">
        <f>AJ196</f>
        <v>1</v>
      </c>
      <c r="DB196">
        <v>0</v>
      </c>
    </row>
    <row r="197" spans="1:106" x14ac:dyDescent="0.2">
      <c r="A197">
        <f>ROW(Source!A227)</f>
        <v>227</v>
      </c>
      <c r="B197">
        <v>45037306</v>
      </c>
      <c r="C197">
        <v>45037873</v>
      </c>
      <c r="D197">
        <v>22725983</v>
      </c>
      <c r="E197">
        <v>1</v>
      </c>
      <c r="F197">
        <v>1</v>
      </c>
      <c r="G197">
        <v>22652947</v>
      </c>
      <c r="H197">
        <v>2</v>
      </c>
      <c r="I197" t="s">
        <v>695</v>
      </c>
      <c r="J197" t="s">
        <v>696</v>
      </c>
      <c r="K197" t="s">
        <v>697</v>
      </c>
      <c r="L197">
        <v>1367</v>
      </c>
      <c r="N197">
        <v>1011</v>
      </c>
      <c r="O197" t="s">
        <v>623</v>
      </c>
      <c r="P197" t="s">
        <v>623</v>
      </c>
      <c r="Q197">
        <v>1</v>
      </c>
      <c r="W197">
        <v>0</v>
      </c>
      <c r="X197">
        <v>593980231</v>
      </c>
      <c r="Y197">
        <v>4.5</v>
      </c>
      <c r="AA197">
        <v>0</v>
      </c>
      <c r="AB197">
        <v>2.36</v>
      </c>
      <c r="AC197">
        <v>0.04</v>
      </c>
      <c r="AD197">
        <v>0</v>
      </c>
      <c r="AE197">
        <v>0</v>
      </c>
      <c r="AF197">
        <v>2.36</v>
      </c>
      <c r="AG197">
        <v>0.04</v>
      </c>
      <c r="AH197">
        <v>0</v>
      </c>
      <c r="AI197">
        <v>1</v>
      </c>
      <c r="AJ197">
        <v>1</v>
      </c>
      <c r="AK197">
        <v>1</v>
      </c>
      <c r="AL197">
        <v>1</v>
      </c>
      <c r="AN197">
        <v>0</v>
      </c>
      <c r="AO197">
        <v>1</v>
      </c>
      <c r="AP197">
        <v>1</v>
      </c>
      <c r="AQ197">
        <v>0</v>
      </c>
      <c r="AR197">
        <v>0</v>
      </c>
      <c r="AS197" t="s">
        <v>3</v>
      </c>
      <c r="AT197">
        <v>3.6</v>
      </c>
      <c r="AU197" t="s">
        <v>36</v>
      </c>
      <c r="AV197">
        <v>0</v>
      </c>
      <c r="AW197">
        <v>2</v>
      </c>
      <c r="AX197">
        <v>45038586</v>
      </c>
      <c r="AY197">
        <v>1</v>
      </c>
      <c r="AZ197">
        <v>0</v>
      </c>
      <c r="BA197">
        <v>197</v>
      </c>
      <c r="BB197">
        <v>0</v>
      </c>
      <c r="BC197">
        <v>0</v>
      </c>
      <c r="BD197">
        <v>0</v>
      </c>
      <c r="BE197">
        <v>0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CX197">
        <f>Y197*Source!I227</f>
        <v>1.3499999999999999</v>
      </c>
      <c r="CY197">
        <f>AB197</f>
        <v>2.36</v>
      </c>
      <c r="CZ197">
        <f>AF197</f>
        <v>2.36</v>
      </c>
      <c r="DA197">
        <f>AJ197</f>
        <v>1</v>
      </c>
      <c r="DB197">
        <v>0</v>
      </c>
    </row>
    <row r="198" spans="1:106" x14ac:dyDescent="0.2">
      <c r="A198">
        <f>ROW(Source!A227)</f>
        <v>227</v>
      </c>
      <c r="B198">
        <v>45037306</v>
      </c>
      <c r="C198">
        <v>45037873</v>
      </c>
      <c r="D198">
        <v>22725914</v>
      </c>
      <c r="E198">
        <v>1</v>
      </c>
      <c r="F198">
        <v>1</v>
      </c>
      <c r="G198">
        <v>22652947</v>
      </c>
      <c r="H198">
        <v>2</v>
      </c>
      <c r="I198" t="s">
        <v>698</v>
      </c>
      <c r="J198" t="s">
        <v>699</v>
      </c>
      <c r="K198" t="s">
        <v>700</v>
      </c>
      <c r="L198">
        <v>1367</v>
      </c>
      <c r="N198">
        <v>1011</v>
      </c>
      <c r="O198" t="s">
        <v>623</v>
      </c>
      <c r="P198" t="s">
        <v>623</v>
      </c>
      <c r="Q198">
        <v>1</v>
      </c>
      <c r="W198">
        <v>0</v>
      </c>
      <c r="X198">
        <v>2073069139</v>
      </c>
      <c r="Y198">
        <v>0.375</v>
      </c>
      <c r="AA198">
        <v>0</v>
      </c>
      <c r="AB198">
        <v>0.81</v>
      </c>
      <c r="AC198">
        <v>0.03</v>
      </c>
      <c r="AD198">
        <v>0</v>
      </c>
      <c r="AE198">
        <v>0</v>
      </c>
      <c r="AF198">
        <v>0.81</v>
      </c>
      <c r="AG198">
        <v>0.03</v>
      </c>
      <c r="AH198">
        <v>0</v>
      </c>
      <c r="AI198">
        <v>1</v>
      </c>
      <c r="AJ198">
        <v>1</v>
      </c>
      <c r="AK198">
        <v>1</v>
      </c>
      <c r="AL198">
        <v>1</v>
      </c>
      <c r="AN198">
        <v>0</v>
      </c>
      <c r="AO198">
        <v>1</v>
      </c>
      <c r="AP198">
        <v>1</v>
      </c>
      <c r="AQ198">
        <v>0</v>
      </c>
      <c r="AR198">
        <v>0</v>
      </c>
      <c r="AS198" t="s">
        <v>3</v>
      </c>
      <c r="AT198">
        <v>0.3</v>
      </c>
      <c r="AU198" t="s">
        <v>36</v>
      </c>
      <c r="AV198">
        <v>0</v>
      </c>
      <c r="AW198">
        <v>2</v>
      </c>
      <c r="AX198">
        <v>45038587</v>
      </c>
      <c r="AY198">
        <v>1</v>
      </c>
      <c r="AZ198">
        <v>0</v>
      </c>
      <c r="BA198">
        <v>198</v>
      </c>
      <c r="BB198">
        <v>0</v>
      </c>
      <c r="BC198">
        <v>0</v>
      </c>
      <c r="BD198">
        <v>0</v>
      </c>
      <c r="BE198">
        <v>0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0</v>
      </c>
      <c r="BQ198">
        <v>0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CX198">
        <f>Y198*Source!I227</f>
        <v>0.11249999999999999</v>
      </c>
      <c r="CY198">
        <f>AB198</f>
        <v>0.81</v>
      </c>
      <c r="CZ198">
        <f>AF198</f>
        <v>0.81</v>
      </c>
      <c r="DA198">
        <f>AJ198</f>
        <v>1</v>
      </c>
      <c r="DB198">
        <v>0</v>
      </c>
    </row>
    <row r="199" spans="1:106" x14ac:dyDescent="0.2">
      <c r="A199">
        <f>ROW(Source!A227)</f>
        <v>227</v>
      </c>
      <c r="B199">
        <v>45037306</v>
      </c>
      <c r="C199">
        <v>45037873</v>
      </c>
      <c r="D199">
        <v>22703071</v>
      </c>
      <c r="E199">
        <v>1</v>
      </c>
      <c r="F199">
        <v>1</v>
      </c>
      <c r="G199">
        <v>22652947</v>
      </c>
      <c r="H199">
        <v>3</v>
      </c>
      <c r="I199" t="s">
        <v>701</v>
      </c>
      <c r="J199" t="s">
        <v>702</v>
      </c>
      <c r="K199" t="s">
        <v>703</v>
      </c>
      <c r="L199">
        <v>1296</v>
      </c>
      <c r="N199">
        <v>1002</v>
      </c>
      <c r="O199" t="s">
        <v>704</v>
      </c>
      <c r="P199" t="s">
        <v>704</v>
      </c>
      <c r="Q199">
        <v>1</v>
      </c>
      <c r="W199">
        <v>0</v>
      </c>
      <c r="X199">
        <v>1960333545</v>
      </c>
      <c r="Y199">
        <v>2.6</v>
      </c>
      <c r="AA199">
        <v>177.8</v>
      </c>
      <c r="AB199">
        <v>0</v>
      </c>
      <c r="AC199">
        <v>0</v>
      </c>
      <c r="AD199">
        <v>0</v>
      </c>
      <c r="AE199">
        <v>177.8</v>
      </c>
      <c r="AF199">
        <v>0</v>
      </c>
      <c r="AG199">
        <v>0</v>
      </c>
      <c r="AH199">
        <v>0</v>
      </c>
      <c r="AI199">
        <v>1</v>
      </c>
      <c r="AJ199">
        <v>1</v>
      </c>
      <c r="AK199">
        <v>1</v>
      </c>
      <c r="AL199">
        <v>1</v>
      </c>
      <c r="AN199">
        <v>0</v>
      </c>
      <c r="AO199">
        <v>1</v>
      </c>
      <c r="AP199">
        <v>0</v>
      </c>
      <c r="AQ199">
        <v>0</v>
      </c>
      <c r="AR199">
        <v>0</v>
      </c>
      <c r="AS199" t="s">
        <v>3</v>
      </c>
      <c r="AT199">
        <v>2.6</v>
      </c>
      <c r="AU199" t="s">
        <v>3</v>
      </c>
      <c r="AV199">
        <v>0</v>
      </c>
      <c r="AW199">
        <v>2</v>
      </c>
      <c r="AX199">
        <v>45038588</v>
      </c>
      <c r="AY199">
        <v>1</v>
      </c>
      <c r="AZ199">
        <v>0</v>
      </c>
      <c r="BA199">
        <v>199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0</v>
      </c>
      <c r="BW199">
        <v>0</v>
      </c>
      <c r="CX199">
        <f>Y199*Source!I227</f>
        <v>0.78</v>
      </c>
      <c r="CY199">
        <f t="shared" ref="CY199:CY206" si="6">AA199</f>
        <v>177.8</v>
      </c>
      <c r="CZ199">
        <f t="shared" ref="CZ199:CZ206" si="7">AE199</f>
        <v>177.8</v>
      </c>
      <c r="DA199">
        <f t="shared" ref="DA199:DA206" si="8">AI199</f>
        <v>1</v>
      </c>
      <c r="DB199">
        <v>0</v>
      </c>
    </row>
    <row r="200" spans="1:106" x14ac:dyDescent="0.2">
      <c r="A200">
        <f>ROW(Source!A227)</f>
        <v>227</v>
      </c>
      <c r="B200">
        <v>45037306</v>
      </c>
      <c r="C200">
        <v>45037873</v>
      </c>
      <c r="D200">
        <v>22704015</v>
      </c>
      <c r="E200">
        <v>1</v>
      </c>
      <c r="F200">
        <v>1</v>
      </c>
      <c r="G200">
        <v>22652947</v>
      </c>
      <c r="H200">
        <v>3</v>
      </c>
      <c r="I200" t="s">
        <v>705</v>
      </c>
      <c r="J200" t="s">
        <v>706</v>
      </c>
      <c r="K200" t="s">
        <v>707</v>
      </c>
      <c r="L200">
        <v>1296</v>
      </c>
      <c r="N200">
        <v>1002</v>
      </c>
      <c r="O200" t="s">
        <v>704</v>
      </c>
      <c r="P200" t="s">
        <v>704</v>
      </c>
      <c r="Q200">
        <v>1</v>
      </c>
      <c r="W200">
        <v>0</v>
      </c>
      <c r="X200">
        <v>2079983373</v>
      </c>
      <c r="Y200">
        <v>6.1</v>
      </c>
      <c r="AA200">
        <v>125.73</v>
      </c>
      <c r="AB200">
        <v>0</v>
      </c>
      <c r="AC200">
        <v>0</v>
      </c>
      <c r="AD200">
        <v>0</v>
      </c>
      <c r="AE200">
        <v>125.73</v>
      </c>
      <c r="AF200">
        <v>0</v>
      </c>
      <c r="AG200">
        <v>0</v>
      </c>
      <c r="AH200">
        <v>0</v>
      </c>
      <c r="AI200">
        <v>1</v>
      </c>
      <c r="AJ200">
        <v>1</v>
      </c>
      <c r="AK200">
        <v>1</v>
      </c>
      <c r="AL200">
        <v>1</v>
      </c>
      <c r="AN200">
        <v>0</v>
      </c>
      <c r="AO200">
        <v>1</v>
      </c>
      <c r="AP200">
        <v>0</v>
      </c>
      <c r="AQ200">
        <v>0</v>
      </c>
      <c r="AR200">
        <v>0</v>
      </c>
      <c r="AS200" t="s">
        <v>3</v>
      </c>
      <c r="AT200">
        <v>6.1</v>
      </c>
      <c r="AU200" t="s">
        <v>3</v>
      </c>
      <c r="AV200">
        <v>0</v>
      </c>
      <c r="AW200">
        <v>2</v>
      </c>
      <c r="AX200">
        <v>45038589</v>
      </c>
      <c r="AY200">
        <v>1</v>
      </c>
      <c r="AZ200">
        <v>0</v>
      </c>
      <c r="BA200">
        <v>200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CX200">
        <f>Y200*Source!I227</f>
        <v>1.8299999999999998</v>
      </c>
      <c r="CY200">
        <f t="shared" si="6"/>
        <v>125.73</v>
      </c>
      <c r="CZ200">
        <f t="shared" si="7"/>
        <v>125.73</v>
      </c>
      <c r="DA200">
        <f t="shared" si="8"/>
        <v>1</v>
      </c>
      <c r="DB200">
        <v>0</v>
      </c>
    </row>
    <row r="201" spans="1:106" x14ac:dyDescent="0.2">
      <c r="A201">
        <f>ROW(Source!A227)</f>
        <v>227</v>
      </c>
      <c r="B201">
        <v>45037306</v>
      </c>
      <c r="C201">
        <v>45037873</v>
      </c>
      <c r="D201">
        <v>22700935</v>
      </c>
      <c r="E201">
        <v>1</v>
      </c>
      <c r="F201">
        <v>1</v>
      </c>
      <c r="G201">
        <v>22652947</v>
      </c>
      <c r="H201">
        <v>3</v>
      </c>
      <c r="I201" t="s">
        <v>708</v>
      </c>
      <c r="J201" t="s">
        <v>709</v>
      </c>
      <c r="K201" t="s">
        <v>710</v>
      </c>
      <c r="L201">
        <v>1339</v>
      </c>
      <c r="N201">
        <v>1007</v>
      </c>
      <c r="O201" t="s">
        <v>80</v>
      </c>
      <c r="P201" t="s">
        <v>80</v>
      </c>
      <c r="Q201">
        <v>1</v>
      </c>
      <c r="W201">
        <v>0</v>
      </c>
      <c r="X201">
        <v>1611452634</v>
      </c>
      <c r="Y201">
        <v>1.6000000000000001E-3</v>
      </c>
      <c r="AA201">
        <v>2472.13</v>
      </c>
      <c r="AB201">
        <v>0</v>
      </c>
      <c r="AC201">
        <v>0</v>
      </c>
      <c r="AD201">
        <v>0</v>
      </c>
      <c r="AE201">
        <v>2472.13</v>
      </c>
      <c r="AF201">
        <v>0</v>
      </c>
      <c r="AG201">
        <v>0</v>
      </c>
      <c r="AH201">
        <v>0</v>
      </c>
      <c r="AI201">
        <v>1</v>
      </c>
      <c r="AJ201">
        <v>1</v>
      </c>
      <c r="AK201">
        <v>1</v>
      </c>
      <c r="AL201">
        <v>1</v>
      </c>
      <c r="AN201">
        <v>0</v>
      </c>
      <c r="AO201">
        <v>1</v>
      </c>
      <c r="AP201">
        <v>0</v>
      </c>
      <c r="AQ201">
        <v>0</v>
      </c>
      <c r="AR201">
        <v>0</v>
      </c>
      <c r="AS201" t="s">
        <v>3</v>
      </c>
      <c r="AT201">
        <v>1.6000000000000001E-3</v>
      </c>
      <c r="AU201" t="s">
        <v>3</v>
      </c>
      <c r="AV201">
        <v>0</v>
      </c>
      <c r="AW201">
        <v>2</v>
      </c>
      <c r="AX201">
        <v>45038590</v>
      </c>
      <c r="AY201">
        <v>1</v>
      </c>
      <c r="AZ201">
        <v>0</v>
      </c>
      <c r="BA201">
        <v>201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CX201">
        <f>Y201*Source!I227</f>
        <v>4.8000000000000001E-4</v>
      </c>
      <c r="CY201">
        <f t="shared" si="6"/>
        <v>2472.13</v>
      </c>
      <c r="CZ201">
        <f t="shared" si="7"/>
        <v>2472.13</v>
      </c>
      <c r="DA201">
        <f t="shared" si="8"/>
        <v>1</v>
      </c>
      <c r="DB201">
        <v>0</v>
      </c>
    </row>
    <row r="202" spans="1:106" x14ac:dyDescent="0.2">
      <c r="A202">
        <f>ROW(Source!A227)</f>
        <v>227</v>
      </c>
      <c r="B202">
        <v>45037306</v>
      </c>
      <c r="C202">
        <v>45037873</v>
      </c>
      <c r="D202">
        <v>22719478</v>
      </c>
      <c r="E202">
        <v>1</v>
      </c>
      <c r="F202">
        <v>1</v>
      </c>
      <c r="G202">
        <v>22652947</v>
      </c>
      <c r="H202">
        <v>3</v>
      </c>
      <c r="I202" t="s">
        <v>214</v>
      </c>
      <c r="J202" t="s">
        <v>216</v>
      </c>
      <c r="K202" t="s">
        <v>215</v>
      </c>
      <c r="L202">
        <v>1339</v>
      </c>
      <c r="N202">
        <v>1007</v>
      </c>
      <c r="O202" t="s">
        <v>80</v>
      </c>
      <c r="P202" t="s">
        <v>80</v>
      </c>
      <c r="Q202">
        <v>1</v>
      </c>
      <c r="W202">
        <v>0</v>
      </c>
      <c r="X202">
        <v>-1161195218</v>
      </c>
      <c r="Y202">
        <v>0.01</v>
      </c>
      <c r="AA202">
        <v>478.96</v>
      </c>
      <c r="AB202">
        <v>0</v>
      </c>
      <c r="AC202">
        <v>0</v>
      </c>
      <c r="AD202">
        <v>0</v>
      </c>
      <c r="AE202">
        <v>478.96</v>
      </c>
      <c r="AF202">
        <v>0</v>
      </c>
      <c r="AG202">
        <v>0</v>
      </c>
      <c r="AH202">
        <v>0</v>
      </c>
      <c r="AI202">
        <v>1</v>
      </c>
      <c r="AJ202">
        <v>1</v>
      </c>
      <c r="AK202">
        <v>1</v>
      </c>
      <c r="AL202">
        <v>1</v>
      </c>
      <c r="AN202">
        <v>0</v>
      </c>
      <c r="AO202">
        <v>1</v>
      </c>
      <c r="AP202">
        <v>0</v>
      </c>
      <c r="AQ202">
        <v>0</v>
      </c>
      <c r="AR202">
        <v>0</v>
      </c>
      <c r="AS202" t="s">
        <v>3</v>
      </c>
      <c r="AT202">
        <v>0.01</v>
      </c>
      <c r="AU202" t="s">
        <v>3</v>
      </c>
      <c r="AV202">
        <v>0</v>
      </c>
      <c r="AW202">
        <v>2</v>
      </c>
      <c r="AX202">
        <v>45038591</v>
      </c>
      <c r="AY202">
        <v>1</v>
      </c>
      <c r="AZ202">
        <v>0</v>
      </c>
      <c r="BA202">
        <v>202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CX202">
        <f>Y202*Source!I227</f>
        <v>3.0000000000000001E-3</v>
      </c>
      <c r="CY202">
        <f t="shared" si="6"/>
        <v>478.96</v>
      </c>
      <c r="CZ202">
        <f t="shared" si="7"/>
        <v>478.96</v>
      </c>
      <c r="DA202">
        <f t="shared" si="8"/>
        <v>1</v>
      </c>
      <c r="DB202">
        <v>0</v>
      </c>
    </row>
    <row r="203" spans="1:106" x14ac:dyDescent="0.2">
      <c r="A203">
        <f>ROW(Source!A227)</f>
        <v>227</v>
      </c>
      <c r="B203">
        <v>45037306</v>
      </c>
      <c r="C203">
        <v>45037873</v>
      </c>
      <c r="D203">
        <v>22723121</v>
      </c>
      <c r="E203">
        <v>1</v>
      </c>
      <c r="F203">
        <v>1</v>
      </c>
      <c r="G203">
        <v>22652947</v>
      </c>
      <c r="H203">
        <v>3</v>
      </c>
      <c r="I203" t="s">
        <v>302</v>
      </c>
      <c r="J203" t="s">
        <v>305</v>
      </c>
      <c r="K203" t="s">
        <v>303</v>
      </c>
      <c r="L203">
        <v>1354</v>
      </c>
      <c r="N203">
        <v>1010</v>
      </c>
      <c r="O203" t="s">
        <v>304</v>
      </c>
      <c r="P203" t="s">
        <v>304</v>
      </c>
      <c r="Q203">
        <v>1</v>
      </c>
      <c r="W203">
        <v>0</v>
      </c>
      <c r="X203">
        <v>1452044937</v>
      </c>
      <c r="Y203">
        <v>10</v>
      </c>
      <c r="AA203">
        <v>7495.77</v>
      </c>
      <c r="AB203">
        <v>0</v>
      </c>
      <c r="AC203">
        <v>0</v>
      </c>
      <c r="AD203">
        <v>0</v>
      </c>
      <c r="AE203">
        <v>7495.77</v>
      </c>
      <c r="AF203">
        <v>0</v>
      </c>
      <c r="AG203">
        <v>0</v>
      </c>
      <c r="AH203">
        <v>0</v>
      </c>
      <c r="AI203">
        <v>1</v>
      </c>
      <c r="AJ203">
        <v>1</v>
      </c>
      <c r="AK203">
        <v>1</v>
      </c>
      <c r="AL203">
        <v>1</v>
      </c>
      <c r="AN203">
        <v>0</v>
      </c>
      <c r="AO203">
        <v>0</v>
      </c>
      <c r="AP203">
        <v>0</v>
      </c>
      <c r="AQ203">
        <v>0</v>
      </c>
      <c r="AR203">
        <v>0</v>
      </c>
      <c r="AS203" t="s">
        <v>3</v>
      </c>
      <c r="AT203">
        <v>10</v>
      </c>
      <c r="AU203" t="s">
        <v>3</v>
      </c>
      <c r="AV203">
        <v>0</v>
      </c>
      <c r="AW203">
        <v>1</v>
      </c>
      <c r="AX203">
        <v>-1</v>
      </c>
      <c r="AY203">
        <v>0</v>
      </c>
      <c r="AZ203">
        <v>0</v>
      </c>
      <c r="BA203" t="s">
        <v>3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CX203">
        <f>Y203*Source!I227</f>
        <v>3</v>
      </c>
      <c r="CY203">
        <f t="shared" si="6"/>
        <v>7495.77</v>
      </c>
      <c r="CZ203">
        <f t="shared" si="7"/>
        <v>7495.77</v>
      </c>
      <c r="DA203">
        <f t="shared" si="8"/>
        <v>1</v>
      </c>
      <c r="DB203">
        <v>0</v>
      </c>
    </row>
    <row r="204" spans="1:106" x14ac:dyDescent="0.2">
      <c r="A204">
        <f>ROW(Source!A227)</f>
        <v>227</v>
      </c>
      <c r="B204">
        <v>45037306</v>
      </c>
      <c r="C204">
        <v>45037873</v>
      </c>
      <c r="D204">
        <v>22723124</v>
      </c>
      <c r="E204">
        <v>1</v>
      </c>
      <c r="F204">
        <v>1</v>
      </c>
      <c r="G204">
        <v>22652947</v>
      </c>
      <c r="H204">
        <v>3</v>
      </c>
      <c r="I204" t="s">
        <v>307</v>
      </c>
      <c r="J204" t="s">
        <v>309</v>
      </c>
      <c r="K204" t="s">
        <v>308</v>
      </c>
      <c r="L204">
        <v>1354</v>
      </c>
      <c r="N204">
        <v>1010</v>
      </c>
      <c r="O204" t="s">
        <v>304</v>
      </c>
      <c r="P204" t="s">
        <v>304</v>
      </c>
      <c r="Q204">
        <v>1</v>
      </c>
      <c r="W204">
        <v>0</v>
      </c>
      <c r="X204">
        <v>-105742610</v>
      </c>
      <c r="Y204">
        <v>20</v>
      </c>
      <c r="AA204">
        <v>739.17</v>
      </c>
      <c r="AB204">
        <v>0</v>
      </c>
      <c r="AC204">
        <v>0</v>
      </c>
      <c r="AD204">
        <v>0</v>
      </c>
      <c r="AE204">
        <v>739.17</v>
      </c>
      <c r="AF204">
        <v>0</v>
      </c>
      <c r="AG204">
        <v>0</v>
      </c>
      <c r="AH204">
        <v>0</v>
      </c>
      <c r="AI204">
        <v>1</v>
      </c>
      <c r="AJ204">
        <v>1</v>
      </c>
      <c r="AK204">
        <v>1</v>
      </c>
      <c r="AL204">
        <v>1</v>
      </c>
      <c r="AN204">
        <v>0</v>
      </c>
      <c r="AO204">
        <v>0</v>
      </c>
      <c r="AP204">
        <v>0</v>
      </c>
      <c r="AQ204">
        <v>0</v>
      </c>
      <c r="AR204">
        <v>0</v>
      </c>
      <c r="AS204" t="s">
        <v>3</v>
      </c>
      <c r="AT204">
        <v>20</v>
      </c>
      <c r="AU204" t="s">
        <v>3</v>
      </c>
      <c r="AV204">
        <v>0</v>
      </c>
      <c r="AW204">
        <v>1</v>
      </c>
      <c r="AX204">
        <v>-1</v>
      </c>
      <c r="AY204">
        <v>0</v>
      </c>
      <c r="AZ204">
        <v>0</v>
      </c>
      <c r="BA204" t="s">
        <v>3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0</v>
      </c>
      <c r="BW204">
        <v>0</v>
      </c>
      <c r="CX204">
        <f>Y204*Source!I227</f>
        <v>6</v>
      </c>
      <c r="CY204">
        <f t="shared" si="6"/>
        <v>739.17</v>
      </c>
      <c r="CZ204">
        <f t="shared" si="7"/>
        <v>739.17</v>
      </c>
      <c r="DA204">
        <f t="shared" si="8"/>
        <v>1</v>
      </c>
      <c r="DB204">
        <v>0</v>
      </c>
    </row>
    <row r="205" spans="1:106" x14ac:dyDescent="0.2">
      <c r="A205">
        <f>ROW(Source!A227)</f>
        <v>227</v>
      </c>
      <c r="B205">
        <v>45037306</v>
      </c>
      <c r="C205">
        <v>45037873</v>
      </c>
      <c r="D205">
        <v>37096324</v>
      </c>
      <c r="E205">
        <v>1</v>
      </c>
      <c r="F205">
        <v>1</v>
      </c>
      <c r="G205">
        <v>22652947</v>
      </c>
      <c r="H205">
        <v>3</v>
      </c>
      <c r="I205" t="s">
        <v>711</v>
      </c>
      <c r="J205" t="s">
        <v>712</v>
      </c>
      <c r="K205" t="s">
        <v>713</v>
      </c>
      <c r="L205">
        <v>1354</v>
      </c>
      <c r="N205">
        <v>1010</v>
      </c>
      <c r="O205" t="s">
        <v>304</v>
      </c>
      <c r="P205" t="s">
        <v>304</v>
      </c>
      <c r="Q205">
        <v>1</v>
      </c>
      <c r="W205">
        <v>0</v>
      </c>
      <c r="X205">
        <v>1529606530</v>
      </c>
      <c r="Y205">
        <v>0.6</v>
      </c>
      <c r="AA205">
        <v>14.23</v>
      </c>
      <c r="AB205">
        <v>0</v>
      </c>
      <c r="AC205">
        <v>0</v>
      </c>
      <c r="AD205">
        <v>0</v>
      </c>
      <c r="AE205">
        <v>14.23</v>
      </c>
      <c r="AF205">
        <v>0</v>
      </c>
      <c r="AG205">
        <v>0</v>
      </c>
      <c r="AH205">
        <v>0</v>
      </c>
      <c r="AI205">
        <v>1</v>
      </c>
      <c r="AJ205">
        <v>1</v>
      </c>
      <c r="AK205">
        <v>1</v>
      </c>
      <c r="AL205">
        <v>1</v>
      </c>
      <c r="AN205">
        <v>0</v>
      </c>
      <c r="AO205">
        <v>1</v>
      </c>
      <c r="AP205">
        <v>0</v>
      </c>
      <c r="AQ205">
        <v>0</v>
      </c>
      <c r="AR205">
        <v>0</v>
      </c>
      <c r="AS205" t="s">
        <v>3</v>
      </c>
      <c r="AT205">
        <v>0.6</v>
      </c>
      <c r="AU205" t="s">
        <v>3</v>
      </c>
      <c r="AV205">
        <v>0</v>
      </c>
      <c r="AW205">
        <v>2</v>
      </c>
      <c r="AX205">
        <v>45038592</v>
      </c>
      <c r="AY205">
        <v>1</v>
      </c>
      <c r="AZ205">
        <v>0</v>
      </c>
      <c r="BA205">
        <v>203</v>
      </c>
      <c r="BB205">
        <v>0</v>
      </c>
      <c r="BC205">
        <v>0</v>
      </c>
      <c r="BD205">
        <v>0</v>
      </c>
      <c r="BE205">
        <v>0</v>
      </c>
      <c r="BF205">
        <v>0</v>
      </c>
      <c r="BG205">
        <v>0</v>
      </c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0</v>
      </c>
      <c r="BQ205">
        <v>0</v>
      </c>
      <c r="BR205">
        <v>0</v>
      </c>
      <c r="BS205">
        <v>0</v>
      </c>
      <c r="BT205">
        <v>0</v>
      </c>
      <c r="BU205">
        <v>0</v>
      </c>
      <c r="BV205">
        <v>0</v>
      </c>
      <c r="BW205">
        <v>0</v>
      </c>
      <c r="CX205">
        <f>Y205*Source!I227</f>
        <v>0.18</v>
      </c>
      <c r="CY205">
        <f t="shared" si="6"/>
        <v>14.23</v>
      </c>
      <c r="CZ205">
        <f t="shared" si="7"/>
        <v>14.23</v>
      </c>
      <c r="DA205">
        <f t="shared" si="8"/>
        <v>1</v>
      </c>
      <c r="DB205">
        <v>0</v>
      </c>
    </row>
    <row r="206" spans="1:106" x14ac:dyDescent="0.2">
      <c r="A206">
        <f>ROW(Source!A227)</f>
        <v>227</v>
      </c>
      <c r="B206">
        <v>45037306</v>
      </c>
      <c r="C206">
        <v>45037873</v>
      </c>
      <c r="D206">
        <v>22723325</v>
      </c>
      <c r="E206">
        <v>1</v>
      </c>
      <c r="F206">
        <v>1</v>
      </c>
      <c r="G206">
        <v>22652947</v>
      </c>
      <c r="H206">
        <v>3</v>
      </c>
      <c r="I206" t="s">
        <v>714</v>
      </c>
      <c r="J206" t="s">
        <v>715</v>
      </c>
      <c r="K206" t="s">
        <v>716</v>
      </c>
      <c r="L206">
        <v>1354</v>
      </c>
      <c r="N206">
        <v>1010</v>
      </c>
      <c r="O206" t="s">
        <v>304</v>
      </c>
      <c r="P206" t="s">
        <v>304</v>
      </c>
      <c r="Q206">
        <v>1</v>
      </c>
      <c r="W206">
        <v>0</v>
      </c>
      <c r="X206">
        <v>-326044472</v>
      </c>
      <c r="Y206">
        <v>60</v>
      </c>
      <c r="AA206">
        <v>25.33</v>
      </c>
      <c r="AB206">
        <v>0</v>
      </c>
      <c r="AC206">
        <v>0</v>
      </c>
      <c r="AD206">
        <v>0</v>
      </c>
      <c r="AE206">
        <v>25.33</v>
      </c>
      <c r="AF206">
        <v>0</v>
      </c>
      <c r="AG206">
        <v>0</v>
      </c>
      <c r="AH206">
        <v>0</v>
      </c>
      <c r="AI206">
        <v>1</v>
      </c>
      <c r="AJ206">
        <v>1</v>
      </c>
      <c r="AK206">
        <v>1</v>
      </c>
      <c r="AL206">
        <v>1</v>
      </c>
      <c r="AN206">
        <v>0</v>
      </c>
      <c r="AO206">
        <v>1</v>
      </c>
      <c r="AP206">
        <v>0</v>
      </c>
      <c r="AQ206">
        <v>0</v>
      </c>
      <c r="AR206">
        <v>0</v>
      </c>
      <c r="AS206" t="s">
        <v>3</v>
      </c>
      <c r="AT206">
        <v>60</v>
      </c>
      <c r="AU206" t="s">
        <v>3</v>
      </c>
      <c r="AV206">
        <v>0</v>
      </c>
      <c r="AW206">
        <v>2</v>
      </c>
      <c r="AX206">
        <v>45038593</v>
      </c>
      <c r="AY206">
        <v>1</v>
      </c>
      <c r="AZ206">
        <v>0</v>
      </c>
      <c r="BA206">
        <v>204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CX206">
        <f>Y206*Source!I227</f>
        <v>18</v>
      </c>
      <c r="CY206">
        <f t="shared" si="6"/>
        <v>25.33</v>
      </c>
      <c r="CZ206">
        <f t="shared" si="7"/>
        <v>25.33</v>
      </c>
      <c r="DA206">
        <f t="shared" si="8"/>
        <v>1</v>
      </c>
      <c r="DB206">
        <v>0</v>
      </c>
    </row>
    <row r="207" spans="1:106" x14ac:dyDescent="0.2">
      <c r="A207">
        <f>ROW(Source!A228)</f>
        <v>228</v>
      </c>
      <c r="B207">
        <v>45037307</v>
      </c>
      <c r="C207">
        <v>45037873</v>
      </c>
      <c r="D207">
        <v>22652952</v>
      </c>
      <c r="E207">
        <v>22652947</v>
      </c>
      <c r="F207">
        <v>1</v>
      </c>
      <c r="G207">
        <v>22652947</v>
      </c>
      <c r="H207">
        <v>1</v>
      </c>
      <c r="I207" t="s">
        <v>617</v>
      </c>
      <c r="J207" t="s">
        <v>3</v>
      </c>
      <c r="K207" t="s">
        <v>618</v>
      </c>
      <c r="L207">
        <v>1191</v>
      </c>
      <c r="N207">
        <v>1013</v>
      </c>
      <c r="O207" t="s">
        <v>619</v>
      </c>
      <c r="P207" t="s">
        <v>619</v>
      </c>
      <c r="Q207">
        <v>1</v>
      </c>
      <c r="W207">
        <v>0</v>
      </c>
      <c r="X207">
        <v>476480486</v>
      </c>
      <c r="Y207">
        <v>64.606999999999999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1</v>
      </c>
      <c r="AJ207">
        <v>1</v>
      </c>
      <c r="AK207">
        <v>1</v>
      </c>
      <c r="AL207">
        <v>1</v>
      </c>
      <c r="AN207">
        <v>0</v>
      </c>
      <c r="AO207">
        <v>1</v>
      </c>
      <c r="AP207">
        <v>1</v>
      </c>
      <c r="AQ207">
        <v>0</v>
      </c>
      <c r="AR207">
        <v>0</v>
      </c>
      <c r="AS207" t="s">
        <v>3</v>
      </c>
      <c r="AT207">
        <v>56.18</v>
      </c>
      <c r="AU207" t="s">
        <v>37</v>
      </c>
      <c r="AV207">
        <v>1</v>
      </c>
      <c r="AW207">
        <v>2</v>
      </c>
      <c r="AX207">
        <v>45038584</v>
      </c>
      <c r="AY207">
        <v>1</v>
      </c>
      <c r="AZ207">
        <v>0</v>
      </c>
      <c r="BA207">
        <v>206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CX207">
        <f>Y207*Source!I228</f>
        <v>19.382099999999998</v>
      </c>
      <c r="CY207">
        <f>AD207</f>
        <v>0</v>
      </c>
      <c r="CZ207">
        <f>AH207</f>
        <v>0</v>
      </c>
      <c r="DA207">
        <f>AL207</f>
        <v>1</v>
      </c>
      <c r="DB207">
        <v>0</v>
      </c>
    </row>
    <row r="208" spans="1:106" x14ac:dyDescent="0.2">
      <c r="A208">
        <f>ROW(Source!A228)</f>
        <v>228</v>
      </c>
      <c r="B208">
        <v>45037307</v>
      </c>
      <c r="C208">
        <v>45037873</v>
      </c>
      <c r="D208">
        <v>22725860</v>
      </c>
      <c r="E208">
        <v>1</v>
      </c>
      <c r="F208">
        <v>1</v>
      </c>
      <c r="G208">
        <v>22652947</v>
      </c>
      <c r="H208">
        <v>2</v>
      </c>
      <c r="I208" t="s">
        <v>660</v>
      </c>
      <c r="J208" t="s">
        <v>661</v>
      </c>
      <c r="K208" t="s">
        <v>662</v>
      </c>
      <c r="L208">
        <v>1367</v>
      </c>
      <c r="N208">
        <v>1011</v>
      </c>
      <c r="O208" t="s">
        <v>623</v>
      </c>
      <c r="P208" t="s">
        <v>623</v>
      </c>
      <c r="Q208">
        <v>1</v>
      </c>
      <c r="W208">
        <v>0</v>
      </c>
      <c r="X208">
        <v>-628430174</v>
      </c>
      <c r="Y208">
        <v>0.23749999999999999</v>
      </c>
      <c r="AA208">
        <v>0</v>
      </c>
      <c r="AB208">
        <v>606.79999999999995</v>
      </c>
      <c r="AC208">
        <v>292.94</v>
      </c>
      <c r="AD208">
        <v>0</v>
      </c>
      <c r="AE208">
        <v>0</v>
      </c>
      <c r="AF208">
        <v>76.81</v>
      </c>
      <c r="AG208">
        <v>14.36</v>
      </c>
      <c r="AH208">
        <v>0</v>
      </c>
      <c r="AI208">
        <v>1</v>
      </c>
      <c r="AJ208">
        <v>7.9</v>
      </c>
      <c r="AK208">
        <v>20.399999999999999</v>
      </c>
      <c r="AL208">
        <v>1</v>
      </c>
      <c r="AN208">
        <v>0</v>
      </c>
      <c r="AO208">
        <v>1</v>
      </c>
      <c r="AP208">
        <v>1</v>
      </c>
      <c r="AQ208">
        <v>0</v>
      </c>
      <c r="AR208">
        <v>0</v>
      </c>
      <c r="AS208" t="s">
        <v>3</v>
      </c>
      <c r="AT208">
        <v>0.19</v>
      </c>
      <c r="AU208" t="s">
        <v>36</v>
      </c>
      <c r="AV208">
        <v>0</v>
      </c>
      <c r="AW208">
        <v>2</v>
      </c>
      <c r="AX208">
        <v>45038585</v>
      </c>
      <c r="AY208">
        <v>1</v>
      </c>
      <c r="AZ208">
        <v>0</v>
      </c>
      <c r="BA208">
        <v>207</v>
      </c>
      <c r="BB208">
        <v>0</v>
      </c>
      <c r="BC208">
        <v>0</v>
      </c>
      <c r="BD208">
        <v>0</v>
      </c>
      <c r="BE208">
        <v>0</v>
      </c>
      <c r="BF208">
        <v>0</v>
      </c>
      <c r="BG208">
        <v>0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0</v>
      </c>
      <c r="BW208">
        <v>0</v>
      </c>
      <c r="CX208">
        <f>Y208*Source!I228</f>
        <v>7.1249999999999994E-2</v>
      </c>
      <c r="CY208">
        <f>AB208</f>
        <v>606.79999999999995</v>
      </c>
      <c r="CZ208">
        <f>AF208</f>
        <v>76.81</v>
      </c>
      <c r="DA208">
        <f>AJ208</f>
        <v>7.9</v>
      </c>
      <c r="DB208">
        <v>0</v>
      </c>
    </row>
    <row r="209" spans="1:106" x14ac:dyDescent="0.2">
      <c r="A209">
        <f>ROW(Source!A228)</f>
        <v>228</v>
      </c>
      <c r="B209">
        <v>45037307</v>
      </c>
      <c r="C209">
        <v>45037873</v>
      </c>
      <c r="D209">
        <v>22725983</v>
      </c>
      <c r="E209">
        <v>1</v>
      </c>
      <c r="F209">
        <v>1</v>
      </c>
      <c r="G209">
        <v>22652947</v>
      </c>
      <c r="H209">
        <v>2</v>
      </c>
      <c r="I209" t="s">
        <v>695</v>
      </c>
      <c r="J209" t="s">
        <v>696</v>
      </c>
      <c r="K209" t="s">
        <v>697</v>
      </c>
      <c r="L209">
        <v>1367</v>
      </c>
      <c r="N209">
        <v>1011</v>
      </c>
      <c r="O209" t="s">
        <v>623</v>
      </c>
      <c r="P209" t="s">
        <v>623</v>
      </c>
      <c r="Q209">
        <v>1</v>
      </c>
      <c r="W209">
        <v>0</v>
      </c>
      <c r="X209">
        <v>593980231</v>
      </c>
      <c r="Y209">
        <v>4.5</v>
      </c>
      <c r="AA209">
        <v>0</v>
      </c>
      <c r="AB209">
        <v>7.46</v>
      </c>
      <c r="AC209">
        <v>0.82</v>
      </c>
      <c r="AD209">
        <v>0</v>
      </c>
      <c r="AE209">
        <v>0</v>
      </c>
      <c r="AF209">
        <v>2.36</v>
      </c>
      <c r="AG209">
        <v>0.04</v>
      </c>
      <c r="AH209">
        <v>0</v>
      </c>
      <c r="AI209">
        <v>1</v>
      </c>
      <c r="AJ209">
        <v>3.16</v>
      </c>
      <c r="AK209">
        <v>20.399999999999999</v>
      </c>
      <c r="AL209">
        <v>1</v>
      </c>
      <c r="AN209">
        <v>0</v>
      </c>
      <c r="AO209">
        <v>1</v>
      </c>
      <c r="AP209">
        <v>1</v>
      </c>
      <c r="AQ209">
        <v>0</v>
      </c>
      <c r="AR209">
        <v>0</v>
      </c>
      <c r="AS209" t="s">
        <v>3</v>
      </c>
      <c r="AT209">
        <v>3.6</v>
      </c>
      <c r="AU209" t="s">
        <v>36</v>
      </c>
      <c r="AV209">
        <v>0</v>
      </c>
      <c r="AW209">
        <v>2</v>
      </c>
      <c r="AX209">
        <v>45038586</v>
      </c>
      <c r="AY209">
        <v>1</v>
      </c>
      <c r="AZ209">
        <v>0</v>
      </c>
      <c r="BA209">
        <v>208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CX209">
        <f>Y209*Source!I228</f>
        <v>1.3499999999999999</v>
      </c>
      <c r="CY209">
        <f>AB209</f>
        <v>7.46</v>
      </c>
      <c r="CZ209">
        <f>AF209</f>
        <v>2.36</v>
      </c>
      <c r="DA209">
        <f>AJ209</f>
        <v>3.16</v>
      </c>
      <c r="DB209">
        <v>0</v>
      </c>
    </row>
    <row r="210" spans="1:106" x14ac:dyDescent="0.2">
      <c r="A210">
        <f>ROW(Source!A228)</f>
        <v>228</v>
      </c>
      <c r="B210">
        <v>45037307</v>
      </c>
      <c r="C210">
        <v>45037873</v>
      </c>
      <c r="D210">
        <v>22725914</v>
      </c>
      <c r="E210">
        <v>1</v>
      </c>
      <c r="F210">
        <v>1</v>
      </c>
      <c r="G210">
        <v>22652947</v>
      </c>
      <c r="H210">
        <v>2</v>
      </c>
      <c r="I210" t="s">
        <v>698</v>
      </c>
      <c r="J210" t="s">
        <v>699</v>
      </c>
      <c r="K210" t="s">
        <v>700</v>
      </c>
      <c r="L210">
        <v>1367</v>
      </c>
      <c r="N210">
        <v>1011</v>
      </c>
      <c r="O210" t="s">
        <v>623</v>
      </c>
      <c r="P210" t="s">
        <v>623</v>
      </c>
      <c r="Q210">
        <v>1</v>
      </c>
      <c r="W210">
        <v>0</v>
      </c>
      <c r="X210">
        <v>2073069139</v>
      </c>
      <c r="Y210">
        <v>0.375</v>
      </c>
      <c r="AA210">
        <v>0</v>
      </c>
      <c r="AB210">
        <v>3.84</v>
      </c>
      <c r="AC210">
        <v>0.61</v>
      </c>
      <c r="AD210">
        <v>0</v>
      </c>
      <c r="AE210">
        <v>0</v>
      </c>
      <c r="AF210">
        <v>0.81</v>
      </c>
      <c r="AG210">
        <v>0.03</v>
      </c>
      <c r="AH210">
        <v>0</v>
      </c>
      <c r="AI210">
        <v>1</v>
      </c>
      <c r="AJ210">
        <v>4.74</v>
      </c>
      <c r="AK210">
        <v>20.399999999999999</v>
      </c>
      <c r="AL210">
        <v>1</v>
      </c>
      <c r="AN210">
        <v>0</v>
      </c>
      <c r="AO210">
        <v>1</v>
      </c>
      <c r="AP210">
        <v>1</v>
      </c>
      <c r="AQ210">
        <v>0</v>
      </c>
      <c r="AR210">
        <v>0</v>
      </c>
      <c r="AS210" t="s">
        <v>3</v>
      </c>
      <c r="AT210">
        <v>0.3</v>
      </c>
      <c r="AU210" t="s">
        <v>36</v>
      </c>
      <c r="AV210">
        <v>0</v>
      </c>
      <c r="AW210">
        <v>2</v>
      </c>
      <c r="AX210">
        <v>45038587</v>
      </c>
      <c r="AY210">
        <v>1</v>
      </c>
      <c r="AZ210">
        <v>0</v>
      </c>
      <c r="BA210">
        <v>209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CX210">
        <f>Y210*Source!I228</f>
        <v>0.11249999999999999</v>
      </c>
      <c r="CY210">
        <f>AB210</f>
        <v>3.84</v>
      </c>
      <c r="CZ210">
        <f>AF210</f>
        <v>0.81</v>
      </c>
      <c r="DA210">
        <f>AJ210</f>
        <v>4.74</v>
      </c>
      <c r="DB210">
        <v>0</v>
      </c>
    </row>
    <row r="211" spans="1:106" x14ac:dyDescent="0.2">
      <c r="A211">
        <f>ROW(Source!A228)</f>
        <v>228</v>
      </c>
      <c r="B211">
        <v>45037307</v>
      </c>
      <c r="C211">
        <v>45037873</v>
      </c>
      <c r="D211">
        <v>22703071</v>
      </c>
      <c r="E211">
        <v>1</v>
      </c>
      <c r="F211">
        <v>1</v>
      </c>
      <c r="G211">
        <v>22652947</v>
      </c>
      <c r="H211">
        <v>3</v>
      </c>
      <c r="I211" t="s">
        <v>701</v>
      </c>
      <c r="J211" t="s">
        <v>702</v>
      </c>
      <c r="K211" t="s">
        <v>703</v>
      </c>
      <c r="L211">
        <v>1296</v>
      </c>
      <c r="N211">
        <v>1002</v>
      </c>
      <c r="O211" t="s">
        <v>704</v>
      </c>
      <c r="P211" t="s">
        <v>704</v>
      </c>
      <c r="Q211">
        <v>1</v>
      </c>
      <c r="W211">
        <v>0</v>
      </c>
      <c r="X211">
        <v>1960333545</v>
      </c>
      <c r="Y211">
        <v>2.6</v>
      </c>
      <c r="AA211">
        <v>195.58</v>
      </c>
      <c r="AB211">
        <v>0</v>
      </c>
      <c r="AC211">
        <v>0</v>
      </c>
      <c r="AD211">
        <v>0</v>
      </c>
      <c r="AE211">
        <v>177.8</v>
      </c>
      <c r="AF211">
        <v>0</v>
      </c>
      <c r="AG211">
        <v>0</v>
      </c>
      <c r="AH211">
        <v>0</v>
      </c>
      <c r="AI211">
        <v>1.1000000000000001</v>
      </c>
      <c r="AJ211">
        <v>1</v>
      </c>
      <c r="AK211">
        <v>1</v>
      </c>
      <c r="AL211">
        <v>1</v>
      </c>
      <c r="AN211">
        <v>0</v>
      </c>
      <c r="AO211">
        <v>1</v>
      </c>
      <c r="AP211">
        <v>0</v>
      </c>
      <c r="AQ211">
        <v>0</v>
      </c>
      <c r="AR211">
        <v>0</v>
      </c>
      <c r="AS211" t="s">
        <v>3</v>
      </c>
      <c r="AT211">
        <v>2.6</v>
      </c>
      <c r="AU211" t="s">
        <v>3</v>
      </c>
      <c r="AV211">
        <v>0</v>
      </c>
      <c r="AW211">
        <v>2</v>
      </c>
      <c r="AX211">
        <v>45038588</v>
      </c>
      <c r="AY211">
        <v>1</v>
      </c>
      <c r="AZ211">
        <v>0</v>
      </c>
      <c r="BA211">
        <v>210</v>
      </c>
      <c r="BB211">
        <v>0</v>
      </c>
      <c r="BC211">
        <v>0</v>
      </c>
      <c r="BD211">
        <v>0</v>
      </c>
      <c r="BE211">
        <v>0</v>
      </c>
      <c r="BF211">
        <v>0</v>
      </c>
      <c r="BG211">
        <v>0</v>
      </c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BP211">
        <v>0</v>
      </c>
      <c r="BQ211">
        <v>0</v>
      </c>
      <c r="BR211">
        <v>0</v>
      </c>
      <c r="BS211">
        <v>0</v>
      </c>
      <c r="BT211">
        <v>0</v>
      </c>
      <c r="BU211">
        <v>0</v>
      </c>
      <c r="BV211">
        <v>0</v>
      </c>
      <c r="BW211">
        <v>0</v>
      </c>
      <c r="CX211">
        <f>Y211*Source!I228</f>
        <v>0.78</v>
      </c>
      <c r="CY211">
        <f t="shared" ref="CY211:CY218" si="9">AA211</f>
        <v>195.58</v>
      </c>
      <c r="CZ211">
        <f t="shared" ref="CZ211:CZ218" si="10">AE211</f>
        <v>177.8</v>
      </c>
      <c r="DA211">
        <f t="shared" ref="DA211:DA218" si="11">AI211</f>
        <v>1.1000000000000001</v>
      </c>
      <c r="DB211">
        <v>0</v>
      </c>
    </row>
    <row r="212" spans="1:106" x14ac:dyDescent="0.2">
      <c r="A212">
        <f>ROW(Source!A228)</f>
        <v>228</v>
      </c>
      <c r="B212">
        <v>45037307</v>
      </c>
      <c r="C212">
        <v>45037873</v>
      </c>
      <c r="D212">
        <v>22704015</v>
      </c>
      <c r="E212">
        <v>1</v>
      </c>
      <c r="F212">
        <v>1</v>
      </c>
      <c r="G212">
        <v>22652947</v>
      </c>
      <c r="H212">
        <v>3</v>
      </c>
      <c r="I212" t="s">
        <v>705</v>
      </c>
      <c r="J212" t="s">
        <v>706</v>
      </c>
      <c r="K212" t="s">
        <v>707</v>
      </c>
      <c r="L212">
        <v>1296</v>
      </c>
      <c r="N212">
        <v>1002</v>
      </c>
      <c r="O212" t="s">
        <v>704</v>
      </c>
      <c r="P212" t="s">
        <v>704</v>
      </c>
      <c r="Q212">
        <v>1</v>
      </c>
      <c r="W212">
        <v>0</v>
      </c>
      <c r="X212">
        <v>2079983373</v>
      </c>
      <c r="Y212">
        <v>6.1</v>
      </c>
      <c r="AA212">
        <v>462.69</v>
      </c>
      <c r="AB212">
        <v>0</v>
      </c>
      <c r="AC212">
        <v>0</v>
      </c>
      <c r="AD212">
        <v>0</v>
      </c>
      <c r="AE212">
        <v>125.73</v>
      </c>
      <c r="AF212">
        <v>0</v>
      </c>
      <c r="AG212">
        <v>0</v>
      </c>
      <c r="AH212">
        <v>0</v>
      </c>
      <c r="AI212">
        <v>3.68</v>
      </c>
      <c r="AJ212">
        <v>1</v>
      </c>
      <c r="AK212">
        <v>1</v>
      </c>
      <c r="AL212">
        <v>1</v>
      </c>
      <c r="AN212">
        <v>0</v>
      </c>
      <c r="AO212">
        <v>1</v>
      </c>
      <c r="AP212">
        <v>0</v>
      </c>
      <c r="AQ212">
        <v>0</v>
      </c>
      <c r="AR212">
        <v>0</v>
      </c>
      <c r="AS212" t="s">
        <v>3</v>
      </c>
      <c r="AT212">
        <v>6.1</v>
      </c>
      <c r="AU212" t="s">
        <v>3</v>
      </c>
      <c r="AV212">
        <v>0</v>
      </c>
      <c r="AW212">
        <v>2</v>
      </c>
      <c r="AX212">
        <v>45038589</v>
      </c>
      <c r="AY212">
        <v>1</v>
      </c>
      <c r="AZ212">
        <v>0</v>
      </c>
      <c r="BA212">
        <v>211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CX212">
        <f>Y212*Source!I228</f>
        <v>1.8299999999999998</v>
      </c>
      <c r="CY212">
        <f t="shared" si="9"/>
        <v>462.69</v>
      </c>
      <c r="CZ212">
        <f t="shared" si="10"/>
        <v>125.73</v>
      </c>
      <c r="DA212">
        <f t="shared" si="11"/>
        <v>3.68</v>
      </c>
      <c r="DB212">
        <v>0</v>
      </c>
    </row>
    <row r="213" spans="1:106" x14ac:dyDescent="0.2">
      <c r="A213">
        <f>ROW(Source!A228)</f>
        <v>228</v>
      </c>
      <c r="B213">
        <v>45037307</v>
      </c>
      <c r="C213">
        <v>45037873</v>
      </c>
      <c r="D213">
        <v>22700935</v>
      </c>
      <c r="E213">
        <v>1</v>
      </c>
      <c r="F213">
        <v>1</v>
      </c>
      <c r="G213">
        <v>22652947</v>
      </c>
      <c r="H213">
        <v>3</v>
      </c>
      <c r="I213" t="s">
        <v>708</v>
      </c>
      <c r="J213" t="s">
        <v>709</v>
      </c>
      <c r="K213" t="s">
        <v>710</v>
      </c>
      <c r="L213">
        <v>1339</v>
      </c>
      <c r="N213">
        <v>1007</v>
      </c>
      <c r="O213" t="s">
        <v>80</v>
      </c>
      <c r="P213" t="s">
        <v>80</v>
      </c>
      <c r="Q213">
        <v>1</v>
      </c>
      <c r="W213">
        <v>0</v>
      </c>
      <c r="X213">
        <v>1611452634</v>
      </c>
      <c r="Y213">
        <v>1.6000000000000001E-3</v>
      </c>
      <c r="AA213">
        <v>6279.21</v>
      </c>
      <c r="AB213">
        <v>0</v>
      </c>
      <c r="AC213">
        <v>0</v>
      </c>
      <c r="AD213">
        <v>0</v>
      </c>
      <c r="AE213">
        <v>2472.13</v>
      </c>
      <c r="AF213">
        <v>0</v>
      </c>
      <c r="AG213">
        <v>0</v>
      </c>
      <c r="AH213">
        <v>0</v>
      </c>
      <c r="AI213">
        <v>2.54</v>
      </c>
      <c r="AJ213">
        <v>1</v>
      </c>
      <c r="AK213">
        <v>1</v>
      </c>
      <c r="AL213">
        <v>1</v>
      </c>
      <c r="AN213">
        <v>0</v>
      </c>
      <c r="AO213">
        <v>1</v>
      </c>
      <c r="AP213">
        <v>0</v>
      </c>
      <c r="AQ213">
        <v>0</v>
      </c>
      <c r="AR213">
        <v>0</v>
      </c>
      <c r="AS213" t="s">
        <v>3</v>
      </c>
      <c r="AT213">
        <v>1.6000000000000001E-3</v>
      </c>
      <c r="AU213" t="s">
        <v>3</v>
      </c>
      <c r="AV213">
        <v>0</v>
      </c>
      <c r="AW213">
        <v>2</v>
      </c>
      <c r="AX213">
        <v>45038590</v>
      </c>
      <c r="AY213">
        <v>1</v>
      </c>
      <c r="AZ213">
        <v>0</v>
      </c>
      <c r="BA213">
        <v>212</v>
      </c>
      <c r="BB213">
        <v>0</v>
      </c>
      <c r="BC213">
        <v>0</v>
      </c>
      <c r="BD213">
        <v>0</v>
      </c>
      <c r="BE213">
        <v>0</v>
      </c>
      <c r="BF213">
        <v>0</v>
      </c>
      <c r="BG213">
        <v>0</v>
      </c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0</v>
      </c>
      <c r="BQ213">
        <v>0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CX213">
        <f>Y213*Source!I228</f>
        <v>4.8000000000000001E-4</v>
      </c>
      <c r="CY213">
        <f t="shared" si="9"/>
        <v>6279.21</v>
      </c>
      <c r="CZ213">
        <f t="shared" si="10"/>
        <v>2472.13</v>
      </c>
      <c r="DA213">
        <f t="shared" si="11"/>
        <v>2.54</v>
      </c>
      <c r="DB213">
        <v>0</v>
      </c>
    </row>
    <row r="214" spans="1:106" x14ac:dyDescent="0.2">
      <c r="A214">
        <f>ROW(Source!A228)</f>
        <v>228</v>
      </c>
      <c r="B214">
        <v>45037307</v>
      </c>
      <c r="C214">
        <v>45037873</v>
      </c>
      <c r="D214">
        <v>22719478</v>
      </c>
      <c r="E214">
        <v>1</v>
      </c>
      <c r="F214">
        <v>1</v>
      </c>
      <c r="G214">
        <v>22652947</v>
      </c>
      <c r="H214">
        <v>3</v>
      </c>
      <c r="I214" t="s">
        <v>214</v>
      </c>
      <c r="J214" t="s">
        <v>216</v>
      </c>
      <c r="K214" t="s">
        <v>215</v>
      </c>
      <c r="L214">
        <v>1339</v>
      </c>
      <c r="N214">
        <v>1007</v>
      </c>
      <c r="O214" t="s">
        <v>80</v>
      </c>
      <c r="P214" t="s">
        <v>80</v>
      </c>
      <c r="Q214">
        <v>1</v>
      </c>
      <c r="W214">
        <v>0</v>
      </c>
      <c r="X214">
        <v>-1161195218</v>
      </c>
      <c r="Y214">
        <v>0.01</v>
      </c>
      <c r="AA214">
        <v>2912.08</v>
      </c>
      <c r="AB214">
        <v>0</v>
      </c>
      <c r="AC214">
        <v>0</v>
      </c>
      <c r="AD214">
        <v>0</v>
      </c>
      <c r="AE214">
        <v>478.96</v>
      </c>
      <c r="AF214">
        <v>0</v>
      </c>
      <c r="AG214">
        <v>0</v>
      </c>
      <c r="AH214">
        <v>0</v>
      </c>
      <c r="AI214">
        <v>6.08</v>
      </c>
      <c r="AJ214">
        <v>1</v>
      </c>
      <c r="AK214">
        <v>1</v>
      </c>
      <c r="AL214">
        <v>1</v>
      </c>
      <c r="AN214">
        <v>0</v>
      </c>
      <c r="AO214">
        <v>1</v>
      </c>
      <c r="AP214">
        <v>0</v>
      </c>
      <c r="AQ214">
        <v>0</v>
      </c>
      <c r="AR214">
        <v>0</v>
      </c>
      <c r="AS214" t="s">
        <v>3</v>
      </c>
      <c r="AT214">
        <v>0.01</v>
      </c>
      <c r="AU214" t="s">
        <v>3</v>
      </c>
      <c r="AV214">
        <v>0</v>
      </c>
      <c r="AW214">
        <v>2</v>
      </c>
      <c r="AX214">
        <v>45038591</v>
      </c>
      <c r="AY214">
        <v>1</v>
      </c>
      <c r="AZ214">
        <v>0</v>
      </c>
      <c r="BA214">
        <v>213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CX214">
        <f>Y214*Source!I228</f>
        <v>3.0000000000000001E-3</v>
      </c>
      <c r="CY214">
        <f t="shared" si="9"/>
        <v>2912.08</v>
      </c>
      <c r="CZ214">
        <f t="shared" si="10"/>
        <v>478.96</v>
      </c>
      <c r="DA214">
        <f t="shared" si="11"/>
        <v>6.08</v>
      </c>
      <c r="DB214">
        <v>0</v>
      </c>
    </row>
    <row r="215" spans="1:106" x14ac:dyDescent="0.2">
      <c r="A215">
        <f>ROW(Source!A228)</f>
        <v>228</v>
      </c>
      <c r="B215">
        <v>45037307</v>
      </c>
      <c r="C215">
        <v>45037873</v>
      </c>
      <c r="D215">
        <v>22723121</v>
      </c>
      <c r="E215">
        <v>1</v>
      </c>
      <c r="F215">
        <v>1</v>
      </c>
      <c r="G215">
        <v>22652947</v>
      </c>
      <c r="H215">
        <v>3</v>
      </c>
      <c r="I215" t="s">
        <v>302</v>
      </c>
      <c r="J215" t="s">
        <v>305</v>
      </c>
      <c r="K215" t="s">
        <v>303</v>
      </c>
      <c r="L215">
        <v>1354</v>
      </c>
      <c r="N215">
        <v>1010</v>
      </c>
      <c r="O215" t="s">
        <v>304</v>
      </c>
      <c r="P215" t="s">
        <v>304</v>
      </c>
      <c r="Q215">
        <v>1</v>
      </c>
      <c r="W215">
        <v>0</v>
      </c>
      <c r="X215">
        <v>1452044937</v>
      </c>
      <c r="Y215">
        <v>10</v>
      </c>
      <c r="AA215">
        <v>14316.92</v>
      </c>
      <c r="AB215">
        <v>0</v>
      </c>
      <c r="AC215">
        <v>0</v>
      </c>
      <c r="AD215">
        <v>0</v>
      </c>
      <c r="AE215">
        <v>7495.77</v>
      </c>
      <c r="AF215">
        <v>0</v>
      </c>
      <c r="AG215">
        <v>0</v>
      </c>
      <c r="AH215">
        <v>0</v>
      </c>
      <c r="AI215">
        <v>1.91</v>
      </c>
      <c r="AJ215">
        <v>1</v>
      </c>
      <c r="AK215">
        <v>1</v>
      </c>
      <c r="AL215">
        <v>1</v>
      </c>
      <c r="AN215">
        <v>0</v>
      </c>
      <c r="AO215">
        <v>0</v>
      </c>
      <c r="AP215">
        <v>0</v>
      </c>
      <c r="AQ215">
        <v>0</v>
      </c>
      <c r="AR215">
        <v>0</v>
      </c>
      <c r="AS215" t="s">
        <v>3</v>
      </c>
      <c r="AT215">
        <v>10</v>
      </c>
      <c r="AU215" t="s">
        <v>3</v>
      </c>
      <c r="AV215">
        <v>0</v>
      </c>
      <c r="AW215">
        <v>1</v>
      </c>
      <c r="AX215">
        <v>-1</v>
      </c>
      <c r="AY215">
        <v>0</v>
      </c>
      <c r="AZ215">
        <v>0</v>
      </c>
      <c r="BA215" t="s">
        <v>3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CX215">
        <f>Y215*Source!I228</f>
        <v>3</v>
      </c>
      <c r="CY215">
        <f t="shared" si="9"/>
        <v>14316.92</v>
      </c>
      <c r="CZ215">
        <f t="shared" si="10"/>
        <v>7495.77</v>
      </c>
      <c r="DA215">
        <f t="shared" si="11"/>
        <v>1.91</v>
      </c>
      <c r="DB215">
        <v>0</v>
      </c>
    </row>
    <row r="216" spans="1:106" x14ac:dyDescent="0.2">
      <c r="A216">
        <f>ROW(Source!A228)</f>
        <v>228</v>
      </c>
      <c r="B216">
        <v>45037307</v>
      </c>
      <c r="C216">
        <v>45037873</v>
      </c>
      <c r="D216">
        <v>22723124</v>
      </c>
      <c r="E216">
        <v>1</v>
      </c>
      <c r="F216">
        <v>1</v>
      </c>
      <c r="G216">
        <v>22652947</v>
      </c>
      <c r="H216">
        <v>3</v>
      </c>
      <c r="I216" t="s">
        <v>307</v>
      </c>
      <c r="J216" t="s">
        <v>309</v>
      </c>
      <c r="K216" t="s">
        <v>308</v>
      </c>
      <c r="L216">
        <v>1354</v>
      </c>
      <c r="N216">
        <v>1010</v>
      </c>
      <c r="O216" t="s">
        <v>304</v>
      </c>
      <c r="P216" t="s">
        <v>304</v>
      </c>
      <c r="Q216">
        <v>1</v>
      </c>
      <c r="W216">
        <v>0</v>
      </c>
      <c r="X216">
        <v>-105742610</v>
      </c>
      <c r="Y216">
        <v>20</v>
      </c>
      <c r="AA216">
        <v>2136.1999999999998</v>
      </c>
      <c r="AB216">
        <v>0</v>
      </c>
      <c r="AC216">
        <v>0</v>
      </c>
      <c r="AD216">
        <v>0</v>
      </c>
      <c r="AE216">
        <v>739.17</v>
      </c>
      <c r="AF216">
        <v>0</v>
      </c>
      <c r="AG216">
        <v>0</v>
      </c>
      <c r="AH216">
        <v>0</v>
      </c>
      <c r="AI216">
        <v>2.89</v>
      </c>
      <c r="AJ216">
        <v>1</v>
      </c>
      <c r="AK216">
        <v>1</v>
      </c>
      <c r="AL216">
        <v>1</v>
      </c>
      <c r="AN216">
        <v>0</v>
      </c>
      <c r="AO216">
        <v>0</v>
      </c>
      <c r="AP216">
        <v>0</v>
      </c>
      <c r="AQ216">
        <v>0</v>
      </c>
      <c r="AR216">
        <v>0</v>
      </c>
      <c r="AS216" t="s">
        <v>3</v>
      </c>
      <c r="AT216">
        <v>20</v>
      </c>
      <c r="AU216" t="s">
        <v>3</v>
      </c>
      <c r="AV216">
        <v>0</v>
      </c>
      <c r="AW216">
        <v>1</v>
      </c>
      <c r="AX216">
        <v>-1</v>
      </c>
      <c r="AY216">
        <v>0</v>
      </c>
      <c r="AZ216">
        <v>0</v>
      </c>
      <c r="BA216" t="s">
        <v>3</v>
      </c>
      <c r="BB216">
        <v>0</v>
      </c>
      <c r="BC216">
        <v>0</v>
      </c>
      <c r="BD216">
        <v>0</v>
      </c>
      <c r="BE216">
        <v>0</v>
      </c>
      <c r="BF216">
        <v>0</v>
      </c>
      <c r="BG216">
        <v>0</v>
      </c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0</v>
      </c>
      <c r="BQ216">
        <v>0</v>
      </c>
      <c r="BR216">
        <v>0</v>
      </c>
      <c r="BS216">
        <v>0</v>
      </c>
      <c r="BT216">
        <v>0</v>
      </c>
      <c r="BU216">
        <v>0</v>
      </c>
      <c r="BV216">
        <v>0</v>
      </c>
      <c r="BW216">
        <v>0</v>
      </c>
      <c r="CX216">
        <f>Y216*Source!I228</f>
        <v>6</v>
      </c>
      <c r="CY216">
        <f t="shared" si="9"/>
        <v>2136.1999999999998</v>
      </c>
      <c r="CZ216">
        <f t="shared" si="10"/>
        <v>739.17</v>
      </c>
      <c r="DA216">
        <f t="shared" si="11"/>
        <v>2.89</v>
      </c>
      <c r="DB216">
        <v>0</v>
      </c>
    </row>
    <row r="217" spans="1:106" x14ac:dyDescent="0.2">
      <c r="A217">
        <f>ROW(Source!A228)</f>
        <v>228</v>
      </c>
      <c r="B217">
        <v>45037307</v>
      </c>
      <c r="C217">
        <v>45037873</v>
      </c>
      <c r="D217">
        <v>37096324</v>
      </c>
      <c r="E217">
        <v>1</v>
      </c>
      <c r="F217">
        <v>1</v>
      </c>
      <c r="G217">
        <v>22652947</v>
      </c>
      <c r="H217">
        <v>3</v>
      </c>
      <c r="I217" t="s">
        <v>711</v>
      </c>
      <c r="J217" t="s">
        <v>712</v>
      </c>
      <c r="K217" t="s">
        <v>713</v>
      </c>
      <c r="L217">
        <v>1354</v>
      </c>
      <c r="N217">
        <v>1010</v>
      </c>
      <c r="O217" t="s">
        <v>304</v>
      </c>
      <c r="P217" t="s">
        <v>304</v>
      </c>
      <c r="Q217">
        <v>1</v>
      </c>
      <c r="W217">
        <v>0</v>
      </c>
      <c r="X217">
        <v>1529606530</v>
      </c>
      <c r="Y217">
        <v>0.6</v>
      </c>
      <c r="AA217">
        <v>86.52</v>
      </c>
      <c r="AB217">
        <v>0</v>
      </c>
      <c r="AC217">
        <v>0</v>
      </c>
      <c r="AD217">
        <v>0</v>
      </c>
      <c r="AE217">
        <v>14.23</v>
      </c>
      <c r="AF217">
        <v>0</v>
      </c>
      <c r="AG217">
        <v>0</v>
      </c>
      <c r="AH217">
        <v>0</v>
      </c>
      <c r="AI217">
        <v>6.08</v>
      </c>
      <c r="AJ217">
        <v>1</v>
      </c>
      <c r="AK217">
        <v>1</v>
      </c>
      <c r="AL217">
        <v>1</v>
      </c>
      <c r="AN217">
        <v>0</v>
      </c>
      <c r="AO217">
        <v>1</v>
      </c>
      <c r="AP217">
        <v>0</v>
      </c>
      <c r="AQ217">
        <v>0</v>
      </c>
      <c r="AR217">
        <v>0</v>
      </c>
      <c r="AS217" t="s">
        <v>3</v>
      </c>
      <c r="AT217">
        <v>0.6</v>
      </c>
      <c r="AU217" t="s">
        <v>3</v>
      </c>
      <c r="AV217">
        <v>0</v>
      </c>
      <c r="AW217">
        <v>2</v>
      </c>
      <c r="AX217">
        <v>45038592</v>
      </c>
      <c r="AY217">
        <v>1</v>
      </c>
      <c r="AZ217">
        <v>0</v>
      </c>
      <c r="BA217">
        <v>214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CX217">
        <f>Y217*Source!I228</f>
        <v>0.18</v>
      </c>
      <c r="CY217">
        <f t="shared" si="9"/>
        <v>86.52</v>
      </c>
      <c r="CZ217">
        <f t="shared" si="10"/>
        <v>14.23</v>
      </c>
      <c r="DA217">
        <f t="shared" si="11"/>
        <v>6.08</v>
      </c>
      <c r="DB217">
        <v>0</v>
      </c>
    </row>
    <row r="218" spans="1:106" x14ac:dyDescent="0.2">
      <c r="A218">
        <f>ROW(Source!A228)</f>
        <v>228</v>
      </c>
      <c r="B218">
        <v>45037307</v>
      </c>
      <c r="C218">
        <v>45037873</v>
      </c>
      <c r="D218">
        <v>22723325</v>
      </c>
      <c r="E218">
        <v>1</v>
      </c>
      <c r="F218">
        <v>1</v>
      </c>
      <c r="G218">
        <v>22652947</v>
      </c>
      <c r="H218">
        <v>3</v>
      </c>
      <c r="I218" t="s">
        <v>714</v>
      </c>
      <c r="J218" t="s">
        <v>715</v>
      </c>
      <c r="K218" t="s">
        <v>716</v>
      </c>
      <c r="L218">
        <v>1354</v>
      </c>
      <c r="N218">
        <v>1010</v>
      </c>
      <c r="O218" t="s">
        <v>304</v>
      </c>
      <c r="P218" t="s">
        <v>304</v>
      </c>
      <c r="Q218">
        <v>1</v>
      </c>
      <c r="W218">
        <v>0</v>
      </c>
      <c r="X218">
        <v>-326044472</v>
      </c>
      <c r="Y218">
        <v>60</v>
      </c>
      <c r="AA218">
        <v>135.77000000000001</v>
      </c>
      <c r="AB218">
        <v>0</v>
      </c>
      <c r="AC218">
        <v>0</v>
      </c>
      <c r="AD218">
        <v>0</v>
      </c>
      <c r="AE218">
        <v>25.33</v>
      </c>
      <c r="AF218">
        <v>0</v>
      </c>
      <c r="AG218">
        <v>0</v>
      </c>
      <c r="AH218">
        <v>0</v>
      </c>
      <c r="AI218">
        <v>5.36</v>
      </c>
      <c r="AJ218">
        <v>1</v>
      </c>
      <c r="AK218">
        <v>1</v>
      </c>
      <c r="AL218">
        <v>1</v>
      </c>
      <c r="AN218">
        <v>0</v>
      </c>
      <c r="AO218">
        <v>1</v>
      </c>
      <c r="AP218">
        <v>0</v>
      </c>
      <c r="AQ218">
        <v>0</v>
      </c>
      <c r="AR218">
        <v>0</v>
      </c>
      <c r="AS218" t="s">
        <v>3</v>
      </c>
      <c r="AT218">
        <v>60</v>
      </c>
      <c r="AU218" t="s">
        <v>3</v>
      </c>
      <c r="AV218">
        <v>0</v>
      </c>
      <c r="AW218">
        <v>2</v>
      </c>
      <c r="AX218">
        <v>45038593</v>
      </c>
      <c r="AY218">
        <v>1</v>
      </c>
      <c r="AZ218">
        <v>0</v>
      </c>
      <c r="BA218">
        <v>215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CX218">
        <f>Y218*Source!I228</f>
        <v>18</v>
      </c>
      <c r="CY218">
        <f t="shared" si="9"/>
        <v>135.77000000000001</v>
      </c>
      <c r="CZ218">
        <f t="shared" si="10"/>
        <v>25.33</v>
      </c>
      <c r="DA218">
        <f t="shared" si="11"/>
        <v>5.36</v>
      </c>
      <c r="DB218">
        <v>0</v>
      </c>
    </row>
    <row r="219" spans="1:106" x14ac:dyDescent="0.2">
      <c r="A219">
        <f>ROW(Source!A233)</f>
        <v>233</v>
      </c>
      <c r="B219">
        <v>45037306</v>
      </c>
      <c r="C219">
        <v>45037899</v>
      </c>
      <c r="D219">
        <v>22652952</v>
      </c>
      <c r="E219">
        <v>22652947</v>
      </c>
      <c r="F219">
        <v>1</v>
      </c>
      <c r="G219">
        <v>22652947</v>
      </c>
      <c r="H219">
        <v>1</v>
      </c>
      <c r="I219" t="s">
        <v>617</v>
      </c>
      <c r="J219" t="s">
        <v>3</v>
      </c>
      <c r="K219" t="s">
        <v>618</v>
      </c>
      <c r="L219">
        <v>1191</v>
      </c>
      <c r="N219">
        <v>1013</v>
      </c>
      <c r="O219" t="s">
        <v>619</v>
      </c>
      <c r="P219" t="s">
        <v>619</v>
      </c>
      <c r="Q219">
        <v>1</v>
      </c>
      <c r="W219">
        <v>0</v>
      </c>
      <c r="X219">
        <v>476480486</v>
      </c>
      <c r="Y219">
        <v>1.2765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1</v>
      </c>
      <c r="AJ219">
        <v>1</v>
      </c>
      <c r="AK219">
        <v>1</v>
      </c>
      <c r="AL219">
        <v>1</v>
      </c>
      <c r="AN219">
        <v>0</v>
      </c>
      <c r="AO219">
        <v>1</v>
      </c>
      <c r="AP219">
        <v>1</v>
      </c>
      <c r="AQ219">
        <v>0</v>
      </c>
      <c r="AR219">
        <v>0</v>
      </c>
      <c r="AS219" t="s">
        <v>3</v>
      </c>
      <c r="AT219">
        <v>1.1100000000000001</v>
      </c>
      <c r="AU219" t="s">
        <v>325</v>
      </c>
      <c r="AV219">
        <v>1</v>
      </c>
      <c r="AW219">
        <v>2</v>
      </c>
      <c r="AX219">
        <v>45038595</v>
      </c>
      <c r="AY219">
        <v>1</v>
      </c>
      <c r="AZ219">
        <v>0</v>
      </c>
      <c r="BA219">
        <v>217</v>
      </c>
      <c r="BB219">
        <v>0</v>
      </c>
      <c r="BC219">
        <v>0</v>
      </c>
      <c r="BD219">
        <v>0</v>
      </c>
      <c r="BE219">
        <v>0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CX219">
        <f>Y219*Source!I233</f>
        <v>3.8294999999999999</v>
      </c>
      <c r="CY219">
        <f>AD219</f>
        <v>0</v>
      </c>
      <c r="CZ219">
        <f>AH219</f>
        <v>0</v>
      </c>
      <c r="DA219">
        <f>AL219</f>
        <v>1</v>
      </c>
      <c r="DB219">
        <v>0</v>
      </c>
    </row>
    <row r="220" spans="1:106" x14ac:dyDescent="0.2">
      <c r="A220">
        <f>ROW(Source!A233)</f>
        <v>233</v>
      </c>
      <c r="B220">
        <v>45037306</v>
      </c>
      <c r="C220">
        <v>45037899</v>
      </c>
      <c r="D220">
        <v>22725577</v>
      </c>
      <c r="E220">
        <v>1</v>
      </c>
      <c r="F220">
        <v>1</v>
      </c>
      <c r="G220">
        <v>22652947</v>
      </c>
      <c r="H220">
        <v>2</v>
      </c>
      <c r="I220" t="s">
        <v>717</v>
      </c>
      <c r="J220" t="s">
        <v>718</v>
      </c>
      <c r="K220" t="s">
        <v>719</v>
      </c>
      <c r="L220">
        <v>1367</v>
      </c>
      <c r="N220">
        <v>1011</v>
      </c>
      <c r="O220" t="s">
        <v>623</v>
      </c>
      <c r="P220" t="s">
        <v>623</v>
      </c>
      <c r="Q220">
        <v>1</v>
      </c>
      <c r="W220">
        <v>0</v>
      </c>
      <c r="X220">
        <v>-243982840</v>
      </c>
      <c r="Y220">
        <v>0.32500000000000001</v>
      </c>
      <c r="AA220">
        <v>0</v>
      </c>
      <c r="AB220">
        <v>6.22</v>
      </c>
      <c r="AC220">
        <v>0.28999999999999998</v>
      </c>
      <c r="AD220">
        <v>0</v>
      </c>
      <c r="AE220">
        <v>0</v>
      </c>
      <c r="AF220">
        <v>6.22</v>
      </c>
      <c r="AG220">
        <v>0.28999999999999998</v>
      </c>
      <c r="AH220">
        <v>0</v>
      </c>
      <c r="AI220">
        <v>1</v>
      </c>
      <c r="AJ220">
        <v>1</v>
      </c>
      <c r="AK220">
        <v>1</v>
      </c>
      <c r="AL220">
        <v>1</v>
      </c>
      <c r="AN220">
        <v>0</v>
      </c>
      <c r="AO220">
        <v>1</v>
      </c>
      <c r="AP220">
        <v>1</v>
      </c>
      <c r="AQ220">
        <v>0</v>
      </c>
      <c r="AR220">
        <v>0</v>
      </c>
      <c r="AS220" t="s">
        <v>3</v>
      </c>
      <c r="AT220">
        <v>0.26</v>
      </c>
      <c r="AU220" t="s">
        <v>324</v>
      </c>
      <c r="AV220">
        <v>0</v>
      </c>
      <c r="AW220">
        <v>2</v>
      </c>
      <c r="AX220">
        <v>45038596</v>
      </c>
      <c r="AY220">
        <v>1</v>
      </c>
      <c r="AZ220">
        <v>0</v>
      </c>
      <c r="BA220">
        <v>218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0</v>
      </c>
      <c r="BW220">
        <v>0</v>
      </c>
      <c r="CX220">
        <f>Y220*Source!I233</f>
        <v>0.97500000000000009</v>
      </c>
      <c r="CY220">
        <f>AB220</f>
        <v>6.22</v>
      </c>
      <c r="CZ220">
        <f>AF220</f>
        <v>6.22</v>
      </c>
      <c r="DA220">
        <f>AJ220</f>
        <v>1</v>
      </c>
      <c r="DB220">
        <v>0</v>
      </c>
    </row>
    <row r="221" spans="1:106" x14ac:dyDescent="0.2">
      <c r="A221">
        <f>ROW(Source!A233)</f>
        <v>233</v>
      </c>
      <c r="B221">
        <v>45037306</v>
      </c>
      <c r="C221">
        <v>45037899</v>
      </c>
      <c r="D221">
        <v>22725906</v>
      </c>
      <c r="E221">
        <v>1</v>
      </c>
      <c r="F221">
        <v>1</v>
      </c>
      <c r="G221">
        <v>22652947</v>
      </c>
      <c r="H221">
        <v>2</v>
      </c>
      <c r="I221" t="s">
        <v>663</v>
      </c>
      <c r="J221" t="s">
        <v>664</v>
      </c>
      <c r="K221" t="s">
        <v>665</v>
      </c>
      <c r="L221">
        <v>1367</v>
      </c>
      <c r="N221">
        <v>1011</v>
      </c>
      <c r="O221" t="s">
        <v>623</v>
      </c>
      <c r="P221" t="s">
        <v>623</v>
      </c>
      <c r="Q221">
        <v>1</v>
      </c>
      <c r="W221">
        <v>0</v>
      </c>
      <c r="X221">
        <v>-875577540</v>
      </c>
      <c r="Y221">
        <v>2.5000000000000001E-2</v>
      </c>
      <c r="AA221">
        <v>0</v>
      </c>
      <c r="AB221">
        <v>0.68</v>
      </c>
      <c r="AC221">
        <v>0.04</v>
      </c>
      <c r="AD221">
        <v>0</v>
      </c>
      <c r="AE221">
        <v>0</v>
      </c>
      <c r="AF221">
        <v>0.68</v>
      </c>
      <c r="AG221">
        <v>0.04</v>
      </c>
      <c r="AH221">
        <v>0</v>
      </c>
      <c r="AI221">
        <v>1</v>
      </c>
      <c r="AJ221">
        <v>1</v>
      </c>
      <c r="AK221">
        <v>1</v>
      </c>
      <c r="AL221">
        <v>1</v>
      </c>
      <c r="AN221">
        <v>0</v>
      </c>
      <c r="AO221">
        <v>1</v>
      </c>
      <c r="AP221">
        <v>1</v>
      </c>
      <c r="AQ221">
        <v>0</v>
      </c>
      <c r="AR221">
        <v>0</v>
      </c>
      <c r="AS221" t="s">
        <v>3</v>
      </c>
      <c r="AT221">
        <v>0.02</v>
      </c>
      <c r="AU221" t="s">
        <v>324</v>
      </c>
      <c r="AV221">
        <v>0</v>
      </c>
      <c r="AW221">
        <v>2</v>
      </c>
      <c r="AX221">
        <v>45038597</v>
      </c>
      <c r="AY221">
        <v>1</v>
      </c>
      <c r="AZ221">
        <v>0</v>
      </c>
      <c r="BA221">
        <v>219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CX221">
        <f>Y221*Source!I233</f>
        <v>7.5000000000000011E-2</v>
      </c>
      <c r="CY221">
        <f>AB221</f>
        <v>0.68</v>
      </c>
      <c r="CZ221">
        <f>AF221</f>
        <v>0.68</v>
      </c>
      <c r="DA221">
        <f>AJ221</f>
        <v>1</v>
      </c>
      <c r="DB221">
        <v>0</v>
      </c>
    </row>
    <row r="222" spans="1:106" x14ac:dyDescent="0.2">
      <c r="A222">
        <f>ROW(Source!A233)</f>
        <v>233</v>
      </c>
      <c r="B222">
        <v>45037306</v>
      </c>
      <c r="C222">
        <v>45037899</v>
      </c>
      <c r="D222">
        <v>22725940</v>
      </c>
      <c r="E222">
        <v>1</v>
      </c>
      <c r="F222">
        <v>1</v>
      </c>
      <c r="G222">
        <v>22652947</v>
      </c>
      <c r="H222">
        <v>2</v>
      </c>
      <c r="I222" t="s">
        <v>720</v>
      </c>
      <c r="J222" t="s">
        <v>721</v>
      </c>
      <c r="K222" t="s">
        <v>722</v>
      </c>
      <c r="L222">
        <v>1367</v>
      </c>
      <c r="N222">
        <v>1011</v>
      </c>
      <c r="O222" t="s">
        <v>623</v>
      </c>
      <c r="P222" t="s">
        <v>623</v>
      </c>
      <c r="Q222">
        <v>1</v>
      </c>
      <c r="W222">
        <v>0</v>
      </c>
      <c r="X222">
        <v>926785503</v>
      </c>
      <c r="Y222">
        <v>0.1875</v>
      </c>
      <c r="AA222">
        <v>0</v>
      </c>
      <c r="AB222">
        <v>0.64</v>
      </c>
      <c r="AC222">
        <v>0.04</v>
      </c>
      <c r="AD222">
        <v>0</v>
      </c>
      <c r="AE222">
        <v>0</v>
      </c>
      <c r="AF222">
        <v>0.64</v>
      </c>
      <c r="AG222">
        <v>0.04</v>
      </c>
      <c r="AH222">
        <v>0</v>
      </c>
      <c r="AI222">
        <v>1</v>
      </c>
      <c r="AJ222">
        <v>1</v>
      </c>
      <c r="AK222">
        <v>1</v>
      </c>
      <c r="AL222">
        <v>1</v>
      </c>
      <c r="AN222">
        <v>0</v>
      </c>
      <c r="AO222">
        <v>1</v>
      </c>
      <c r="AP222">
        <v>1</v>
      </c>
      <c r="AQ222">
        <v>0</v>
      </c>
      <c r="AR222">
        <v>0</v>
      </c>
      <c r="AS222" t="s">
        <v>3</v>
      </c>
      <c r="AT222">
        <v>0.15</v>
      </c>
      <c r="AU222" t="s">
        <v>324</v>
      </c>
      <c r="AV222">
        <v>0</v>
      </c>
      <c r="AW222">
        <v>2</v>
      </c>
      <c r="AX222">
        <v>45038598</v>
      </c>
      <c r="AY222">
        <v>1</v>
      </c>
      <c r="AZ222">
        <v>0</v>
      </c>
      <c r="BA222">
        <v>220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CX222">
        <f>Y222*Source!I233</f>
        <v>0.5625</v>
      </c>
      <c r="CY222">
        <f>AB222</f>
        <v>0.64</v>
      </c>
      <c r="CZ222">
        <f>AF222</f>
        <v>0.64</v>
      </c>
      <c r="DA222">
        <f>AJ222</f>
        <v>1</v>
      </c>
      <c r="DB222">
        <v>0</v>
      </c>
    </row>
    <row r="223" spans="1:106" x14ac:dyDescent="0.2">
      <c r="A223">
        <f>ROW(Source!A233)</f>
        <v>233</v>
      </c>
      <c r="B223">
        <v>45037306</v>
      </c>
      <c r="C223">
        <v>45037899</v>
      </c>
      <c r="D223">
        <v>22725894</v>
      </c>
      <c r="E223">
        <v>1</v>
      </c>
      <c r="F223">
        <v>1</v>
      </c>
      <c r="G223">
        <v>22652947</v>
      </c>
      <c r="H223">
        <v>2</v>
      </c>
      <c r="I223" t="s">
        <v>686</v>
      </c>
      <c r="J223" t="s">
        <v>687</v>
      </c>
      <c r="K223" t="s">
        <v>688</v>
      </c>
      <c r="L223">
        <v>1367</v>
      </c>
      <c r="N223">
        <v>1011</v>
      </c>
      <c r="O223" t="s">
        <v>623</v>
      </c>
      <c r="P223" t="s">
        <v>623</v>
      </c>
      <c r="Q223">
        <v>1</v>
      </c>
      <c r="W223">
        <v>0</v>
      </c>
      <c r="X223">
        <v>950854334</v>
      </c>
      <c r="Y223">
        <v>0.13750000000000001</v>
      </c>
      <c r="AA223">
        <v>0</v>
      </c>
      <c r="AB223">
        <v>2.36</v>
      </c>
      <c r="AC223">
        <v>0.1</v>
      </c>
      <c r="AD223">
        <v>0</v>
      </c>
      <c r="AE223">
        <v>0</v>
      </c>
      <c r="AF223">
        <v>2.36</v>
      </c>
      <c r="AG223">
        <v>0.1</v>
      </c>
      <c r="AH223">
        <v>0</v>
      </c>
      <c r="AI223">
        <v>1</v>
      </c>
      <c r="AJ223">
        <v>1</v>
      </c>
      <c r="AK223">
        <v>1</v>
      </c>
      <c r="AL223">
        <v>1</v>
      </c>
      <c r="AN223">
        <v>0</v>
      </c>
      <c r="AO223">
        <v>1</v>
      </c>
      <c r="AP223">
        <v>1</v>
      </c>
      <c r="AQ223">
        <v>0</v>
      </c>
      <c r="AR223">
        <v>0</v>
      </c>
      <c r="AS223" t="s">
        <v>3</v>
      </c>
      <c r="AT223">
        <v>0.11</v>
      </c>
      <c r="AU223" t="s">
        <v>324</v>
      </c>
      <c r="AV223">
        <v>0</v>
      </c>
      <c r="AW223">
        <v>2</v>
      </c>
      <c r="AX223">
        <v>45038599</v>
      </c>
      <c r="AY223">
        <v>1</v>
      </c>
      <c r="AZ223">
        <v>0</v>
      </c>
      <c r="BA223">
        <v>221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CX223">
        <f>Y223*Source!I233</f>
        <v>0.41250000000000003</v>
      </c>
      <c r="CY223">
        <f>AB223</f>
        <v>2.36</v>
      </c>
      <c r="CZ223">
        <f>AF223</f>
        <v>2.36</v>
      </c>
      <c r="DA223">
        <f>AJ223</f>
        <v>1</v>
      </c>
      <c r="DB223">
        <v>0</v>
      </c>
    </row>
    <row r="224" spans="1:106" x14ac:dyDescent="0.2">
      <c r="A224">
        <f>ROW(Source!A233)</f>
        <v>233</v>
      </c>
      <c r="B224">
        <v>45037306</v>
      </c>
      <c r="C224">
        <v>45037899</v>
      </c>
      <c r="D224">
        <v>22703215</v>
      </c>
      <c r="E224">
        <v>1</v>
      </c>
      <c r="F224">
        <v>1</v>
      </c>
      <c r="G224">
        <v>22652947</v>
      </c>
      <c r="H224">
        <v>3</v>
      </c>
      <c r="I224" t="s">
        <v>723</v>
      </c>
      <c r="J224" t="s">
        <v>724</v>
      </c>
      <c r="K224" t="s">
        <v>725</v>
      </c>
      <c r="L224">
        <v>1346</v>
      </c>
      <c r="N224">
        <v>1009</v>
      </c>
      <c r="O224" t="s">
        <v>89</v>
      </c>
      <c r="P224" t="s">
        <v>89</v>
      </c>
      <c r="Q224">
        <v>1</v>
      </c>
      <c r="W224">
        <v>0</v>
      </c>
      <c r="X224">
        <v>-1260154368</v>
      </c>
      <c r="Y224">
        <v>0.02</v>
      </c>
      <c r="AA224">
        <v>20.63</v>
      </c>
      <c r="AB224">
        <v>0</v>
      </c>
      <c r="AC224">
        <v>0</v>
      </c>
      <c r="AD224">
        <v>0</v>
      </c>
      <c r="AE224">
        <v>20.63</v>
      </c>
      <c r="AF224">
        <v>0</v>
      </c>
      <c r="AG224">
        <v>0</v>
      </c>
      <c r="AH224">
        <v>0</v>
      </c>
      <c r="AI224">
        <v>1</v>
      </c>
      <c r="AJ224">
        <v>1</v>
      </c>
      <c r="AK224">
        <v>1</v>
      </c>
      <c r="AL224">
        <v>1</v>
      </c>
      <c r="AN224">
        <v>0</v>
      </c>
      <c r="AO224">
        <v>1</v>
      </c>
      <c r="AP224">
        <v>0</v>
      </c>
      <c r="AQ224">
        <v>0</v>
      </c>
      <c r="AR224">
        <v>0</v>
      </c>
      <c r="AS224" t="s">
        <v>3</v>
      </c>
      <c r="AT224">
        <v>0.02</v>
      </c>
      <c r="AU224" t="s">
        <v>3</v>
      </c>
      <c r="AV224">
        <v>0</v>
      </c>
      <c r="AW224">
        <v>2</v>
      </c>
      <c r="AX224">
        <v>45038600</v>
      </c>
      <c r="AY224">
        <v>1</v>
      </c>
      <c r="AZ224">
        <v>0</v>
      </c>
      <c r="BA224">
        <v>222</v>
      </c>
      <c r="BB224">
        <v>0</v>
      </c>
      <c r="BC224">
        <v>0</v>
      </c>
      <c r="BD224">
        <v>0</v>
      </c>
      <c r="BE224">
        <v>0</v>
      </c>
      <c r="BF224">
        <v>0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0</v>
      </c>
      <c r="BQ224">
        <v>0</v>
      </c>
      <c r="BR224">
        <v>0</v>
      </c>
      <c r="BS224">
        <v>0</v>
      </c>
      <c r="BT224">
        <v>0</v>
      </c>
      <c r="BU224">
        <v>0</v>
      </c>
      <c r="BV224">
        <v>0</v>
      </c>
      <c r="BW224">
        <v>0</v>
      </c>
      <c r="CX224">
        <f>Y224*Source!I233</f>
        <v>0.06</v>
      </c>
      <c r="CY224">
        <f>AA224</f>
        <v>20.63</v>
      </c>
      <c r="CZ224">
        <f>AE224</f>
        <v>20.63</v>
      </c>
      <c r="DA224">
        <f>AI224</f>
        <v>1</v>
      </c>
      <c r="DB224">
        <v>0</v>
      </c>
    </row>
    <row r="225" spans="1:106" x14ac:dyDescent="0.2">
      <c r="A225">
        <f>ROW(Source!A233)</f>
        <v>233</v>
      </c>
      <c r="B225">
        <v>45037306</v>
      </c>
      <c r="C225">
        <v>45037899</v>
      </c>
      <c r="D225">
        <v>22724182</v>
      </c>
      <c r="E225">
        <v>1</v>
      </c>
      <c r="F225">
        <v>1</v>
      </c>
      <c r="G225">
        <v>22652947</v>
      </c>
      <c r="H225">
        <v>3</v>
      </c>
      <c r="I225" t="s">
        <v>329</v>
      </c>
      <c r="J225" t="s">
        <v>332</v>
      </c>
      <c r="K225" t="s">
        <v>330</v>
      </c>
      <c r="L225">
        <v>1391</v>
      </c>
      <c r="N225">
        <v>1013</v>
      </c>
      <c r="O225" t="s">
        <v>331</v>
      </c>
      <c r="P225" t="s">
        <v>331</v>
      </c>
      <c r="Q225">
        <v>1</v>
      </c>
      <c r="W225">
        <v>0</v>
      </c>
      <c r="X225">
        <v>568915023</v>
      </c>
      <c r="Y225">
        <v>1</v>
      </c>
      <c r="AA225">
        <v>1390.95</v>
      </c>
      <c r="AB225">
        <v>0</v>
      </c>
      <c r="AC225">
        <v>0</v>
      </c>
      <c r="AD225">
        <v>0</v>
      </c>
      <c r="AE225">
        <v>1390.95</v>
      </c>
      <c r="AF225">
        <v>0</v>
      </c>
      <c r="AG225">
        <v>0</v>
      </c>
      <c r="AH225">
        <v>0</v>
      </c>
      <c r="AI225">
        <v>1</v>
      </c>
      <c r="AJ225">
        <v>1</v>
      </c>
      <c r="AK225">
        <v>1</v>
      </c>
      <c r="AL225">
        <v>1</v>
      </c>
      <c r="AN225">
        <v>0</v>
      </c>
      <c r="AO225">
        <v>0</v>
      </c>
      <c r="AP225">
        <v>0</v>
      </c>
      <c r="AQ225">
        <v>0</v>
      </c>
      <c r="AR225">
        <v>0</v>
      </c>
      <c r="AS225" t="s">
        <v>3</v>
      </c>
      <c r="AT225">
        <v>1</v>
      </c>
      <c r="AU225" t="s">
        <v>3</v>
      </c>
      <c r="AV225">
        <v>0</v>
      </c>
      <c r="AW225">
        <v>1</v>
      </c>
      <c r="AX225">
        <v>-1</v>
      </c>
      <c r="AY225">
        <v>0</v>
      </c>
      <c r="AZ225">
        <v>0</v>
      </c>
      <c r="BA225" t="s">
        <v>3</v>
      </c>
      <c r="BB225">
        <v>0</v>
      </c>
      <c r="BC225">
        <v>0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CX225">
        <f>Y225*Source!I233</f>
        <v>3</v>
      </c>
      <c r="CY225">
        <f>AA225</f>
        <v>1390.95</v>
      </c>
      <c r="CZ225">
        <f>AE225</f>
        <v>1390.95</v>
      </c>
      <c r="DA225">
        <f>AI225</f>
        <v>1</v>
      </c>
      <c r="DB225">
        <v>0</v>
      </c>
    </row>
    <row r="226" spans="1:106" x14ac:dyDescent="0.2">
      <c r="A226">
        <f>ROW(Source!A234)</f>
        <v>234</v>
      </c>
      <c r="B226">
        <v>45037307</v>
      </c>
      <c r="C226">
        <v>45037899</v>
      </c>
      <c r="D226">
        <v>22652952</v>
      </c>
      <c r="E226">
        <v>22652947</v>
      </c>
      <c r="F226">
        <v>1</v>
      </c>
      <c r="G226">
        <v>22652947</v>
      </c>
      <c r="H226">
        <v>1</v>
      </c>
      <c r="I226" t="s">
        <v>617</v>
      </c>
      <c r="J226" t="s">
        <v>3</v>
      </c>
      <c r="K226" t="s">
        <v>618</v>
      </c>
      <c r="L226">
        <v>1191</v>
      </c>
      <c r="N226">
        <v>1013</v>
      </c>
      <c r="O226" t="s">
        <v>619</v>
      </c>
      <c r="P226" t="s">
        <v>619</v>
      </c>
      <c r="Q226">
        <v>1</v>
      </c>
      <c r="W226">
        <v>0</v>
      </c>
      <c r="X226">
        <v>476480486</v>
      </c>
      <c r="Y226">
        <v>1.2765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1</v>
      </c>
      <c r="AJ226">
        <v>1</v>
      </c>
      <c r="AK226">
        <v>1</v>
      </c>
      <c r="AL226">
        <v>1</v>
      </c>
      <c r="AN226">
        <v>0</v>
      </c>
      <c r="AO226">
        <v>1</v>
      </c>
      <c r="AP226">
        <v>1</v>
      </c>
      <c r="AQ226">
        <v>0</v>
      </c>
      <c r="AR226">
        <v>0</v>
      </c>
      <c r="AS226" t="s">
        <v>3</v>
      </c>
      <c r="AT226">
        <v>1.1100000000000001</v>
      </c>
      <c r="AU226" t="s">
        <v>325</v>
      </c>
      <c r="AV226">
        <v>1</v>
      </c>
      <c r="AW226">
        <v>2</v>
      </c>
      <c r="AX226">
        <v>45038595</v>
      </c>
      <c r="AY226">
        <v>1</v>
      </c>
      <c r="AZ226">
        <v>0</v>
      </c>
      <c r="BA226">
        <v>224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0</v>
      </c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0</v>
      </c>
      <c r="BW226">
        <v>0</v>
      </c>
      <c r="CX226">
        <f>Y226*Source!I234</f>
        <v>3.8294999999999999</v>
      </c>
      <c r="CY226">
        <f>AD226</f>
        <v>0</v>
      </c>
      <c r="CZ226">
        <f>AH226</f>
        <v>0</v>
      </c>
      <c r="DA226">
        <f>AL226</f>
        <v>1</v>
      </c>
      <c r="DB226">
        <v>0</v>
      </c>
    </row>
    <row r="227" spans="1:106" x14ac:dyDescent="0.2">
      <c r="A227">
        <f>ROW(Source!A234)</f>
        <v>234</v>
      </c>
      <c r="B227">
        <v>45037307</v>
      </c>
      <c r="C227">
        <v>45037899</v>
      </c>
      <c r="D227">
        <v>22725577</v>
      </c>
      <c r="E227">
        <v>1</v>
      </c>
      <c r="F227">
        <v>1</v>
      </c>
      <c r="G227">
        <v>22652947</v>
      </c>
      <c r="H227">
        <v>2</v>
      </c>
      <c r="I227" t="s">
        <v>717</v>
      </c>
      <c r="J227" t="s">
        <v>718</v>
      </c>
      <c r="K227" t="s">
        <v>719</v>
      </c>
      <c r="L227">
        <v>1367</v>
      </c>
      <c r="N227">
        <v>1011</v>
      </c>
      <c r="O227" t="s">
        <v>623</v>
      </c>
      <c r="P227" t="s">
        <v>623</v>
      </c>
      <c r="Q227">
        <v>1</v>
      </c>
      <c r="W227">
        <v>0</v>
      </c>
      <c r="X227">
        <v>-243982840</v>
      </c>
      <c r="Y227">
        <v>0.32500000000000001</v>
      </c>
      <c r="AA227">
        <v>0</v>
      </c>
      <c r="AB227">
        <v>35.21</v>
      </c>
      <c r="AC227">
        <v>5.92</v>
      </c>
      <c r="AD227">
        <v>0</v>
      </c>
      <c r="AE227">
        <v>0</v>
      </c>
      <c r="AF227">
        <v>6.22</v>
      </c>
      <c r="AG227">
        <v>0.28999999999999998</v>
      </c>
      <c r="AH227">
        <v>0</v>
      </c>
      <c r="AI227">
        <v>1</v>
      </c>
      <c r="AJ227">
        <v>5.66</v>
      </c>
      <c r="AK227">
        <v>20.399999999999999</v>
      </c>
      <c r="AL227">
        <v>1</v>
      </c>
      <c r="AN227">
        <v>0</v>
      </c>
      <c r="AO227">
        <v>1</v>
      </c>
      <c r="AP227">
        <v>1</v>
      </c>
      <c r="AQ227">
        <v>0</v>
      </c>
      <c r="AR227">
        <v>0</v>
      </c>
      <c r="AS227" t="s">
        <v>3</v>
      </c>
      <c r="AT227">
        <v>0.26</v>
      </c>
      <c r="AU227" t="s">
        <v>324</v>
      </c>
      <c r="AV227">
        <v>0</v>
      </c>
      <c r="AW227">
        <v>2</v>
      </c>
      <c r="AX227">
        <v>45038596</v>
      </c>
      <c r="AY227">
        <v>1</v>
      </c>
      <c r="AZ227">
        <v>0</v>
      </c>
      <c r="BA227">
        <v>225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CX227">
        <f>Y227*Source!I234</f>
        <v>0.97500000000000009</v>
      </c>
      <c r="CY227">
        <f>AB227</f>
        <v>35.21</v>
      </c>
      <c r="CZ227">
        <f>AF227</f>
        <v>6.22</v>
      </c>
      <c r="DA227">
        <f>AJ227</f>
        <v>5.66</v>
      </c>
      <c r="DB227">
        <v>0</v>
      </c>
    </row>
    <row r="228" spans="1:106" x14ac:dyDescent="0.2">
      <c r="A228">
        <f>ROW(Source!A234)</f>
        <v>234</v>
      </c>
      <c r="B228">
        <v>45037307</v>
      </c>
      <c r="C228">
        <v>45037899</v>
      </c>
      <c r="D228">
        <v>22725906</v>
      </c>
      <c r="E228">
        <v>1</v>
      </c>
      <c r="F228">
        <v>1</v>
      </c>
      <c r="G228">
        <v>22652947</v>
      </c>
      <c r="H228">
        <v>2</v>
      </c>
      <c r="I228" t="s">
        <v>663</v>
      </c>
      <c r="J228" t="s">
        <v>664</v>
      </c>
      <c r="K228" t="s">
        <v>665</v>
      </c>
      <c r="L228">
        <v>1367</v>
      </c>
      <c r="N228">
        <v>1011</v>
      </c>
      <c r="O228" t="s">
        <v>623</v>
      </c>
      <c r="P228" t="s">
        <v>623</v>
      </c>
      <c r="Q228">
        <v>1</v>
      </c>
      <c r="W228">
        <v>0</v>
      </c>
      <c r="X228">
        <v>-875577540</v>
      </c>
      <c r="Y228">
        <v>2.5000000000000001E-2</v>
      </c>
      <c r="AA228">
        <v>0</v>
      </c>
      <c r="AB228">
        <v>4.82</v>
      </c>
      <c r="AC228">
        <v>0.82</v>
      </c>
      <c r="AD228">
        <v>0</v>
      </c>
      <c r="AE228">
        <v>0</v>
      </c>
      <c r="AF228">
        <v>0.68</v>
      </c>
      <c r="AG228">
        <v>0.04</v>
      </c>
      <c r="AH228">
        <v>0</v>
      </c>
      <c r="AI228">
        <v>1</v>
      </c>
      <c r="AJ228">
        <v>7.09</v>
      </c>
      <c r="AK228">
        <v>20.399999999999999</v>
      </c>
      <c r="AL228">
        <v>1</v>
      </c>
      <c r="AN228">
        <v>0</v>
      </c>
      <c r="AO228">
        <v>1</v>
      </c>
      <c r="AP228">
        <v>1</v>
      </c>
      <c r="AQ228">
        <v>0</v>
      </c>
      <c r="AR228">
        <v>0</v>
      </c>
      <c r="AS228" t="s">
        <v>3</v>
      </c>
      <c r="AT228">
        <v>0.02</v>
      </c>
      <c r="AU228" t="s">
        <v>324</v>
      </c>
      <c r="AV228">
        <v>0</v>
      </c>
      <c r="AW228">
        <v>2</v>
      </c>
      <c r="AX228">
        <v>45038597</v>
      </c>
      <c r="AY228">
        <v>1</v>
      </c>
      <c r="AZ228">
        <v>0</v>
      </c>
      <c r="BA228">
        <v>226</v>
      </c>
      <c r="BB228">
        <v>0</v>
      </c>
      <c r="BC228">
        <v>0</v>
      </c>
      <c r="BD228">
        <v>0</v>
      </c>
      <c r="BE228">
        <v>0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0</v>
      </c>
      <c r="BQ228">
        <v>0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CX228">
        <f>Y228*Source!I234</f>
        <v>7.5000000000000011E-2</v>
      </c>
      <c r="CY228">
        <f>AB228</f>
        <v>4.82</v>
      </c>
      <c r="CZ228">
        <f>AF228</f>
        <v>0.68</v>
      </c>
      <c r="DA228">
        <f>AJ228</f>
        <v>7.09</v>
      </c>
      <c r="DB228">
        <v>0</v>
      </c>
    </row>
    <row r="229" spans="1:106" x14ac:dyDescent="0.2">
      <c r="A229">
        <f>ROW(Source!A234)</f>
        <v>234</v>
      </c>
      <c r="B229">
        <v>45037307</v>
      </c>
      <c r="C229">
        <v>45037899</v>
      </c>
      <c r="D229">
        <v>22725940</v>
      </c>
      <c r="E229">
        <v>1</v>
      </c>
      <c r="F229">
        <v>1</v>
      </c>
      <c r="G229">
        <v>22652947</v>
      </c>
      <c r="H229">
        <v>2</v>
      </c>
      <c r="I229" t="s">
        <v>720</v>
      </c>
      <c r="J229" t="s">
        <v>721</v>
      </c>
      <c r="K229" t="s">
        <v>722</v>
      </c>
      <c r="L229">
        <v>1367</v>
      </c>
      <c r="N229">
        <v>1011</v>
      </c>
      <c r="O229" t="s">
        <v>623</v>
      </c>
      <c r="P229" t="s">
        <v>623</v>
      </c>
      <c r="Q229">
        <v>1</v>
      </c>
      <c r="W229">
        <v>0</v>
      </c>
      <c r="X229">
        <v>926785503</v>
      </c>
      <c r="Y229">
        <v>0.1875</v>
      </c>
      <c r="AA229">
        <v>0</v>
      </c>
      <c r="AB229">
        <v>5</v>
      </c>
      <c r="AC229">
        <v>0.82</v>
      </c>
      <c r="AD229">
        <v>0</v>
      </c>
      <c r="AE229">
        <v>0</v>
      </c>
      <c r="AF229">
        <v>0.64</v>
      </c>
      <c r="AG229">
        <v>0.04</v>
      </c>
      <c r="AH229">
        <v>0</v>
      </c>
      <c r="AI229">
        <v>1</v>
      </c>
      <c r="AJ229">
        <v>7.81</v>
      </c>
      <c r="AK229">
        <v>20.399999999999999</v>
      </c>
      <c r="AL229">
        <v>1</v>
      </c>
      <c r="AN229">
        <v>0</v>
      </c>
      <c r="AO229">
        <v>1</v>
      </c>
      <c r="AP229">
        <v>1</v>
      </c>
      <c r="AQ229">
        <v>0</v>
      </c>
      <c r="AR229">
        <v>0</v>
      </c>
      <c r="AS229" t="s">
        <v>3</v>
      </c>
      <c r="AT229">
        <v>0.15</v>
      </c>
      <c r="AU229" t="s">
        <v>324</v>
      </c>
      <c r="AV229">
        <v>0</v>
      </c>
      <c r="AW229">
        <v>2</v>
      </c>
      <c r="AX229">
        <v>45038598</v>
      </c>
      <c r="AY229">
        <v>1</v>
      </c>
      <c r="AZ229">
        <v>0</v>
      </c>
      <c r="BA229">
        <v>227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CX229">
        <f>Y229*Source!I234</f>
        <v>0.5625</v>
      </c>
      <c r="CY229">
        <f>AB229</f>
        <v>5</v>
      </c>
      <c r="CZ229">
        <f>AF229</f>
        <v>0.64</v>
      </c>
      <c r="DA229">
        <f>AJ229</f>
        <v>7.81</v>
      </c>
      <c r="DB229">
        <v>0</v>
      </c>
    </row>
    <row r="230" spans="1:106" x14ac:dyDescent="0.2">
      <c r="A230">
        <f>ROW(Source!A234)</f>
        <v>234</v>
      </c>
      <c r="B230">
        <v>45037307</v>
      </c>
      <c r="C230">
        <v>45037899</v>
      </c>
      <c r="D230">
        <v>22725894</v>
      </c>
      <c r="E230">
        <v>1</v>
      </c>
      <c r="F230">
        <v>1</v>
      </c>
      <c r="G230">
        <v>22652947</v>
      </c>
      <c r="H230">
        <v>2</v>
      </c>
      <c r="I230" t="s">
        <v>686</v>
      </c>
      <c r="J230" t="s">
        <v>687</v>
      </c>
      <c r="K230" t="s">
        <v>688</v>
      </c>
      <c r="L230">
        <v>1367</v>
      </c>
      <c r="N230">
        <v>1011</v>
      </c>
      <c r="O230" t="s">
        <v>623</v>
      </c>
      <c r="P230" t="s">
        <v>623</v>
      </c>
      <c r="Q230">
        <v>1</v>
      </c>
      <c r="W230">
        <v>0</v>
      </c>
      <c r="X230">
        <v>950854334</v>
      </c>
      <c r="Y230">
        <v>0.13750000000000001</v>
      </c>
      <c r="AA230">
        <v>0</v>
      </c>
      <c r="AB230">
        <v>25.49</v>
      </c>
      <c r="AC230">
        <v>2.04</v>
      </c>
      <c r="AD230">
        <v>0</v>
      </c>
      <c r="AE230">
        <v>0</v>
      </c>
      <c r="AF230">
        <v>2.36</v>
      </c>
      <c r="AG230">
        <v>0.1</v>
      </c>
      <c r="AH230">
        <v>0</v>
      </c>
      <c r="AI230">
        <v>1</v>
      </c>
      <c r="AJ230">
        <v>10.8</v>
      </c>
      <c r="AK230">
        <v>20.399999999999999</v>
      </c>
      <c r="AL230">
        <v>1</v>
      </c>
      <c r="AN230">
        <v>0</v>
      </c>
      <c r="AO230">
        <v>1</v>
      </c>
      <c r="AP230">
        <v>1</v>
      </c>
      <c r="AQ230">
        <v>0</v>
      </c>
      <c r="AR230">
        <v>0</v>
      </c>
      <c r="AS230" t="s">
        <v>3</v>
      </c>
      <c r="AT230">
        <v>0.11</v>
      </c>
      <c r="AU230" t="s">
        <v>324</v>
      </c>
      <c r="AV230">
        <v>0</v>
      </c>
      <c r="AW230">
        <v>2</v>
      </c>
      <c r="AX230">
        <v>45038599</v>
      </c>
      <c r="AY230">
        <v>1</v>
      </c>
      <c r="AZ230">
        <v>0</v>
      </c>
      <c r="BA230">
        <v>228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0</v>
      </c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0</v>
      </c>
      <c r="BW230">
        <v>0</v>
      </c>
      <c r="CX230">
        <f>Y230*Source!I234</f>
        <v>0.41250000000000003</v>
      </c>
      <c r="CY230">
        <f>AB230</f>
        <v>25.49</v>
      </c>
      <c r="CZ230">
        <f>AF230</f>
        <v>2.36</v>
      </c>
      <c r="DA230">
        <f>AJ230</f>
        <v>10.8</v>
      </c>
      <c r="DB230">
        <v>0</v>
      </c>
    </row>
    <row r="231" spans="1:106" x14ac:dyDescent="0.2">
      <c r="A231">
        <f>ROW(Source!A234)</f>
        <v>234</v>
      </c>
      <c r="B231">
        <v>45037307</v>
      </c>
      <c r="C231">
        <v>45037899</v>
      </c>
      <c r="D231">
        <v>22703215</v>
      </c>
      <c r="E231">
        <v>1</v>
      </c>
      <c r="F231">
        <v>1</v>
      </c>
      <c r="G231">
        <v>22652947</v>
      </c>
      <c r="H231">
        <v>3</v>
      </c>
      <c r="I231" t="s">
        <v>723</v>
      </c>
      <c r="J231" t="s">
        <v>724</v>
      </c>
      <c r="K231" t="s">
        <v>725</v>
      </c>
      <c r="L231">
        <v>1346</v>
      </c>
      <c r="N231">
        <v>1009</v>
      </c>
      <c r="O231" t="s">
        <v>89</v>
      </c>
      <c r="P231" t="s">
        <v>89</v>
      </c>
      <c r="Q231">
        <v>1</v>
      </c>
      <c r="W231">
        <v>0</v>
      </c>
      <c r="X231">
        <v>-1260154368</v>
      </c>
      <c r="Y231">
        <v>0.02</v>
      </c>
      <c r="AA231">
        <v>89.33</v>
      </c>
      <c r="AB231">
        <v>0</v>
      </c>
      <c r="AC231">
        <v>0</v>
      </c>
      <c r="AD231">
        <v>0</v>
      </c>
      <c r="AE231">
        <v>20.63</v>
      </c>
      <c r="AF231">
        <v>0</v>
      </c>
      <c r="AG231">
        <v>0</v>
      </c>
      <c r="AH231">
        <v>0</v>
      </c>
      <c r="AI231">
        <v>4.33</v>
      </c>
      <c r="AJ231">
        <v>1</v>
      </c>
      <c r="AK231">
        <v>1</v>
      </c>
      <c r="AL231">
        <v>1</v>
      </c>
      <c r="AN231">
        <v>0</v>
      </c>
      <c r="AO231">
        <v>1</v>
      </c>
      <c r="AP231">
        <v>0</v>
      </c>
      <c r="AQ231">
        <v>0</v>
      </c>
      <c r="AR231">
        <v>0</v>
      </c>
      <c r="AS231" t="s">
        <v>3</v>
      </c>
      <c r="AT231">
        <v>0.02</v>
      </c>
      <c r="AU231" t="s">
        <v>3</v>
      </c>
      <c r="AV231">
        <v>0</v>
      </c>
      <c r="AW231">
        <v>2</v>
      </c>
      <c r="AX231">
        <v>45038600</v>
      </c>
      <c r="AY231">
        <v>1</v>
      </c>
      <c r="AZ231">
        <v>0</v>
      </c>
      <c r="BA231">
        <v>229</v>
      </c>
      <c r="BB231">
        <v>0</v>
      </c>
      <c r="BC231">
        <v>0</v>
      </c>
      <c r="BD231">
        <v>0</v>
      </c>
      <c r="BE231">
        <v>0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CX231">
        <f>Y231*Source!I234</f>
        <v>0.06</v>
      </c>
      <c r="CY231">
        <f>AA231</f>
        <v>89.33</v>
      </c>
      <c r="CZ231">
        <f>AE231</f>
        <v>20.63</v>
      </c>
      <c r="DA231">
        <f>AI231</f>
        <v>4.33</v>
      </c>
      <c r="DB231">
        <v>0</v>
      </c>
    </row>
    <row r="232" spans="1:106" x14ac:dyDescent="0.2">
      <c r="A232">
        <f>ROW(Source!A234)</f>
        <v>234</v>
      </c>
      <c r="B232">
        <v>45037307</v>
      </c>
      <c r="C232">
        <v>45037899</v>
      </c>
      <c r="D232">
        <v>22724182</v>
      </c>
      <c r="E232">
        <v>1</v>
      </c>
      <c r="F232">
        <v>1</v>
      </c>
      <c r="G232">
        <v>22652947</v>
      </c>
      <c r="H232">
        <v>3</v>
      </c>
      <c r="I232" t="s">
        <v>329</v>
      </c>
      <c r="J232" t="s">
        <v>332</v>
      </c>
      <c r="K232" t="s">
        <v>330</v>
      </c>
      <c r="L232">
        <v>1391</v>
      </c>
      <c r="N232">
        <v>1013</v>
      </c>
      <c r="O232" t="s">
        <v>331</v>
      </c>
      <c r="P232" t="s">
        <v>331</v>
      </c>
      <c r="Q232">
        <v>1</v>
      </c>
      <c r="W232">
        <v>0</v>
      </c>
      <c r="X232">
        <v>568915023</v>
      </c>
      <c r="Y232">
        <v>1</v>
      </c>
      <c r="AA232">
        <v>4993.51</v>
      </c>
      <c r="AB232">
        <v>0</v>
      </c>
      <c r="AC232">
        <v>0</v>
      </c>
      <c r="AD232">
        <v>0</v>
      </c>
      <c r="AE232">
        <v>1390.95</v>
      </c>
      <c r="AF232">
        <v>0</v>
      </c>
      <c r="AG232">
        <v>0</v>
      </c>
      <c r="AH232">
        <v>0</v>
      </c>
      <c r="AI232">
        <v>3.59</v>
      </c>
      <c r="AJ232">
        <v>1</v>
      </c>
      <c r="AK232">
        <v>1</v>
      </c>
      <c r="AL232">
        <v>1</v>
      </c>
      <c r="AN232">
        <v>0</v>
      </c>
      <c r="AO232">
        <v>0</v>
      </c>
      <c r="AP232">
        <v>0</v>
      </c>
      <c r="AQ232">
        <v>0</v>
      </c>
      <c r="AR232">
        <v>0</v>
      </c>
      <c r="AS232" t="s">
        <v>3</v>
      </c>
      <c r="AT232">
        <v>1</v>
      </c>
      <c r="AU232" t="s">
        <v>3</v>
      </c>
      <c r="AV232">
        <v>0</v>
      </c>
      <c r="AW232">
        <v>1</v>
      </c>
      <c r="AX232">
        <v>-1</v>
      </c>
      <c r="AY232">
        <v>0</v>
      </c>
      <c r="AZ232">
        <v>0</v>
      </c>
      <c r="BA232" t="s">
        <v>3</v>
      </c>
      <c r="BB232">
        <v>0</v>
      </c>
      <c r="BC232">
        <v>0</v>
      </c>
      <c r="BD232">
        <v>0</v>
      </c>
      <c r="BE232">
        <v>0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CX232">
        <f>Y232*Source!I234</f>
        <v>3</v>
      </c>
      <c r="CY232">
        <f>AA232</f>
        <v>4993.51</v>
      </c>
      <c r="CZ232">
        <f>AE232</f>
        <v>1390.95</v>
      </c>
      <c r="DA232">
        <f>AI232</f>
        <v>3.59</v>
      </c>
      <c r="DB232">
        <v>0</v>
      </c>
    </row>
    <row r="233" spans="1:106" x14ac:dyDescent="0.2">
      <c r="A233">
        <f>ROW(Source!A271)</f>
        <v>271</v>
      </c>
      <c r="B233">
        <v>45037306</v>
      </c>
      <c r="C233">
        <v>45037969</v>
      </c>
      <c r="D233">
        <v>22652952</v>
      </c>
      <c r="E233">
        <v>22652947</v>
      </c>
      <c r="F233">
        <v>1</v>
      </c>
      <c r="G233">
        <v>22652947</v>
      </c>
      <c r="H233">
        <v>1</v>
      </c>
      <c r="I233" t="s">
        <v>617</v>
      </c>
      <c r="J233" t="s">
        <v>3</v>
      </c>
      <c r="K233" t="s">
        <v>618</v>
      </c>
      <c r="L233">
        <v>1191</v>
      </c>
      <c r="N233">
        <v>1013</v>
      </c>
      <c r="O233" t="s">
        <v>619</v>
      </c>
      <c r="P233" t="s">
        <v>619</v>
      </c>
      <c r="Q233">
        <v>1</v>
      </c>
      <c r="W233">
        <v>0</v>
      </c>
      <c r="X233">
        <v>476480486</v>
      </c>
      <c r="Y233">
        <v>0.45999999999999996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1</v>
      </c>
      <c r="AJ233">
        <v>1</v>
      </c>
      <c r="AK233">
        <v>1</v>
      </c>
      <c r="AL233">
        <v>1</v>
      </c>
      <c r="AN233">
        <v>0</v>
      </c>
      <c r="AO233">
        <v>1</v>
      </c>
      <c r="AP233">
        <v>1</v>
      </c>
      <c r="AQ233">
        <v>0</v>
      </c>
      <c r="AR233">
        <v>0</v>
      </c>
      <c r="AS233" t="s">
        <v>3</v>
      </c>
      <c r="AT233">
        <v>0.4</v>
      </c>
      <c r="AU233" t="s">
        <v>37</v>
      </c>
      <c r="AV233">
        <v>1</v>
      </c>
      <c r="AW233">
        <v>2</v>
      </c>
      <c r="AX233">
        <v>45038602</v>
      </c>
      <c r="AY233">
        <v>1</v>
      </c>
      <c r="AZ233">
        <v>0</v>
      </c>
      <c r="BA233">
        <v>231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CX233">
        <f>Y233*Source!I271</f>
        <v>1.6099999999999999</v>
      </c>
      <c r="CY233">
        <f>AD233</f>
        <v>0</v>
      </c>
      <c r="CZ233">
        <f>AH233</f>
        <v>0</v>
      </c>
      <c r="DA233">
        <f>AL233</f>
        <v>1</v>
      </c>
      <c r="DB233">
        <v>0</v>
      </c>
    </row>
    <row r="234" spans="1:106" x14ac:dyDescent="0.2">
      <c r="A234">
        <f>ROW(Source!A271)</f>
        <v>271</v>
      </c>
      <c r="B234">
        <v>45037306</v>
      </c>
      <c r="C234">
        <v>45037969</v>
      </c>
      <c r="D234">
        <v>22725608</v>
      </c>
      <c r="E234">
        <v>1</v>
      </c>
      <c r="F234">
        <v>1</v>
      </c>
      <c r="G234">
        <v>22652947</v>
      </c>
      <c r="H234">
        <v>2</v>
      </c>
      <c r="I234" t="s">
        <v>726</v>
      </c>
      <c r="J234" t="s">
        <v>727</v>
      </c>
      <c r="K234" t="s">
        <v>728</v>
      </c>
      <c r="L234">
        <v>1367</v>
      </c>
      <c r="N234">
        <v>1011</v>
      </c>
      <c r="O234" t="s">
        <v>623</v>
      </c>
      <c r="P234" t="s">
        <v>623</v>
      </c>
      <c r="Q234">
        <v>1</v>
      </c>
      <c r="W234">
        <v>0</v>
      </c>
      <c r="X234">
        <v>-1547019182</v>
      </c>
      <c r="Y234">
        <v>6.25E-2</v>
      </c>
      <c r="AA234">
        <v>0</v>
      </c>
      <c r="AB234">
        <v>8.65</v>
      </c>
      <c r="AC234">
        <v>0.81</v>
      </c>
      <c r="AD234">
        <v>0</v>
      </c>
      <c r="AE234">
        <v>0</v>
      </c>
      <c r="AF234">
        <v>8.65</v>
      </c>
      <c r="AG234">
        <v>0.81</v>
      </c>
      <c r="AH234">
        <v>0</v>
      </c>
      <c r="AI234">
        <v>1</v>
      </c>
      <c r="AJ234">
        <v>1</v>
      </c>
      <c r="AK234">
        <v>1</v>
      </c>
      <c r="AL234">
        <v>1</v>
      </c>
      <c r="AN234">
        <v>0</v>
      </c>
      <c r="AO234">
        <v>1</v>
      </c>
      <c r="AP234">
        <v>1</v>
      </c>
      <c r="AQ234">
        <v>0</v>
      </c>
      <c r="AR234">
        <v>0</v>
      </c>
      <c r="AS234" t="s">
        <v>3</v>
      </c>
      <c r="AT234">
        <v>0.05</v>
      </c>
      <c r="AU234" t="s">
        <v>36</v>
      </c>
      <c r="AV234">
        <v>0</v>
      </c>
      <c r="AW234">
        <v>2</v>
      </c>
      <c r="AX234">
        <v>45038603</v>
      </c>
      <c r="AY234">
        <v>1</v>
      </c>
      <c r="AZ234">
        <v>0</v>
      </c>
      <c r="BA234">
        <v>232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CX234">
        <f>Y234*Source!I271</f>
        <v>0.21875</v>
      </c>
      <c r="CY234">
        <f>AB234</f>
        <v>8.65</v>
      </c>
      <c r="CZ234">
        <f>AF234</f>
        <v>8.65</v>
      </c>
      <c r="DA234">
        <f>AJ234</f>
        <v>1</v>
      </c>
      <c r="DB234">
        <v>0</v>
      </c>
    </row>
    <row r="235" spans="1:106" x14ac:dyDescent="0.2">
      <c r="A235">
        <f>ROW(Source!A271)</f>
        <v>271</v>
      </c>
      <c r="B235">
        <v>45037306</v>
      </c>
      <c r="C235">
        <v>45037969</v>
      </c>
      <c r="D235">
        <v>22653672</v>
      </c>
      <c r="E235">
        <v>22652947</v>
      </c>
      <c r="F235">
        <v>1</v>
      </c>
      <c r="G235">
        <v>22652947</v>
      </c>
      <c r="H235">
        <v>2</v>
      </c>
      <c r="I235" t="s">
        <v>630</v>
      </c>
      <c r="J235" t="s">
        <v>3</v>
      </c>
      <c r="K235" t="s">
        <v>631</v>
      </c>
      <c r="L235">
        <v>1344</v>
      </c>
      <c r="N235">
        <v>1008</v>
      </c>
      <c r="O235" t="s">
        <v>632</v>
      </c>
      <c r="P235" t="s">
        <v>632</v>
      </c>
      <c r="Q235">
        <v>1</v>
      </c>
      <c r="W235">
        <v>0</v>
      </c>
      <c r="X235">
        <v>-1180195794</v>
      </c>
      <c r="Y235">
        <v>0.21250000000000002</v>
      </c>
      <c r="AA235">
        <v>0</v>
      </c>
      <c r="AB235">
        <v>1</v>
      </c>
      <c r="AC235">
        <v>0</v>
      </c>
      <c r="AD235">
        <v>0</v>
      </c>
      <c r="AE235">
        <v>0</v>
      </c>
      <c r="AF235">
        <v>1</v>
      </c>
      <c r="AG235">
        <v>0</v>
      </c>
      <c r="AH235">
        <v>0</v>
      </c>
      <c r="AI235">
        <v>1</v>
      </c>
      <c r="AJ235">
        <v>1</v>
      </c>
      <c r="AK235">
        <v>1</v>
      </c>
      <c r="AL235">
        <v>1</v>
      </c>
      <c r="AN235">
        <v>0</v>
      </c>
      <c r="AO235">
        <v>1</v>
      </c>
      <c r="AP235">
        <v>1</v>
      </c>
      <c r="AQ235">
        <v>0</v>
      </c>
      <c r="AR235">
        <v>0</v>
      </c>
      <c r="AS235" t="s">
        <v>3</v>
      </c>
      <c r="AT235">
        <v>0.17</v>
      </c>
      <c r="AU235" t="s">
        <v>36</v>
      </c>
      <c r="AV235">
        <v>0</v>
      </c>
      <c r="AW235">
        <v>2</v>
      </c>
      <c r="AX235">
        <v>45038604</v>
      </c>
      <c r="AY235">
        <v>1</v>
      </c>
      <c r="AZ235">
        <v>0</v>
      </c>
      <c r="BA235">
        <v>233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CX235">
        <f>Y235*Source!I271</f>
        <v>0.74375000000000013</v>
      </c>
      <c r="CY235">
        <f>AB235</f>
        <v>1</v>
      </c>
      <c r="CZ235">
        <f>AF235</f>
        <v>1</v>
      </c>
      <c r="DA235">
        <f>AJ235</f>
        <v>1</v>
      </c>
      <c r="DB235">
        <v>0</v>
      </c>
    </row>
    <row r="236" spans="1:106" x14ac:dyDescent="0.2">
      <c r="A236">
        <f>ROW(Source!A271)</f>
        <v>271</v>
      </c>
      <c r="B236">
        <v>45037306</v>
      </c>
      <c r="C236">
        <v>45037969</v>
      </c>
      <c r="D236">
        <v>22703836</v>
      </c>
      <c r="E236">
        <v>1</v>
      </c>
      <c r="F236">
        <v>1</v>
      </c>
      <c r="G236">
        <v>22652947</v>
      </c>
      <c r="H236">
        <v>3</v>
      </c>
      <c r="I236" t="s">
        <v>729</v>
      </c>
      <c r="J236" t="s">
        <v>730</v>
      </c>
      <c r="K236" t="s">
        <v>731</v>
      </c>
      <c r="L236">
        <v>1346</v>
      </c>
      <c r="N236">
        <v>1009</v>
      </c>
      <c r="O236" t="s">
        <v>89</v>
      </c>
      <c r="P236" t="s">
        <v>89</v>
      </c>
      <c r="Q236">
        <v>1</v>
      </c>
      <c r="W236">
        <v>0</v>
      </c>
      <c r="X236">
        <v>-1950520048</v>
      </c>
      <c r="Y236">
        <v>0.32</v>
      </c>
      <c r="AA236">
        <v>25.43</v>
      </c>
      <c r="AB236">
        <v>0</v>
      </c>
      <c r="AC236">
        <v>0</v>
      </c>
      <c r="AD236">
        <v>0</v>
      </c>
      <c r="AE236">
        <v>25.43</v>
      </c>
      <c r="AF236">
        <v>0</v>
      </c>
      <c r="AG236">
        <v>0</v>
      </c>
      <c r="AH236">
        <v>0</v>
      </c>
      <c r="AI236">
        <v>1</v>
      </c>
      <c r="AJ236">
        <v>1</v>
      </c>
      <c r="AK236">
        <v>1</v>
      </c>
      <c r="AL236">
        <v>1</v>
      </c>
      <c r="AN236">
        <v>0</v>
      </c>
      <c r="AO236">
        <v>1</v>
      </c>
      <c r="AP236">
        <v>0</v>
      </c>
      <c r="AQ236">
        <v>0</v>
      </c>
      <c r="AR236">
        <v>0</v>
      </c>
      <c r="AS236" t="s">
        <v>3</v>
      </c>
      <c r="AT236">
        <v>0.32</v>
      </c>
      <c r="AU236" t="s">
        <v>3</v>
      </c>
      <c r="AV236">
        <v>0</v>
      </c>
      <c r="AW236">
        <v>2</v>
      </c>
      <c r="AX236">
        <v>45038605</v>
      </c>
      <c r="AY236">
        <v>1</v>
      </c>
      <c r="AZ236">
        <v>0</v>
      </c>
      <c r="BA236">
        <v>234</v>
      </c>
      <c r="BB236">
        <v>0</v>
      </c>
      <c r="BC236">
        <v>0</v>
      </c>
      <c r="BD236">
        <v>0</v>
      </c>
      <c r="BE236">
        <v>0</v>
      </c>
      <c r="BF236">
        <v>0</v>
      </c>
      <c r="BG236">
        <v>0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0</v>
      </c>
      <c r="BQ236">
        <v>0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CX236">
        <f>Y236*Source!I271</f>
        <v>1.1200000000000001</v>
      </c>
      <c r="CY236">
        <f>AA236</f>
        <v>25.43</v>
      </c>
      <c r="CZ236">
        <f>AE236</f>
        <v>25.43</v>
      </c>
      <c r="DA236">
        <f>AI236</f>
        <v>1</v>
      </c>
      <c r="DB236">
        <v>0</v>
      </c>
    </row>
    <row r="237" spans="1:106" x14ac:dyDescent="0.2">
      <c r="A237">
        <f>ROW(Source!A271)</f>
        <v>271</v>
      </c>
      <c r="B237">
        <v>45037306</v>
      </c>
      <c r="C237">
        <v>45037969</v>
      </c>
      <c r="D237">
        <v>22703998</v>
      </c>
      <c r="E237">
        <v>1</v>
      </c>
      <c r="F237">
        <v>1</v>
      </c>
      <c r="G237">
        <v>22652947</v>
      </c>
      <c r="H237">
        <v>3</v>
      </c>
      <c r="I237" t="s">
        <v>732</v>
      </c>
      <c r="J237" t="s">
        <v>733</v>
      </c>
      <c r="K237" t="s">
        <v>734</v>
      </c>
      <c r="L237">
        <v>1296</v>
      </c>
      <c r="N237">
        <v>1002</v>
      </c>
      <c r="O237" t="s">
        <v>704</v>
      </c>
      <c r="P237" t="s">
        <v>704</v>
      </c>
      <c r="Q237">
        <v>1</v>
      </c>
      <c r="W237">
        <v>0</v>
      </c>
      <c r="X237">
        <v>-1353905028</v>
      </c>
      <c r="Y237">
        <v>0.09</v>
      </c>
      <c r="AA237">
        <v>40.17</v>
      </c>
      <c r="AB237">
        <v>0</v>
      </c>
      <c r="AC237">
        <v>0</v>
      </c>
      <c r="AD237">
        <v>0</v>
      </c>
      <c r="AE237">
        <v>40.17</v>
      </c>
      <c r="AF237">
        <v>0</v>
      </c>
      <c r="AG237">
        <v>0</v>
      </c>
      <c r="AH237">
        <v>0</v>
      </c>
      <c r="AI237">
        <v>1</v>
      </c>
      <c r="AJ237">
        <v>1</v>
      </c>
      <c r="AK237">
        <v>1</v>
      </c>
      <c r="AL237">
        <v>1</v>
      </c>
      <c r="AN237">
        <v>0</v>
      </c>
      <c r="AO237">
        <v>1</v>
      </c>
      <c r="AP237">
        <v>0</v>
      </c>
      <c r="AQ237">
        <v>0</v>
      </c>
      <c r="AR237">
        <v>0</v>
      </c>
      <c r="AS237" t="s">
        <v>3</v>
      </c>
      <c r="AT237">
        <v>0.09</v>
      </c>
      <c r="AU237" t="s">
        <v>3</v>
      </c>
      <c r="AV237">
        <v>0</v>
      </c>
      <c r="AW237">
        <v>2</v>
      </c>
      <c r="AX237">
        <v>45038606</v>
      </c>
      <c r="AY237">
        <v>1</v>
      </c>
      <c r="AZ237">
        <v>0</v>
      </c>
      <c r="BA237">
        <v>235</v>
      </c>
      <c r="BB237">
        <v>0</v>
      </c>
      <c r="BC237">
        <v>0</v>
      </c>
      <c r="BD237">
        <v>0</v>
      </c>
      <c r="BE237">
        <v>0</v>
      </c>
      <c r="BF237">
        <v>0</v>
      </c>
      <c r="BG237">
        <v>0</v>
      </c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BP237">
        <v>0</v>
      </c>
      <c r="BQ237">
        <v>0</v>
      </c>
      <c r="BR237">
        <v>0</v>
      </c>
      <c r="BS237">
        <v>0</v>
      </c>
      <c r="BT237">
        <v>0</v>
      </c>
      <c r="BU237">
        <v>0</v>
      </c>
      <c r="BV237">
        <v>0</v>
      </c>
      <c r="BW237">
        <v>0</v>
      </c>
      <c r="CX237">
        <f>Y237*Source!I271</f>
        <v>0.315</v>
      </c>
      <c r="CY237">
        <f>AA237</f>
        <v>40.17</v>
      </c>
      <c r="CZ237">
        <f>AE237</f>
        <v>40.17</v>
      </c>
      <c r="DA237">
        <f>AI237</f>
        <v>1</v>
      </c>
      <c r="DB237">
        <v>0</v>
      </c>
    </row>
    <row r="238" spans="1:106" x14ac:dyDescent="0.2">
      <c r="A238">
        <f>ROW(Source!A271)</f>
        <v>271</v>
      </c>
      <c r="B238">
        <v>45037306</v>
      </c>
      <c r="C238">
        <v>45037969</v>
      </c>
      <c r="D238">
        <v>22704018</v>
      </c>
      <c r="E238">
        <v>1</v>
      </c>
      <c r="F238">
        <v>1</v>
      </c>
      <c r="G238">
        <v>22652947</v>
      </c>
      <c r="H238">
        <v>3</v>
      </c>
      <c r="I238" t="s">
        <v>341</v>
      </c>
      <c r="J238" t="s">
        <v>343</v>
      </c>
      <c r="K238" t="s">
        <v>342</v>
      </c>
      <c r="L238">
        <v>1327</v>
      </c>
      <c r="N238">
        <v>1005</v>
      </c>
      <c r="O238" t="s">
        <v>101</v>
      </c>
      <c r="P238" t="s">
        <v>101</v>
      </c>
      <c r="Q238">
        <v>1</v>
      </c>
      <c r="W238">
        <v>0</v>
      </c>
      <c r="X238">
        <v>1185441805</v>
      </c>
      <c r="Y238">
        <v>0.9</v>
      </c>
      <c r="AA238">
        <v>175.56</v>
      </c>
      <c r="AB238">
        <v>0</v>
      </c>
      <c r="AC238">
        <v>0</v>
      </c>
      <c r="AD238">
        <v>0</v>
      </c>
      <c r="AE238">
        <v>175.56</v>
      </c>
      <c r="AF238">
        <v>0</v>
      </c>
      <c r="AG238">
        <v>0</v>
      </c>
      <c r="AH238">
        <v>0</v>
      </c>
      <c r="AI238">
        <v>1</v>
      </c>
      <c r="AJ238">
        <v>1</v>
      </c>
      <c r="AK238">
        <v>1</v>
      </c>
      <c r="AL238">
        <v>1</v>
      </c>
      <c r="AN238">
        <v>0</v>
      </c>
      <c r="AO238">
        <v>0</v>
      </c>
      <c r="AP238">
        <v>0</v>
      </c>
      <c r="AQ238">
        <v>0</v>
      </c>
      <c r="AR238">
        <v>0</v>
      </c>
      <c r="AS238" t="s">
        <v>3</v>
      </c>
      <c r="AT238">
        <v>0.9</v>
      </c>
      <c r="AU238" t="s">
        <v>3</v>
      </c>
      <c r="AV238">
        <v>0</v>
      </c>
      <c r="AW238">
        <v>1</v>
      </c>
      <c r="AX238">
        <v>-1</v>
      </c>
      <c r="AY238">
        <v>0</v>
      </c>
      <c r="AZ238">
        <v>0</v>
      </c>
      <c r="BA238" t="s">
        <v>3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CX238">
        <f>Y238*Source!I271</f>
        <v>3.15</v>
      </c>
      <c r="CY238">
        <f>AA238</f>
        <v>175.56</v>
      </c>
      <c r="CZ238">
        <f>AE238</f>
        <v>175.56</v>
      </c>
      <c r="DA238">
        <f>AI238</f>
        <v>1</v>
      </c>
      <c r="DB238">
        <v>0</v>
      </c>
    </row>
    <row r="239" spans="1:106" x14ac:dyDescent="0.2">
      <c r="A239">
        <f>ROW(Source!A272)</f>
        <v>272</v>
      </c>
      <c r="B239">
        <v>45037307</v>
      </c>
      <c r="C239">
        <v>45037969</v>
      </c>
      <c r="D239">
        <v>22652952</v>
      </c>
      <c r="E239">
        <v>22652947</v>
      </c>
      <c r="F239">
        <v>1</v>
      </c>
      <c r="G239">
        <v>22652947</v>
      </c>
      <c r="H239">
        <v>1</v>
      </c>
      <c r="I239" t="s">
        <v>617</v>
      </c>
      <c r="J239" t="s">
        <v>3</v>
      </c>
      <c r="K239" t="s">
        <v>618</v>
      </c>
      <c r="L239">
        <v>1191</v>
      </c>
      <c r="N239">
        <v>1013</v>
      </c>
      <c r="O239" t="s">
        <v>619</v>
      </c>
      <c r="P239" t="s">
        <v>619</v>
      </c>
      <c r="Q239">
        <v>1</v>
      </c>
      <c r="W239">
        <v>0</v>
      </c>
      <c r="X239">
        <v>476480486</v>
      </c>
      <c r="Y239">
        <v>0.45999999999999996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1</v>
      </c>
      <c r="AJ239">
        <v>1</v>
      </c>
      <c r="AK239">
        <v>1</v>
      </c>
      <c r="AL239">
        <v>1</v>
      </c>
      <c r="AN239">
        <v>0</v>
      </c>
      <c r="AO239">
        <v>1</v>
      </c>
      <c r="AP239">
        <v>1</v>
      </c>
      <c r="AQ239">
        <v>0</v>
      </c>
      <c r="AR239">
        <v>0</v>
      </c>
      <c r="AS239" t="s">
        <v>3</v>
      </c>
      <c r="AT239">
        <v>0.4</v>
      </c>
      <c r="AU239" t="s">
        <v>37</v>
      </c>
      <c r="AV239">
        <v>1</v>
      </c>
      <c r="AW239">
        <v>2</v>
      </c>
      <c r="AX239">
        <v>45038602</v>
      </c>
      <c r="AY239">
        <v>1</v>
      </c>
      <c r="AZ239">
        <v>0</v>
      </c>
      <c r="BA239">
        <v>237</v>
      </c>
      <c r="BB239">
        <v>0</v>
      </c>
      <c r="BC239">
        <v>0</v>
      </c>
      <c r="BD239">
        <v>0</v>
      </c>
      <c r="BE239">
        <v>0</v>
      </c>
      <c r="BF239">
        <v>0</v>
      </c>
      <c r="BG239">
        <v>0</v>
      </c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0</v>
      </c>
      <c r="BQ239">
        <v>0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CX239">
        <f>Y239*Source!I272</f>
        <v>1.6099999999999999</v>
      </c>
      <c r="CY239">
        <f>AD239</f>
        <v>0</v>
      </c>
      <c r="CZ239">
        <f>AH239</f>
        <v>0</v>
      </c>
      <c r="DA239">
        <f>AL239</f>
        <v>1</v>
      </c>
      <c r="DB239">
        <v>0</v>
      </c>
    </row>
    <row r="240" spans="1:106" x14ac:dyDescent="0.2">
      <c r="A240">
        <f>ROW(Source!A272)</f>
        <v>272</v>
      </c>
      <c r="B240">
        <v>45037307</v>
      </c>
      <c r="C240">
        <v>45037969</v>
      </c>
      <c r="D240">
        <v>22725608</v>
      </c>
      <c r="E240">
        <v>1</v>
      </c>
      <c r="F240">
        <v>1</v>
      </c>
      <c r="G240">
        <v>22652947</v>
      </c>
      <c r="H240">
        <v>2</v>
      </c>
      <c r="I240" t="s">
        <v>726</v>
      </c>
      <c r="J240" t="s">
        <v>727</v>
      </c>
      <c r="K240" t="s">
        <v>728</v>
      </c>
      <c r="L240">
        <v>1367</v>
      </c>
      <c r="N240">
        <v>1011</v>
      </c>
      <c r="O240" t="s">
        <v>623</v>
      </c>
      <c r="P240" t="s">
        <v>623</v>
      </c>
      <c r="Q240">
        <v>1</v>
      </c>
      <c r="W240">
        <v>0</v>
      </c>
      <c r="X240">
        <v>-1547019182</v>
      </c>
      <c r="Y240">
        <v>6.25E-2</v>
      </c>
      <c r="AA240">
        <v>0</v>
      </c>
      <c r="AB240">
        <v>44.63</v>
      </c>
      <c r="AC240">
        <v>16.52</v>
      </c>
      <c r="AD240">
        <v>0</v>
      </c>
      <c r="AE240">
        <v>0</v>
      </c>
      <c r="AF240">
        <v>8.65</v>
      </c>
      <c r="AG240">
        <v>0.81</v>
      </c>
      <c r="AH240">
        <v>0</v>
      </c>
      <c r="AI240">
        <v>1</v>
      </c>
      <c r="AJ240">
        <v>5.16</v>
      </c>
      <c r="AK240">
        <v>20.399999999999999</v>
      </c>
      <c r="AL240">
        <v>1</v>
      </c>
      <c r="AN240">
        <v>0</v>
      </c>
      <c r="AO240">
        <v>1</v>
      </c>
      <c r="AP240">
        <v>1</v>
      </c>
      <c r="AQ240">
        <v>0</v>
      </c>
      <c r="AR240">
        <v>0</v>
      </c>
      <c r="AS240" t="s">
        <v>3</v>
      </c>
      <c r="AT240">
        <v>0.05</v>
      </c>
      <c r="AU240" t="s">
        <v>36</v>
      </c>
      <c r="AV240">
        <v>0</v>
      </c>
      <c r="AW240">
        <v>2</v>
      </c>
      <c r="AX240">
        <v>45038603</v>
      </c>
      <c r="AY240">
        <v>1</v>
      </c>
      <c r="AZ240">
        <v>0</v>
      </c>
      <c r="BA240">
        <v>238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CX240">
        <f>Y240*Source!I272</f>
        <v>0.21875</v>
      </c>
      <c r="CY240">
        <f>AB240</f>
        <v>44.63</v>
      </c>
      <c r="CZ240">
        <f>AF240</f>
        <v>8.65</v>
      </c>
      <c r="DA240">
        <f>AJ240</f>
        <v>5.16</v>
      </c>
      <c r="DB240">
        <v>0</v>
      </c>
    </row>
    <row r="241" spans="1:106" x14ac:dyDescent="0.2">
      <c r="A241">
        <f>ROW(Source!A272)</f>
        <v>272</v>
      </c>
      <c r="B241">
        <v>45037307</v>
      </c>
      <c r="C241">
        <v>45037969</v>
      </c>
      <c r="D241">
        <v>22653672</v>
      </c>
      <c r="E241">
        <v>22652947</v>
      </c>
      <c r="F241">
        <v>1</v>
      </c>
      <c r="G241">
        <v>22652947</v>
      </c>
      <c r="H241">
        <v>2</v>
      </c>
      <c r="I241" t="s">
        <v>630</v>
      </c>
      <c r="J241" t="s">
        <v>3</v>
      </c>
      <c r="K241" t="s">
        <v>631</v>
      </c>
      <c r="L241">
        <v>1344</v>
      </c>
      <c r="N241">
        <v>1008</v>
      </c>
      <c r="O241" t="s">
        <v>632</v>
      </c>
      <c r="P241" t="s">
        <v>632</v>
      </c>
      <c r="Q241">
        <v>1</v>
      </c>
      <c r="W241">
        <v>0</v>
      </c>
      <c r="X241">
        <v>-1180195794</v>
      </c>
      <c r="Y241">
        <v>0.21250000000000002</v>
      </c>
      <c r="AA241">
        <v>0</v>
      </c>
      <c r="AB241">
        <v>1</v>
      </c>
      <c r="AC241">
        <v>0</v>
      </c>
      <c r="AD241">
        <v>0</v>
      </c>
      <c r="AE241">
        <v>0</v>
      </c>
      <c r="AF241">
        <v>1</v>
      </c>
      <c r="AG241">
        <v>0</v>
      </c>
      <c r="AH241">
        <v>0</v>
      </c>
      <c r="AI241">
        <v>1</v>
      </c>
      <c r="AJ241">
        <v>1</v>
      </c>
      <c r="AK241">
        <v>1</v>
      </c>
      <c r="AL241">
        <v>1</v>
      </c>
      <c r="AN241">
        <v>0</v>
      </c>
      <c r="AO241">
        <v>1</v>
      </c>
      <c r="AP241">
        <v>1</v>
      </c>
      <c r="AQ241">
        <v>0</v>
      </c>
      <c r="AR241">
        <v>0</v>
      </c>
      <c r="AS241" t="s">
        <v>3</v>
      </c>
      <c r="AT241">
        <v>0.17</v>
      </c>
      <c r="AU241" t="s">
        <v>36</v>
      </c>
      <c r="AV241">
        <v>0</v>
      </c>
      <c r="AW241">
        <v>2</v>
      </c>
      <c r="AX241">
        <v>45038604</v>
      </c>
      <c r="AY241">
        <v>1</v>
      </c>
      <c r="AZ241">
        <v>0</v>
      </c>
      <c r="BA241">
        <v>239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CX241">
        <f>Y241*Source!I272</f>
        <v>0.74375000000000013</v>
      </c>
      <c r="CY241">
        <f>AB241</f>
        <v>1</v>
      </c>
      <c r="CZ241">
        <f>AF241</f>
        <v>1</v>
      </c>
      <c r="DA241">
        <f>AJ241</f>
        <v>1</v>
      </c>
      <c r="DB241">
        <v>0</v>
      </c>
    </row>
    <row r="242" spans="1:106" x14ac:dyDescent="0.2">
      <c r="A242">
        <f>ROW(Source!A272)</f>
        <v>272</v>
      </c>
      <c r="B242">
        <v>45037307</v>
      </c>
      <c r="C242">
        <v>45037969</v>
      </c>
      <c r="D242">
        <v>22703836</v>
      </c>
      <c r="E242">
        <v>1</v>
      </c>
      <c r="F242">
        <v>1</v>
      </c>
      <c r="G242">
        <v>22652947</v>
      </c>
      <c r="H242">
        <v>3</v>
      </c>
      <c r="I242" t="s">
        <v>729</v>
      </c>
      <c r="J242" t="s">
        <v>730</v>
      </c>
      <c r="K242" t="s">
        <v>731</v>
      </c>
      <c r="L242">
        <v>1346</v>
      </c>
      <c r="N242">
        <v>1009</v>
      </c>
      <c r="O242" t="s">
        <v>89</v>
      </c>
      <c r="P242" t="s">
        <v>89</v>
      </c>
      <c r="Q242">
        <v>1</v>
      </c>
      <c r="W242">
        <v>0</v>
      </c>
      <c r="X242">
        <v>-1950520048</v>
      </c>
      <c r="Y242">
        <v>0.32</v>
      </c>
      <c r="AA242">
        <v>59</v>
      </c>
      <c r="AB242">
        <v>0</v>
      </c>
      <c r="AC242">
        <v>0</v>
      </c>
      <c r="AD242">
        <v>0</v>
      </c>
      <c r="AE242">
        <v>25.43</v>
      </c>
      <c r="AF242">
        <v>0</v>
      </c>
      <c r="AG242">
        <v>0</v>
      </c>
      <c r="AH242">
        <v>0</v>
      </c>
      <c r="AI242">
        <v>2.3199999999999998</v>
      </c>
      <c r="AJ242">
        <v>1</v>
      </c>
      <c r="AK242">
        <v>1</v>
      </c>
      <c r="AL242">
        <v>1</v>
      </c>
      <c r="AN242">
        <v>0</v>
      </c>
      <c r="AO242">
        <v>1</v>
      </c>
      <c r="AP242">
        <v>0</v>
      </c>
      <c r="AQ242">
        <v>0</v>
      </c>
      <c r="AR242">
        <v>0</v>
      </c>
      <c r="AS242" t="s">
        <v>3</v>
      </c>
      <c r="AT242">
        <v>0.32</v>
      </c>
      <c r="AU242" t="s">
        <v>3</v>
      </c>
      <c r="AV242">
        <v>0</v>
      </c>
      <c r="AW242">
        <v>2</v>
      </c>
      <c r="AX242">
        <v>45038605</v>
      </c>
      <c r="AY242">
        <v>1</v>
      </c>
      <c r="AZ242">
        <v>0</v>
      </c>
      <c r="BA242">
        <v>240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0</v>
      </c>
      <c r="BW242">
        <v>0</v>
      </c>
      <c r="CX242">
        <f>Y242*Source!I272</f>
        <v>1.1200000000000001</v>
      </c>
      <c r="CY242">
        <f>AA242</f>
        <v>59</v>
      </c>
      <c r="CZ242">
        <f>AE242</f>
        <v>25.43</v>
      </c>
      <c r="DA242">
        <f>AI242</f>
        <v>2.3199999999999998</v>
      </c>
      <c r="DB242">
        <v>0</v>
      </c>
    </row>
    <row r="243" spans="1:106" x14ac:dyDescent="0.2">
      <c r="A243">
        <f>ROW(Source!A272)</f>
        <v>272</v>
      </c>
      <c r="B243">
        <v>45037307</v>
      </c>
      <c r="C243">
        <v>45037969</v>
      </c>
      <c r="D243">
        <v>22703998</v>
      </c>
      <c r="E243">
        <v>1</v>
      </c>
      <c r="F243">
        <v>1</v>
      </c>
      <c r="G243">
        <v>22652947</v>
      </c>
      <c r="H243">
        <v>3</v>
      </c>
      <c r="I243" t="s">
        <v>732</v>
      </c>
      <c r="J243" t="s">
        <v>733</v>
      </c>
      <c r="K243" t="s">
        <v>734</v>
      </c>
      <c r="L243">
        <v>1296</v>
      </c>
      <c r="N243">
        <v>1002</v>
      </c>
      <c r="O243" t="s">
        <v>704</v>
      </c>
      <c r="P243" t="s">
        <v>704</v>
      </c>
      <c r="Q243">
        <v>1</v>
      </c>
      <c r="W243">
        <v>0</v>
      </c>
      <c r="X243">
        <v>-1353905028</v>
      </c>
      <c r="Y243">
        <v>0.09</v>
      </c>
      <c r="AA243">
        <v>51.42</v>
      </c>
      <c r="AB243">
        <v>0</v>
      </c>
      <c r="AC243">
        <v>0</v>
      </c>
      <c r="AD243">
        <v>0</v>
      </c>
      <c r="AE243">
        <v>40.17</v>
      </c>
      <c r="AF243">
        <v>0</v>
      </c>
      <c r="AG243">
        <v>0</v>
      </c>
      <c r="AH243">
        <v>0</v>
      </c>
      <c r="AI243">
        <v>1.28</v>
      </c>
      <c r="AJ243">
        <v>1</v>
      </c>
      <c r="AK243">
        <v>1</v>
      </c>
      <c r="AL243">
        <v>1</v>
      </c>
      <c r="AN243">
        <v>0</v>
      </c>
      <c r="AO243">
        <v>1</v>
      </c>
      <c r="AP243">
        <v>0</v>
      </c>
      <c r="AQ243">
        <v>0</v>
      </c>
      <c r="AR243">
        <v>0</v>
      </c>
      <c r="AS243" t="s">
        <v>3</v>
      </c>
      <c r="AT243">
        <v>0.09</v>
      </c>
      <c r="AU243" t="s">
        <v>3</v>
      </c>
      <c r="AV243">
        <v>0</v>
      </c>
      <c r="AW243">
        <v>2</v>
      </c>
      <c r="AX243">
        <v>45038606</v>
      </c>
      <c r="AY243">
        <v>1</v>
      </c>
      <c r="AZ243">
        <v>0</v>
      </c>
      <c r="BA243">
        <v>241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CX243">
        <f>Y243*Source!I272</f>
        <v>0.315</v>
      </c>
      <c r="CY243">
        <f>AA243</f>
        <v>51.42</v>
      </c>
      <c r="CZ243">
        <f>AE243</f>
        <v>40.17</v>
      </c>
      <c r="DA243">
        <f>AI243</f>
        <v>1.28</v>
      </c>
      <c r="DB243">
        <v>0</v>
      </c>
    </row>
    <row r="244" spans="1:106" x14ac:dyDescent="0.2">
      <c r="A244">
        <f>ROW(Source!A272)</f>
        <v>272</v>
      </c>
      <c r="B244">
        <v>45037307</v>
      </c>
      <c r="C244">
        <v>45037969</v>
      </c>
      <c r="D244">
        <v>22704018</v>
      </c>
      <c r="E244">
        <v>1</v>
      </c>
      <c r="F244">
        <v>1</v>
      </c>
      <c r="G244">
        <v>22652947</v>
      </c>
      <c r="H244">
        <v>3</v>
      </c>
      <c r="I244" t="s">
        <v>341</v>
      </c>
      <c r="J244" t="s">
        <v>343</v>
      </c>
      <c r="K244" t="s">
        <v>342</v>
      </c>
      <c r="L244">
        <v>1327</v>
      </c>
      <c r="N244">
        <v>1005</v>
      </c>
      <c r="O244" t="s">
        <v>101</v>
      </c>
      <c r="P244" t="s">
        <v>101</v>
      </c>
      <c r="Q244">
        <v>1</v>
      </c>
      <c r="W244">
        <v>0</v>
      </c>
      <c r="X244">
        <v>1185441805</v>
      </c>
      <c r="Y244">
        <v>0.9</v>
      </c>
      <c r="AA244">
        <v>1641.49</v>
      </c>
      <c r="AB244">
        <v>0</v>
      </c>
      <c r="AC244">
        <v>0</v>
      </c>
      <c r="AD244">
        <v>0</v>
      </c>
      <c r="AE244">
        <v>175.56</v>
      </c>
      <c r="AF244">
        <v>0</v>
      </c>
      <c r="AG244">
        <v>0</v>
      </c>
      <c r="AH244">
        <v>0</v>
      </c>
      <c r="AI244">
        <v>9.35</v>
      </c>
      <c r="AJ244">
        <v>1</v>
      </c>
      <c r="AK244">
        <v>1</v>
      </c>
      <c r="AL244">
        <v>1</v>
      </c>
      <c r="AN244">
        <v>0</v>
      </c>
      <c r="AO244">
        <v>0</v>
      </c>
      <c r="AP244">
        <v>0</v>
      </c>
      <c r="AQ244">
        <v>0</v>
      </c>
      <c r="AR244">
        <v>0</v>
      </c>
      <c r="AS244" t="s">
        <v>3</v>
      </c>
      <c r="AT244">
        <v>0.9</v>
      </c>
      <c r="AU244" t="s">
        <v>3</v>
      </c>
      <c r="AV244">
        <v>0</v>
      </c>
      <c r="AW244">
        <v>1</v>
      </c>
      <c r="AX244">
        <v>-1</v>
      </c>
      <c r="AY244">
        <v>0</v>
      </c>
      <c r="AZ244">
        <v>0</v>
      </c>
      <c r="BA244" t="s">
        <v>3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CX244">
        <f>Y244*Source!I272</f>
        <v>3.15</v>
      </c>
      <c r="CY244">
        <f>AA244</f>
        <v>1641.49</v>
      </c>
      <c r="CZ244">
        <f>AE244</f>
        <v>175.56</v>
      </c>
      <c r="DA244">
        <f>AI244</f>
        <v>9.35</v>
      </c>
      <c r="DB244">
        <v>0</v>
      </c>
    </row>
    <row r="245" spans="1:106" x14ac:dyDescent="0.2">
      <c r="A245">
        <f>ROW(Source!A275)</f>
        <v>275</v>
      </c>
      <c r="B245">
        <v>45037306</v>
      </c>
      <c r="C245">
        <v>45037983</v>
      </c>
      <c r="D245">
        <v>22652952</v>
      </c>
      <c r="E245">
        <v>22652947</v>
      </c>
      <c r="F245">
        <v>1</v>
      </c>
      <c r="G245">
        <v>22652947</v>
      </c>
      <c r="H245">
        <v>1</v>
      </c>
      <c r="I245" t="s">
        <v>617</v>
      </c>
      <c r="J245" t="s">
        <v>3</v>
      </c>
      <c r="K245" t="s">
        <v>618</v>
      </c>
      <c r="L245">
        <v>1191</v>
      </c>
      <c r="N245">
        <v>1013</v>
      </c>
      <c r="O245" t="s">
        <v>619</v>
      </c>
      <c r="P245" t="s">
        <v>619</v>
      </c>
      <c r="Q245">
        <v>1</v>
      </c>
      <c r="W245">
        <v>0</v>
      </c>
      <c r="X245">
        <v>476480486</v>
      </c>
      <c r="Y245">
        <v>4.4619999999999997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1</v>
      </c>
      <c r="AJ245">
        <v>1</v>
      </c>
      <c r="AK245">
        <v>1</v>
      </c>
      <c r="AL245">
        <v>1</v>
      </c>
      <c r="AN245">
        <v>0</v>
      </c>
      <c r="AO245">
        <v>1</v>
      </c>
      <c r="AP245">
        <v>1</v>
      </c>
      <c r="AQ245">
        <v>0</v>
      </c>
      <c r="AR245">
        <v>0</v>
      </c>
      <c r="AS245" t="s">
        <v>3</v>
      </c>
      <c r="AT245">
        <v>3.88</v>
      </c>
      <c r="AU245" t="s">
        <v>37</v>
      </c>
      <c r="AV245">
        <v>1</v>
      </c>
      <c r="AW245">
        <v>2</v>
      </c>
      <c r="AX245">
        <v>45038608</v>
      </c>
      <c r="AY245">
        <v>1</v>
      </c>
      <c r="AZ245">
        <v>0</v>
      </c>
      <c r="BA245">
        <v>243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CX245">
        <f>Y245*Source!I275</f>
        <v>3.5695999999999999</v>
      </c>
      <c r="CY245">
        <f>AD245</f>
        <v>0</v>
      </c>
      <c r="CZ245">
        <f>AH245</f>
        <v>0</v>
      </c>
      <c r="DA245">
        <f>AL245</f>
        <v>1</v>
      </c>
      <c r="DB245">
        <v>0</v>
      </c>
    </row>
    <row r="246" spans="1:106" x14ac:dyDescent="0.2">
      <c r="A246">
        <f>ROW(Source!A275)</f>
        <v>275</v>
      </c>
      <c r="B246">
        <v>45037306</v>
      </c>
      <c r="C246">
        <v>45037983</v>
      </c>
      <c r="D246">
        <v>22725874</v>
      </c>
      <c r="E246">
        <v>1</v>
      </c>
      <c r="F246">
        <v>1</v>
      </c>
      <c r="G246">
        <v>22652947</v>
      </c>
      <c r="H246">
        <v>2</v>
      </c>
      <c r="I246" t="s">
        <v>735</v>
      </c>
      <c r="J246" t="s">
        <v>736</v>
      </c>
      <c r="K246" t="s">
        <v>737</v>
      </c>
      <c r="L246">
        <v>1367</v>
      </c>
      <c r="N246">
        <v>1011</v>
      </c>
      <c r="O246" t="s">
        <v>623</v>
      </c>
      <c r="P246" t="s">
        <v>623</v>
      </c>
      <c r="Q246">
        <v>1</v>
      </c>
      <c r="W246">
        <v>0</v>
      </c>
      <c r="X246">
        <v>1513897141</v>
      </c>
      <c r="Y246">
        <v>6.25E-2</v>
      </c>
      <c r="AA246">
        <v>0</v>
      </c>
      <c r="AB246">
        <v>42.2</v>
      </c>
      <c r="AC246">
        <v>18.38</v>
      </c>
      <c r="AD246">
        <v>0</v>
      </c>
      <c r="AE246">
        <v>0</v>
      </c>
      <c r="AF246">
        <v>42.2</v>
      </c>
      <c r="AG246">
        <v>18.38</v>
      </c>
      <c r="AH246">
        <v>0</v>
      </c>
      <c r="AI246">
        <v>1</v>
      </c>
      <c r="AJ246">
        <v>1</v>
      </c>
      <c r="AK246">
        <v>1</v>
      </c>
      <c r="AL246">
        <v>1</v>
      </c>
      <c r="AN246">
        <v>0</v>
      </c>
      <c r="AO246">
        <v>1</v>
      </c>
      <c r="AP246">
        <v>1</v>
      </c>
      <c r="AQ246">
        <v>0</v>
      </c>
      <c r="AR246">
        <v>0</v>
      </c>
      <c r="AS246" t="s">
        <v>3</v>
      </c>
      <c r="AT246">
        <v>0.05</v>
      </c>
      <c r="AU246" t="s">
        <v>36</v>
      </c>
      <c r="AV246">
        <v>0</v>
      </c>
      <c r="AW246">
        <v>2</v>
      </c>
      <c r="AX246">
        <v>45038609</v>
      </c>
      <c r="AY246">
        <v>1</v>
      </c>
      <c r="AZ246">
        <v>0</v>
      </c>
      <c r="BA246">
        <v>244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CX246">
        <f>Y246*Source!I275</f>
        <v>0.05</v>
      </c>
      <c r="CY246">
        <f>AB246</f>
        <v>42.2</v>
      </c>
      <c r="CZ246">
        <f>AF246</f>
        <v>42.2</v>
      </c>
      <c r="DA246">
        <f>AJ246</f>
        <v>1</v>
      </c>
      <c r="DB246">
        <v>0</v>
      </c>
    </row>
    <row r="247" spans="1:106" x14ac:dyDescent="0.2">
      <c r="A247">
        <f>ROW(Source!A275)</f>
        <v>275</v>
      </c>
      <c r="B247">
        <v>45037306</v>
      </c>
      <c r="C247">
        <v>45037983</v>
      </c>
      <c r="D247">
        <v>22725860</v>
      </c>
      <c r="E247">
        <v>1</v>
      </c>
      <c r="F247">
        <v>1</v>
      </c>
      <c r="G247">
        <v>22652947</v>
      </c>
      <c r="H247">
        <v>2</v>
      </c>
      <c r="I247" t="s">
        <v>660</v>
      </c>
      <c r="J247" t="s">
        <v>661</v>
      </c>
      <c r="K247" t="s">
        <v>662</v>
      </c>
      <c r="L247">
        <v>1367</v>
      </c>
      <c r="N247">
        <v>1011</v>
      </c>
      <c r="O247" t="s">
        <v>623</v>
      </c>
      <c r="P247" t="s">
        <v>623</v>
      </c>
      <c r="Q247">
        <v>1</v>
      </c>
      <c r="W247">
        <v>0</v>
      </c>
      <c r="X247">
        <v>-628430174</v>
      </c>
      <c r="Y247">
        <v>8.7500000000000008E-2</v>
      </c>
      <c r="AA247">
        <v>0</v>
      </c>
      <c r="AB247">
        <v>76.81</v>
      </c>
      <c r="AC247">
        <v>14.36</v>
      </c>
      <c r="AD247">
        <v>0</v>
      </c>
      <c r="AE247">
        <v>0</v>
      </c>
      <c r="AF247">
        <v>76.81</v>
      </c>
      <c r="AG247">
        <v>14.36</v>
      </c>
      <c r="AH247">
        <v>0</v>
      </c>
      <c r="AI247">
        <v>1</v>
      </c>
      <c r="AJ247">
        <v>1</v>
      </c>
      <c r="AK247">
        <v>1</v>
      </c>
      <c r="AL247">
        <v>1</v>
      </c>
      <c r="AN247">
        <v>0</v>
      </c>
      <c r="AO247">
        <v>1</v>
      </c>
      <c r="AP247">
        <v>1</v>
      </c>
      <c r="AQ247">
        <v>0</v>
      </c>
      <c r="AR247">
        <v>0</v>
      </c>
      <c r="AS247" t="s">
        <v>3</v>
      </c>
      <c r="AT247">
        <v>7.0000000000000007E-2</v>
      </c>
      <c r="AU247" t="s">
        <v>36</v>
      </c>
      <c r="AV247">
        <v>0</v>
      </c>
      <c r="AW247">
        <v>2</v>
      </c>
      <c r="AX247">
        <v>45038610</v>
      </c>
      <c r="AY247">
        <v>1</v>
      </c>
      <c r="AZ247">
        <v>0</v>
      </c>
      <c r="BA247">
        <v>245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CX247">
        <f>Y247*Source!I275</f>
        <v>7.0000000000000007E-2</v>
      </c>
      <c r="CY247">
        <f>AB247</f>
        <v>76.81</v>
      </c>
      <c r="CZ247">
        <f>AF247</f>
        <v>76.81</v>
      </c>
      <c r="DA247">
        <f>AJ247</f>
        <v>1</v>
      </c>
      <c r="DB247">
        <v>0</v>
      </c>
    </row>
    <row r="248" spans="1:106" x14ac:dyDescent="0.2">
      <c r="A248">
        <f>ROW(Source!A275)</f>
        <v>275</v>
      </c>
      <c r="B248">
        <v>45037306</v>
      </c>
      <c r="C248">
        <v>45037983</v>
      </c>
      <c r="D248">
        <v>22700967</v>
      </c>
      <c r="E248">
        <v>1</v>
      </c>
      <c r="F248">
        <v>1</v>
      </c>
      <c r="G248">
        <v>22652947</v>
      </c>
      <c r="H248">
        <v>3</v>
      </c>
      <c r="I248" t="s">
        <v>273</v>
      </c>
      <c r="J248" t="s">
        <v>275</v>
      </c>
      <c r="K248" t="s">
        <v>274</v>
      </c>
      <c r="L248">
        <v>1339</v>
      </c>
      <c r="N248">
        <v>1007</v>
      </c>
      <c r="O248" t="s">
        <v>80</v>
      </c>
      <c r="P248" t="s">
        <v>80</v>
      </c>
      <c r="Q248">
        <v>1</v>
      </c>
      <c r="W248">
        <v>0</v>
      </c>
      <c r="X248">
        <v>-862991314</v>
      </c>
      <c r="Y248">
        <v>2.5000000000000001E-2</v>
      </c>
      <c r="AA248">
        <v>7.07</v>
      </c>
      <c r="AB248">
        <v>0</v>
      </c>
      <c r="AC248">
        <v>0</v>
      </c>
      <c r="AD248">
        <v>0</v>
      </c>
      <c r="AE248">
        <v>7.07</v>
      </c>
      <c r="AF248">
        <v>0</v>
      </c>
      <c r="AG248">
        <v>0</v>
      </c>
      <c r="AH248">
        <v>0</v>
      </c>
      <c r="AI248">
        <v>1</v>
      </c>
      <c r="AJ248">
        <v>1</v>
      </c>
      <c r="AK248">
        <v>1</v>
      </c>
      <c r="AL248">
        <v>1</v>
      </c>
      <c r="AN248">
        <v>0</v>
      </c>
      <c r="AO248">
        <v>1</v>
      </c>
      <c r="AP248">
        <v>0</v>
      </c>
      <c r="AQ248">
        <v>0</v>
      </c>
      <c r="AR248">
        <v>0</v>
      </c>
      <c r="AS248" t="s">
        <v>3</v>
      </c>
      <c r="AT248">
        <v>2.5000000000000001E-2</v>
      </c>
      <c r="AU248" t="s">
        <v>3</v>
      </c>
      <c r="AV248">
        <v>0</v>
      </c>
      <c r="AW248">
        <v>2</v>
      </c>
      <c r="AX248">
        <v>45038611</v>
      </c>
      <c r="AY248">
        <v>1</v>
      </c>
      <c r="AZ248">
        <v>0</v>
      </c>
      <c r="BA248">
        <v>246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CX248">
        <f>Y248*Source!I275</f>
        <v>2.0000000000000004E-2</v>
      </c>
      <c r="CY248">
        <f>AA248</f>
        <v>7.07</v>
      </c>
      <c r="CZ248">
        <f>AE248</f>
        <v>7.07</v>
      </c>
      <c r="DA248">
        <f>AI248</f>
        <v>1</v>
      </c>
      <c r="DB248">
        <v>0</v>
      </c>
    </row>
    <row r="249" spans="1:106" x14ac:dyDescent="0.2">
      <c r="A249">
        <f>ROW(Source!A275)</f>
        <v>275</v>
      </c>
      <c r="B249">
        <v>45037306</v>
      </c>
      <c r="C249">
        <v>45037983</v>
      </c>
      <c r="D249">
        <v>22719596</v>
      </c>
      <c r="E249">
        <v>1</v>
      </c>
      <c r="F249">
        <v>1</v>
      </c>
      <c r="G249">
        <v>22652947</v>
      </c>
      <c r="H249">
        <v>3</v>
      </c>
      <c r="I249" t="s">
        <v>351</v>
      </c>
      <c r="J249" t="s">
        <v>353</v>
      </c>
      <c r="K249" t="s">
        <v>352</v>
      </c>
      <c r="L249">
        <v>1348</v>
      </c>
      <c r="N249">
        <v>1009</v>
      </c>
      <c r="O249" t="s">
        <v>29</v>
      </c>
      <c r="P249" t="s">
        <v>29</v>
      </c>
      <c r="Q249">
        <v>1000</v>
      </c>
      <c r="W249">
        <v>0</v>
      </c>
      <c r="X249">
        <v>597656424</v>
      </c>
      <c r="Y249">
        <v>0.14349999999999999</v>
      </c>
      <c r="AA249">
        <v>575.97</v>
      </c>
      <c r="AB249">
        <v>0</v>
      </c>
      <c r="AC249">
        <v>0</v>
      </c>
      <c r="AD249">
        <v>0</v>
      </c>
      <c r="AE249">
        <v>575.97</v>
      </c>
      <c r="AF249">
        <v>0</v>
      </c>
      <c r="AG249">
        <v>0</v>
      </c>
      <c r="AH249">
        <v>0</v>
      </c>
      <c r="AI249">
        <v>1</v>
      </c>
      <c r="AJ249">
        <v>1</v>
      </c>
      <c r="AK249">
        <v>1</v>
      </c>
      <c r="AL249">
        <v>1</v>
      </c>
      <c r="AN249">
        <v>0</v>
      </c>
      <c r="AO249">
        <v>0</v>
      </c>
      <c r="AP249">
        <v>0</v>
      </c>
      <c r="AQ249">
        <v>0</v>
      </c>
      <c r="AR249">
        <v>0</v>
      </c>
      <c r="AS249" t="s">
        <v>3</v>
      </c>
      <c r="AT249">
        <v>0.14349999999999999</v>
      </c>
      <c r="AU249" t="s">
        <v>3</v>
      </c>
      <c r="AV249">
        <v>0</v>
      </c>
      <c r="AW249">
        <v>1</v>
      </c>
      <c r="AX249">
        <v>-1</v>
      </c>
      <c r="AY249">
        <v>0</v>
      </c>
      <c r="AZ249">
        <v>0</v>
      </c>
      <c r="BA249" t="s">
        <v>3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0</v>
      </c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0</v>
      </c>
      <c r="BW249">
        <v>0</v>
      </c>
      <c r="CX249">
        <f>Y249*Source!I275</f>
        <v>0.1148</v>
      </c>
      <c r="CY249">
        <f>AA249</f>
        <v>575.97</v>
      </c>
      <c r="CZ249">
        <f>AE249</f>
        <v>575.97</v>
      </c>
      <c r="DA249">
        <f>AI249</f>
        <v>1</v>
      </c>
      <c r="DB249">
        <v>0</v>
      </c>
    </row>
    <row r="250" spans="1:106" x14ac:dyDescent="0.2">
      <c r="A250">
        <f>ROW(Source!A275)</f>
        <v>275</v>
      </c>
      <c r="B250">
        <v>45037306</v>
      </c>
      <c r="C250">
        <v>45037983</v>
      </c>
      <c r="D250">
        <v>22720771</v>
      </c>
      <c r="E250">
        <v>1</v>
      </c>
      <c r="F250">
        <v>1</v>
      </c>
      <c r="G250">
        <v>22652947</v>
      </c>
      <c r="H250">
        <v>3</v>
      </c>
      <c r="I250" t="s">
        <v>355</v>
      </c>
      <c r="J250" t="s">
        <v>357</v>
      </c>
      <c r="K250" t="s">
        <v>356</v>
      </c>
      <c r="L250">
        <v>1327</v>
      </c>
      <c r="N250">
        <v>1005</v>
      </c>
      <c r="O250" t="s">
        <v>101</v>
      </c>
      <c r="P250" t="s">
        <v>101</v>
      </c>
      <c r="Q250">
        <v>1</v>
      </c>
      <c r="W250">
        <v>0</v>
      </c>
      <c r="X250">
        <v>-113972751</v>
      </c>
      <c r="Y250">
        <v>3.6</v>
      </c>
      <c r="AA250">
        <v>227.22</v>
      </c>
      <c r="AB250">
        <v>0</v>
      </c>
      <c r="AC250">
        <v>0</v>
      </c>
      <c r="AD250">
        <v>0</v>
      </c>
      <c r="AE250">
        <v>227.22</v>
      </c>
      <c r="AF250">
        <v>0</v>
      </c>
      <c r="AG250">
        <v>0</v>
      </c>
      <c r="AH250">
        <v>0</v>
      </c>
      <c r="AI250">
        <v>1</v>
      </c>
      <c r="AJ250">
        <v>1</v>
      </c>
      <c r="AK250">
        <v>1</v>
      </c>
      <c r="AL250">
        <v>1</v>
      </c>
      <c r="AN250">
        <v>0</v>
      </c>
      <c r="AO250">
        <v>0</v>
      </c>
      <c r="AP250">
        <v>0</v>
      </c>
      <c r="AQ250">
        <v>0</v>
      </c>
      <c r="AR250">
        <v>0</v>
      </c>
      <c r="AS250" t="s">
        <v>3</v>
      </c>
      <c r="AT250">
        <v>3.6</v>
      </c>
      <c r="AU250" t="s">
        <v>3</v>
      </c>
      <c r="AV250">
        <v>0</v>
      </c>
      <c r="AW250">
        <v>1</v>
      </c>
      <c r="AX250">
        <v>-1</v>
      </c>
      <c r="AY250">
        <v>0</v>
      </c>
      <c r="AZ250">
        <v>0</v>
      </c>
      <c r="BA250" t="s">
        <v>3</v>
      </c>
      <c r="BB250">
        <v>0</v>
      </c>
      <c r="BC250">
        <v>0</v>
      </c>
      <c r="BD250">
        <v>0</v>
      </c>
      <c r="BE250">
        <v>0</v>
      </c>
      <c r="BF250">
        <v>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0</v>
      </c>
      <c r="BQ250">
        <v>0</v>
      </c>
      <c r="BR250">
        <v>0</v>
      </c>
      <c r="BS250">
        <v>0</v>
      </c>
      <c r="BT250">
        <v>0</v>
      </c>
      <c r="BU250">
        <v>0</v>
      </c>
      <c r="BV250">
        <v>0</v>
      </c>
      <c r="BW250">
        <v>0</v>
      </c>
      <c r="CX250">
        <f>Y250*Source!I275</f>
        <v>2.8800000000000003</v>
      </c>
      <c r="CY250">
        <f>AA250</f>
        <v>227.22</v>
      </c>
      <c r="CZ250">
        <f>AE250</f>
        <v>227.22</v>
      </c>
      <c r="DA250">
        <f>AI250</f>
        <v>1</v>
      </c>
      <c r="DB250">
        <v>0</v>
      </c>
    </row>
    <row r="251" spans="1:106" x14ac:dyDescent="0.2">
      <c r="A251">
        <f>ROW(Source!A276)</f>
        <v>276</v>
      </c>
      <c r="B251">
        <v>45037307</v>
      </c>
      <c r="C251">
        <v>45037983</v>
      </c>
      <c r="D251">
        <v>22652952</v>
      </c>
      <c r="E251">
        <v>22652947</v>
      </c>
      <c r="F251">
        <v>1</v>
      </c>
      <c r="G251">
        <v>22652947</v>
      </c>
      <c r="H251">
        <v>1</v>
      </c>
      <c r="I251" t="s">
        <v>617</v>
      </c>
      <c r="J251" t="s">
        <v>3</v>
      </c>
      <c r="K251" t="s">
        <v>618</v>
      </c>
      <c r="L251">
        <v>1191</v>
      </c>
      <c r="N251">
        <v>1013</v>
      </c>
      <c r="O251" t="s">
        <v>619</v>
      </c>
      <c r="P251" t="s">
        <v>619</v>
      </c>
      <c r="Q251">
        <v>1</v>
      </c>
      <c r="W251">
        <v>0</v>
      </c>
      <c r="X251">
        <v>476480486</v>
      </c>
      <c r="Y251">
        <v>4.4619999999999997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1</v>
      </c>
      <c r="AJ251">
        <v>1</v>
      </c>
      <c r="AK251">
        <v>1</v>
      </c>
      <c r="AL251">
        <v>1</v>
      </c>
      <c r="AN251">
        <v>0</v>
      </c>
      <c r="AO251">
        <v>1</v>
      </c>
      <c r="AP251">
        <v>1</v>
      </c>
      <c r="AQ251">
        <v>0</v>
      </c>
      <c r="AR251">
        <v>0</v>
      </c>
      <c r="AS251" t="s">
        <v>3</v>
      </c>
      <c r="AT251">
        <v>3.88</v>
      </c>
      <c r="AU251" t="s">
        <v>37</v>
      </c>
      <c r="AV251">
        <v>1</v>
      </c>
      <c r="AW251">
        <v>2</v>
      </c>
      <c r="AX251">
        <v>45038608</v>
      </c>
      <c r="AY251">
        <v>1</v>
      </c>
      <c r="AZ251">
        <v>0</v>
      </c>
      <c r="BA251">
        <v>249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CX251">
        <f>Y251*Source!I276</f>
        <v>3.5695999999999999</v>
      </c>
      <c r="CY251">
        <f>AD251</f>
        <v>0</v>
      </c>
      <c r="CZ251">
        <f>AH251</f>
        <v>0</v>
      </c>
      <c r="DA251">
        <f>AL251</f>
        <v>1</v>
      </c>
      <c r="DB251">
        <v>0</v>
      </c>
    </row>
    <row r="252" spans="1:106" x14ac:dyDescent="0.2">
      <c r="A252">
        <f>ROW(Source!A276)</f>
        <v>276</v>
      </c>
      <c r="B252">
        <v>45037307</v>
      </c>
      <c r="C252">
        <v>45037983</v>
      </c>
      <c r="D252">
        <v>22725874</v>
      </c>
      <c r="E252">
        <v>1</v>
      </c>
      <c r="F252">
        <v>1</v>
      </c>
      <c r="G252">
        <v>22652947</v>
      </c>
      <c r="H252">
        <v>2</v>
      </c>
      <c r="I252" t="s">
        <v>735</v>
      </c>
      <c r="J252" t="s">
        <v>736</v>
      </c>
      <c r="K252" t="s">
        <v>737</v>
      </c>
      <c r="L252">
        <v>1367</v>
      </c>
      <c r="N252">
        <v>1011</v>
      </c>
      <c r="O252" t="s">
        <v>623</v>
      </c>
      <c r="P252" t="s">
        <v>623</v>
      </c>
      <c r="Q252">
        <v>1</v>
      </c>
      <c r="W252">
        <v>0</v>
      </c>
      <c r="X252">
        <v>1513897141</v>
      </c>
      <c r="Y252">
        <v>6.25E-2</v>
      </c>
      <c r="AA252">
        <v>0</v>
      </c>
      <c r="AB252">
        <v>459.14</v>
      </c>
      <c r="AC252">
        <v>374.95</v>
      </c>
      <c r="AD252">
        <v>0</v>
      </c>
      <c r="AE252">
        <v>0</v>
      </c>
      <c r="AF252">
        <v>42.2</v>
      </c>
      <c r="AG252">
        <v>18.38</v>
      </c>
      <c r="AH252">
        <v>0</v>
      </c>
      <c r="AI252">
        <v>1</v>
      </c>
      <c r="AJ252">
        <v>10.88</v>
      </c>
      <c r="AK252">
        <v>20.399999999999999</v>
      </c>
      <c r="AL252">
        <v>1</v>
      </c>
      <c r="AN252">
        <v>0</v>
      </c>
      <c r="AO252">
        <v>1</v>
      </c>
      <c r="AP252">
        <v>1</v>
      </c>
      <c r="AQ252">
        <v>0</v>
      </c>
      <c r="AR252">
        <v>0</v>
      </c>
      <c r="AS252" t="s">
        <v>3</v>
      </c>
      <c r="AT252">
        <v>0.05</v>
      </c>
      <c r="AU252" t="s">
        <v>36</v>
      </c>
      <c r="AV252">
        <v>0</v>
      </c>
      <c r="AW252">
        <v>2</v>
      </c>
      <c r="AX252">
        <v>45038609</v>
      </c>
      <c r="AY252">
        <v>1</v>
      </c>
      <c r="AZ252">
        <v>0</v>
      </c>
      <c r="BA252">
        <v>250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CX252">
        <f>Y252*Source!I276</f>
        <v>0.05</v>
      </c>
      <c r="CY252">
        <f>AB252</f>
        <v>459.14</v>
      </c>
      <c r="CZ252">
        <f>AF252</f>
        <v>42.2</v>
      </c>
      <c r="DA252">
        <f>AJ252</f>
        <v>10.88</v>
      </c>
      <c r="DB252">
        <v>0</v>
      </c>
    </row>
    <row r="253" spans="1:106" x14ac:dyDescent="0.2">
      <c r="A253">
        <f>ROW(Source!A276)</f>
        <v>276</v>
      </c>
      <c r="B253">
        <v>45037307</v>
      </c>
      <c r="C253">
        <v>45037983</v>
      </c>
      <c r="D253">
        <v>22725860</v>
      </c>
      <c r="E253">
        <v>1</v>
      </c>
      <c r="F253">
        <v>1</v>
      </c>
      <c r="G253">
        <v>22652947</v>
      </c>
      <c r="H253">
        <v>2</v>
      </c>
      <c r="I253" t="s">
        <v>660</v>
      </c>
      <c r="J253" t="s">
        <v>661</v>
      </c>
      <c r="K253" t="s">
        <v>662</v>
      </c>
      <c r="L253">
        <v>1367</v>
      </c>
      <c r="N253">
        <v>1011</v>
      </c>
      <c r="O253" t="s">
        <v>623</v>
      </c>
      <c r="P253" t="s">
        <v>623</v>
      </c>
      <c r="Q253">
        <v>1</v>
      </c>
      <c r="W253">
        <v>0</v>
      </c>
      <c r="X253">
        <v>-628430174</v>
      </c>
      <c r="Y253">
        <v>8.7500000000000008E-2</v>
      </c>
      <c r="AA253">
        <v>0</v>
      </c>
      <c r="AB253">
        <v>606.79999999999995</v>
      </c>
      <c r="AC253">
        <v>292.94</v>
      </c>
      <c r="AD253">
        <v>0</v>
      </c>
      <c r="AE253">
        <v>0</v>
      </c>
      <c r="AF253">
        <v>76.81</v>
      </c>
      <c r="AG253">
        <v>14.36</v>
      </c>
      <c r="AH253">
        <v>0</v>
      </c>
      <c r="AI253">
        <v>1</v>
      </c>
      <c r="AJ253">
        <v>7.9</v>
      </c>
      <c r="AK253">
        <v>20.399999999999999</v>
      </c>
      <c r="AL253">
        <v>1</v>
      </c>
      <c r="AN253">
        <v>0</v>
      </c>
      <c r="AO253">
        <v>1</v>
      </c>
      <c r="AP253">
        <v>1</v>
      </c>
      <c r="AQ253">
        <v>0</v>
      </c>
      <c r="AR253">
        <v>0</v>
      </c>
      <c r="AS253" t="s">
        <v>3</v>
      </c>
      <c r="AT253">
        <v>7.0000000000000007E-2</v>
      </c>
      <c r="AU253" t="s">
        <v>36</v>
      </c>
      <c r="AV253">
        <v>0</v>
      </c>
      <c r="AW253">
        <v>2</v>
      </c>
      <c r="AX253">
        <v>45038610</v>
      </c>
      <c r="AY253">
        <v>1</v>
      </c>
      <c r="AZ253">
        <v>0</v>
      </c>
      <c r="BA253">
        <v>251</v>
      </c>
      <c r="BB253">
        <v>0</v>
      </c>
      <c r="BC253">
        <v>0</v>
      </c>
      <c r="BD253">
        <v>0</v>
      </c>
      <c r="BE253">
        <v>0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CX253">
        <f>Y253*Source!I276</f>
        <v>7.0000000000000007E-2</v>
      </c>
      <c r="CY253">
        <f>AB253</f>
        <v>606.79999999999995</v>
      </c>
      <c r="CZ253">
        <f>AF253</f>
        <v>76.81</v>
      </c>
      <c r="DA253">
        <f>AJ253</f>
        <v>7.9</v>
      </c>
      <c r="DB253">
        <v>0</v>
      </c>
    </row>
    <row r="254" spans="1:106" x14ac:dyDescent="0.2">
      <c r="A254">
        <f>ROW(Source!A276)</f>
        <v>276</v>
      </c>
      <c r="B254">
        <v>45037307</v>
      </c>
      <c r="C254">
        <v>45037983</v>
      </c>
      <c r="D254">
        <v>22700967</v>
      </c>
      <c r="E254">
        <v>1</v>
      </c>
      <c r="F254">
        <v>1</v>
      </c>
      <c r="G254">
        <v>22652947</v>
      </c>
      <c r="H254">
        <v>3</v>
      </c>
      <c r="I254" t="s">
        <v>273</v>
      </c>
      <c r="J254" t="s">
        <v>275</v>
      </c>
      <c r="K254" t="s">
        <v>274</v>
      </c>
      <c r="L254">
        <v>1339</v>
      </c>
      <c r="N254">
        <v>1007</v>
      </c>
      <c r="O254" t="s">
        <v>80</v>
      </c>
      <c r="P254" t="s">
        <v>80</v>
      </c>
      <c r="Q254">
        <v>1</v>
      </c>
      <c r="W254">
        <v>0</v>
      </c>
      <c r="X254">
        <v>-862991314</v>
      </c>
      <c r="Y254">
        <v>2.5000000000000001E-2</v>
      </c>
      <c r="AA254">
        <v>29.98</v>
      </c>
      <c r="AB254">
        <v>0</v>
      </c>
      <c r="AC254">
        <v>0</v>
      </c>
      <c r="AD254">
        <v>0</v>
      </c>
      <c r="AE254">
        <v>7.07</v>
      </c>
      <c r="AF254">
        <v>0</v>
      </c>
      <c r="AG254">
        <v>0</v>
      </c>
      <c r="AH254">
        <v>0</v>
      </c>
      <c r="AI254">
        <v>4.24</v>
      </c>
      <c r="AJ254">
        <v>1</v>
      </c>
      <c r="AK254">
        <v>1</v>
      </c>
      <c r="AL254">
        <v>1</v>
      </c>
      <c r="AN254">
        <v>0</v>
      </c>
      <c r="AO254">
        <v>1</v>
      </c>
      <c r="AP254">
        <v>0</v>
      </c>
      <c r="AQ254">
        <v>0</v>
      </c>
      <c r="AR254">
        <v>0</v>
      </c>
      <c r="AS254" t="s">
        <v>3</v>
      </c>
      <c r="AT254">
        <v>2.5000000000000001E-2</v>
      </c>
      <c r="AU254" t="s">
        <v>3</v>
      </c>
      <c r="AV254">
        <v>0</v>
      </c>
      <c r="AW254">
        <v>2</v>
      </c>
      <c r="AX254">
        <v>45038611</v>
      </c>
      <c r="AY254">
        <v>1</v>
      </c>
      <c r="AZ254">
        <v>0</v>
      </c>
      <c r="BA254">
        <v>252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0</v>
      </c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CX254">
        <f>Y254*Source!I276</f>
        <v>2.0000000000000004E-2</v>
      </c>
      <c r="CY254">
        <f>AA254</f>
        <v>29.98</v>
      </c>
      <c r="CZ254">
        <f>AE254</f>
        <v>7.07</v>
      </c>
      <c r="DA254">
        <f>AI254</f>
        <v>4.24</v>
      </c>
      <c r="DB254">
        <v>0</v>
      </c>
    </row>
    <row r="255" spans="1:106" x14ac:dyDescent="0.2">
      <c r="A255">
        <f>ROW(Source!A276)</f>
        <v>276</v>
      </c>
      <c r="B255">
        <v>45037307</v>
      </c>
      <c r="C255">
        <v>45037983</v>
      </c>
      <c r="D255">
        <v>22719596</v>
      </c>
      <c r="E255">
        <v>1</v>
      </c>
      <c r="F255">
        <v>1</v>
      </c>
      <c r="G255">
        <v>22652947</v>
      </c>
      <c r="H255">
        <v>3</v>
      </c>
      <c r="I255" t="s">
        <v>351</v>
      </c>
      <c r="J255" t="s">
        <v>353</v>
      </c>
      <c r="K255" t="s">
        <v>352</v>
      </c>
      <c r="L255">
        <v>1348</v>
      </c>
      <c r="N255">
        <v>1009</v>
      </c>
      <c r="O255" t="s">
        <v>29</v>
      </c>
      <c r="P255" t="s">
        <v>29</v>
      </c>
      <c r="Q255">
        <v>1000</v>
      </c>
      <c r="W255">
        <v>0</v>
      </c>
      <c r="X255">
        <v>597656424</v>
      </c>
      <c r="Y255">
        <v>0.14349999999999999</v>
      </c>
      <c r="AA255">
        <v>2937.45</v>
      </c>
      <c r="AB255">
        <v>0</v>
      </c>
      <c r="AC255">
        <v>0</v>
      </c>
      <c r="AD255">
        <v>0</v>
      </c>
      <c r="AE255">
        <v>575.97</v>
      </c>
      <c r="AF255">
        <v>0</v>
      </c>
      <c r="AG255">
        <v>0</v>
      </c>
      <c r="AH255">
        <v>0</v>
      </c>
      <c r="AI255">
        <v>5.0999999999999996</v>
      </c>
      <c r="AJ255">
        <v>1</v>
      </c>
      <c r="AK255">
        <v>1</v>
      </c>
      <c r="AL255">
        <v>1</v>
      </c>
      <c r="AN255">
        <v>0</v>
      </c>
      <c r="AO255">
        <v>0</v>
      </c>
      <c r="AP255">
        <v>0</v>
      </c>
      <c r="AQ255">
        <v>0</v>
      </c>
      <c r="AR255">
        <v>0</v>
      </c>
      <c r="AS255" t="s">
        <v>3</v>
      </c>
      <c r="AT255">
        <v>0.14349999999999999</v>
      </c>
      <c r="AU255" t="s">
        <v>3</v>
      </c>
      <c r="AV255">
        <v>0</v>
      </c>
      <c r="AW255">
        <v>1</v>
      </c>
      <c r="AX255">
        <v>-1</v>
      </c>
      <c r="AY255">
        <v>0</v>
      </c>
      <c r="AZ255">
        <v>0</v>
      </c>
      <c r="BA255" t="s">
        <v>3</v>
      </c>
      <c r="BB255">
        <v>0</v>
      </c>
      <c r="BC255">
        <v>0</v>
      </c>
      <c r="BD255">
        <v>0</v>
      </c>
      <c r="BE255">
        <v>0</v>
      </c>
      <c r="BF255">
        <v>0</v>
      </c>
      <c r="BG255">
        <v>0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0</v>
      </c>
      <c r="BQ255">
        <v>0</v>
      </c>
      <c r="BR255">
        <v>0</v>
      </c>
      <c r="BS255">
        <v>0</v>
      </c>
      <c r="BT255">
        <v>0</v>
      </c>
      <c r="BU255">
        <v>0</v>
      </c>
      <c r="BV255">
        <v>0</v>
      </c>
      <c r="BW255">
        <v>0</v>
      </c>
      <c r="CX255">
        <f>Y255*Source!I276</f>
        <v>0.1148</v>
      </c>
      <c r="CY255">
        <f>AA255</f>
        <v>2937.45</v>
      </c>
      <c r="CZ255">
        <f>AE255</f>
        <v>575.97</v>
      </c>
      <c r="DA255">
        <f>AI255</f>
        <v>5.0999999999999996</v>
      </c>
      <c r="DB255">
        <v>0</v>
      </c>
    </row>
    <row r="256" spans="1:106" x14ac:dyDescent="0.2">
      <c r="A256">
        <f>ROW(Source!A276)</f>
        <v>276</v>
      </c>
      <c r="B256">
        <v>45037307</v>
      </c>
      <c r="C256">
        <v>45037983</v>
      </c>
      <c r="D256">
        <v>22720771</v>
      </c>
      <c r="E256">
        <v>1</v>
      </c>
      <c r="F256">
        <v>1</v>
      </c>
      <c r="G256">
        <v>22652947</v>
      </c>
      <c r="H256">
        <v>3</v>
      </c>
      <c r="I256" t="s">
        <v>355</v>
      </c>
      <c r="J256" t="s">
        <v>357</v>
      </c>
      <c r="K256" t="s">
        <v>356</v>
      </c>
      <c r="L256">
        <v>1327</v>
      </c>
      <c r="N256">
        <v>1005</v>
      </c>
      <c r="O256" t="s">
        <v>101</v>
      </c>
      <c r="P256" t="s">
        <v>101</v>
      </c>
      <c r="Q256">
        <v>1</v>
      </c>
      <c r="W256">
        <v>0</v>
      </c>
      <c r="X256">
        <v>-113972751</v>
      </c>
      <c r="Y256">
        <v>3.6</v>
      </c>
      <c r="AA256">
        <v>779.36</v>
      </c>
      <c r="AB256">
        <v>0</v>
      </c>
      <c r="AC256">
        <v>0</v>
      </c>
      <c r="AD256">
        <v>0</v>
      </c>
      <c r="AE256">
        <v>227.22</v>
      </c>
      <c r="AF256">
        <v>0</v>
      </c>
      <c r="AG256">
        <v>0</v>
      </c>
      <c r="AH256">
        <v>0</v>
      </c>
      <c r="AI256">
        <v>3.43</v>
      </c>
      <c r="AJ256">
        <v>1</v>
      </c>
      <c r="AK256">
        <v>1</v>
      </c>
      <c r="AL256">
        <v>1</v>
      </c>
      <c r="AN256">
        <v>0</v>
      </c>
      <c r="AO256">
        <v>0</v>
      </c>
      <c r="AP256">
        <v>0</v>
      </c>
      <c r="AQ256">
        <v>0</v>
      </c>
      <c r="AR256">
        <v>0</v>
      </c>
      <c r="AS256" t="s">
        <v>3</v>
      </c>
      <c r="AT256">
        <v>3.6</v>
      </c>
      <c r="AU256" t="s">
        <v>3</v>
      </c>
      <c r="AV256">
        <v>0</v>
      </c>
      <c r="AW256">
        <v>1</v>
      </c>
      <c r="AX256">
        <v>-1</v>
      </c>
      <c r="AY256">
        <v>0</v>
      </c>
      <c r="AZ256">
        <v>0</v>
      </c>
      <c r="BA256" t="s">
        <v>3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0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0</v>
      </c>
      <c r="BW256">
        <v>0</v>
      </c>
      <c r="CX256">
        <f>Y256*Source!I276</f>
        <v>2.8800000000000003</v>
      </c>
      <c r="CY256">
        <f>AA256</f>
        <v>779.36</v>
      </c>
      <c r="CZ256">
        <f>AE256</f>
        <v>227.22</v>
      </c>
      <c r="DA256">
        <f>AI256</f>
        <v>3.43</v>
      </c>
      <c r="DB256">
        <v>0</v>
      </c>
    </row>
    <row r="257" spans="1:106" x14ac:dyDescent="0.2">
      <c r="A257">
        <f>ROW(Source!A281)</f>
        <v>281</v>
      </c>
      <c r="B257">
        <v>45037306</v>
      </c>
      <c r="C257">
        <v>45037998</v>
      </c>
      <c r="D257">
        <v>22652952</v>
      </c>
      <c r="E257">
        <v>22652947</v>
      </c>
      <c r="F257">
        <v>1</v>
      </c>
      <c r="G257">
        <v>22652947</v>
      </c>
      <c r="H257">
        <v>1</v>
      </c>
      <c r="I257" t="s">
        <v>617</v>
      </c>
      <c r="J257" t="s">
        <v>3</v>
      </c>
      <c r="K257" t="s">
        <v>618</v>
      </c>
      <c r="L257">
        <v>1191</v>
      </c>
      <c r="N257">
        <v>1013</v>
      </c>
      <c r="O257" t="s">
        <v>619</v>
      </c>
      <c r="P257" t="s">
        <v>619</v>
      </c>
      <c r="Q257">
        <v>1</v>
      </c>
      <c r="W257">
        <v>0</v>
      </c>
      <c r="X257">
        <v>476480486</v>
      </c>
      <c r="Y257">
        <v>95.449999999999989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1</v>
      </c>
      <c r="AJ257">
        <v>1</v>
      </c>
      <c r="AK257">
        <v>1</v>
      </c>
      <c r="AL257">
        <v>1</v>
      </c>
      <c r="AN257">
        <v>0</v>
      </c>
      <c r="AO257">
        <v>1</v>
      </c>
      <c r="AP257">
        <v>1</v>
      </c>
      <c r="AQ257">
        <v>0</v>
      </c>
      <c r="AR257">
        <v>0</v>
      </c>
      <c r="AS257" t="s">
        <v>3</v>
      </c>
      <c r="AT257">
        <v>83</v>
      </c>
      <c r="AU257" t="s">
        <v>37</v>
      </c>
      <c r="AV257">
        <v>1</v>
      </c>
      <c r="AW257">
        <v>2</v>
      </c>
      <c r="AX257">
        <v>45038614</v>
      </c>
      <c r="AY257">
        <v>1</v>
      </c>
      <c r="AZ257">
        <v>0</v>
      </c>
      <c r="BA257">
        <v>255</v>
      </c>
      <c r="BB257">
        <v>0</v>
      </c>
      <c r="BC257">
        <v>0</v>
      </c>
      <c r="BD257">
        <v>0</v>
      </c>
      <c r="BE257">
        <v>0</v>
      </c>
      <c r="BF257">
        <v>0</v>
      </c>
      <c r="BG257">
        <v>0</v>
      </c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0</v>
      </c>
      <c r="BR257">
        <v>0</v>
      </c>
      <c r="BS257">
        <v>0</v>
      </c>
      <c r="BT257">
        <v>0</v>
      </c>
      <c r="BU257">
        <v>0</v>
      </c>
      <c r="BV257">
        <v>0</v>
      </c>
      <c r="BW257">
        <v>0</v>
      </c>
      <c r="CX257">
        <f>Y257*Source!I281</f>
        <v>8.1132499999999982E-2</v>
      </c>
      <c r="CY257">
        <f>AD257</f>
        <v>0</v>
      </c>
      <c r="CZ257">
        <f>AH257</f>
        <v>0</v>
      </c>
      <c r="DA257">
        <f>AL257</f>
        <v>1</v>
      </c>
      <c r="DB257">
        <v>0</v>
      </c>
    </row>
    <row r="258" spans="1:106" x14ac:dyDescent="0.2">
      <c r="A258">
        <f>ROW(Source!A281)</f>
        <v>281</v>
      </c>
      <c r="B258">
        <v>45037306</v>
      </c>
      <c r="C258">
        <v>45037998</v>
      </c>
      <c r="D258">
        <v>22701224</v>
      </c>
      <c r="E258">
        <v>1</v>
      </c>
      <c r="F258">
        <v>1</v>
      </c>
      <c r="G258">
        <v>22652947</v>
      </c>
      <c r="H258">
        <v>3</v>
      </c>
      <c r="I258" t="s">
        <v>367</v>
      </c>
      <c r="J258" t="s">
        <v>369</v>
      </c>
      <c r="K258" t="s">
        <v>368</v>
      </c>
      <c r="L258">
        <v>1348</v>
      </c>
      <c r="N258">
        <v>1009</v>
      </c>
      <c r="O258" t="s">
        <v>29</v>
      </c>
      <c r="P258" t="s">
        <v>29</v>
      </c>
      <c r="Q258">
        <v>1000</v>
      </c>
      <c r="W258">
        <v>0</v>
      </c>
      <c r="X258">
        <v>2110379699</v>
      </c>
      <c r="Y258">
        <v>7.0000000000000007E-2</v>
      </c>
      <c r="AA258">
        <v>43326.77</v>
      </c>
      <c r="AB258">
        <v>0</v>
      </c>
      <c r="AC258">
        <v>0</v>
      </c>
      <c r="AD258">
        <v>0</v>
      </c>
      <c r="AE258">
        <v>43326.77</v>
      </c>
      <c r="AF258">
        <v>0</v>
      </c>
      <c r="AG258">
        <v>0</v>
      </c>
      <c r="AH258">
        <v>0</v>
      </c>
      <c r="AI258">
        <v>1</v>
      </c>
      <c r="AJ258">
        <v>1</v>
      </c>
      <c r="AK258">
        <v>1</v>
      </c>
      <c r="AL258">
        <v>1</v>
      </c>
      <c r="AN258">
        <v>0</v>
      </c>
      <c r="AO258">
        <v>0</v>
      </c>
      <c r="AP258">
        <v>0</v>
      </c>
      <c r="AQ258">
        <v>0</v>
      </c>
      <c r="AR258">
        <v>0</v>
      </c>
      <c r="AS258" t="s">
        <v>3</v>
      </c>
      <c r="AT258">
        <v>7.0000000000000007E-2</v>
      </c>
      <c r="AU258" t="s">
        <v>3</v>
      </c>
      <c r="AV258">
        <v>0</v>
      </c>
      <c r="AW258">
        <v>1</v>
      </c>
      <c r="AX258">
        <v>-1</v>
      </c>
      <c r="AY258">
        <v>0</v>
      </c>
      <c r="AZ258">
        <v>0</v>
      </c>
      <c r="BA258" t="s">
        <v>3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CX258">
        <f>Y258*Source!I281</f>
        <v>5.9500000000000003E-5</v>
      </c>
      <c r="CY258">
        <f>AA258</f>
        <v>43326.77</v>
      </c>
      <c r="CZ258">
        <f>AE258</f>
        <v>43326.77</v>
      </c>
      <c r="DA258">
        <f>AI258</f>
        <v>1</v>
      </c>
      <c r="DB258">
        <v>0</v>
      </c>
    </row>
    <row r="259" spans="1:106" x14ac:dyDescent="0.2">
      <c r="A259">
        <f>ROW(Source!A281)</f>
        <v>281</v>
      </c>
      <c r="B259">
        <v>45037306</v>
      </c>
      <c r="C259">
        <v>45037998</v>
      </c>
      <c r="D259">
        <v>22674651</v>
      </c>
      <c r="E259">
        <v>22652947</v>
      </c>
      <c r="F259">
        <v>1</v>
      </c>
      <c r="G259">
        <v>22652947</v>
      </c>
      <c r="H259">
        <v>3</v>
      </c>
      <c r="I259" t="s">
        <v>675</v>
      </c>
      <c r="J259" t="s">
        <v>3</v>
      </c>
      <c r="K259" t="s">
        <v>676</v>
      </c>
      <c r="L259">
        <v>1344</v>
      </c>
      <c r="N259">
        <v>1008</v>
      </c>
      <c r="O259" t="s">
        <v>632</v>
      </c>
      <c r="P259" t="s">
        <v>632</v>
      </c>
      <c r="Q259">
        <v>1</v>
      </c>
      <c r="W259">
        <v>0</v>
      </c>
      <c r="X259">
        <v>-94250534</v>
      </c>
      <c r="Y259">
        <v>147.6</v>
      </c>
      <c r="AA259">
        <v>1</v>
      </c>
      <c r="AB259">
        <v>0</v>
      </c>
      <c r="AC259">
        <v>0</v>
      </c>
      <c r="AD259">
        <v>0</v>
      </c>
      <c r="AE259">
        <v>1</v>
      </c>
      <c r="AF259">
        <v>0</v>
      </c>
      <c r="AG259">
        <v>0</v>
      </c>
      <c r="AH259">
        <v>0</v>
      </c>
      <c r="AI259">
        <v>1</v>
      </c>
      <c r="AJ259">
        <v>1</v>
      </c>
      <c r="AK259">
        <v>1</v>
      </c>
      <c r="AL259">
        <v>1</v>
      </c>
      <c r="AN259">
        <v>0</v>
      </c>
      <c r="AO259">
        <v>1</v>
      </c>
      <c r="AP259">
        <v>0</v>
      </c>
      <c r="AQ259">
        <v>0</v>
      </c>
      <c r="AR259">
        <v>0</v>
      </c>
      <c r="AS259" t="s">
        <v>3</v>
      </c>
      <c r="AT259">
        <v>147.6</v>
      </c>
      <c r="AU259" t="s">
        <v>3</v>
      </c>
      <c r="AV259">
        <v>0</v>
      </c>
      <c r="AW259">
        <v>2</v>
      </c>
      <c r="AX259">
        <v>45038617</v>
      </c>
      <c r="AY259">
        <v>1</v>
      </c>
      <c r="AZ259">
        <v>0</v>
      </c>
      <c r="BA259">
        <v>258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0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0</v>
      </c>
      <c r="BW259">
        <v>0</v>
      </c>
      <c r="CX259">
        <f>Y259*Source!I281</f>
        <v>0.12545999999999999</v>
      </c>
      <c r="CY259">
        <f>AA259</f>
        <v>1</v>
      </c>
      <c r="CZ259">
        <f>AE259</f>
        <v>1</v>
      </c>
      <c r="DA259">
        <f>AI259</f>
        <v>1</v>
      </c>
      <c r="DB259">
        <v>0</v>
      </c>
    </row>
    <row r="260" spans="1:106" x14ac:dyDescent="0.2">
      <c r="A260">
        <f>ROW(Source!A281)</f>
        <v>281</v>
      </c>
      <c r="B260">
        <v>45037306</v>
      </c>
      <c r="C260">
        <v>45037998</v>
      </c>
      <c r="D260">
        <v>0</v>
      </c>
      <c r="E260">
        <v>22652947</v>
      </c>
      <c r="F260">
        <v>1</v>
      </c>
      <c r="G260">
        <v>22652947</v>
      </c>
      <c r="H260">
        <v>3</v>
      </c>
      <c r="I260" t="s">
        <v>258</v>
      </c>
      <c r="J260" t="s">
        <v>3</v>
      </c>
      <c r="K260" t="s">
        <v>363</v>
      </c>
      <c r="L260">
        <v>1301</v>
      </c>
      <c r="N260">
        <v>1003</v>
      </c>
      <c r="O260" t="s">
        <v>364</v>
      </c>
      <c r="P260" t="s">
        <v>364</v>
      </c>
      <c r="Q260">
        <v>1</v>
      </c>
      <c r="W260">
        <v>0</v>
      </c>
      <c r="X260">
        <v>-49586319</v>
      </c>
      <c r="Y260">
        <v>4000</v>
      </c>
      <c r="AA260">
        <v>20.329999999999998</v>
      </c>
      <c r="AB260">
        <v>0</v>
      </c>
      <c r="AC260">
        <v>0</v>
      </c>
      <c r="AD260">
        <v>0</v>
      </c>
      <c r="AE260">
        <v>20.329999999999998</v>
      </c>
      <c r="AF260">
        <v>0</v>
      </c>
      <c r="AG260">
        <v>0</v>
      </c>
      <c r="AH260">
        <v>0</v>
      </c>
      <c r="AI260">
        <v>1</v>
      </c>
      <c r="AJ260">
        <v>1</v>
      </c>
      <c r="AK260">
        <v>1</v>
      </c>
      <c r="AL260">
        <v>1</v>
      </c>
      <c r="AN260">
        <v>0</v>
      </c>
      <c r="AO260">
        <v>0</v>
      </c>
      <c r="AP260">
        <v>0</v>
      </c>
      <c r="AQ260">
        <v>0</v>
      </c>
      <c r="AR260">
        <v>0</v>
      </c>
      <c r="AS260" t="s">
        <v>3</v>
      </c>
      <c r="AT260">
        <v>4000</v>
      </c>
      <c r="AU260" t="s">
        <v>3</v>
      </c>
      <c r="AV260">
        <v>0</v>
      </c>
      <c r="AW260">
        <v>1</v>
      </c>
      <c r="AX260">
        <v>-1</v>
      </c>
      <c r="AY260">
        <v>0</v>
      </c>
      <c r="AZ260">
        <v>0</v>
      </c>
      <c r="BA260" t="s">
        <v>3</v>
      </c>
      <c r="BB260">
        <v>0</v>
      </c>
      <c r="BC260">
        <v>0</v>
      </c>
      <c r="BD260">
        <v>0</v>
      </c>
      <c r="BE260">
        <v>0</v>
      </c>
      <c r="BF260">
        <v>0</v>
      </c>
      <c r="BG260">
        <v>0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0</v>
      </c>
      <c r="BS260">
        <v>0</v>
      </c>
      <c r="BT260">
        <v>0</v>
      </c>
      <c r="BU260">
        <v>0</v>
      </c>
      <c r="BV260">
        <v>0</v>
      </c>
      <c r="BW260">
        <v>0</v>
      </c>
      <c r="CX260">
        <f>Y260*Source!I281</f>
        <v>3.4</v>
      </c>
      <c r="CY260">
        <f>AA260</f>
        <v>20.329999999999998</v>
      </c>
      <c r="CZ260">
        <f>AE260</f>
        <v>20.329999999999998</v>
      </c>
      <c r="DA260">
        <f>AI260</f>
        <v>1</v>
      </c>
      <c r="DB260">
        <v>0</v>
      </c>
    </row>
    <row r="261" spans="1:106" x14ac:dyDescent="0.2">
      <c r="A261">
        <f>ROW(Source!A282)</f>
        <v>282</v>
      </c>
      <c r="B261">
        <v>45037307</v>
      </c>
      <c r="C261">
        <v>45037998</v>
      </c>
      <c r="D261">
        <v>22652952</v>
      </c>
      <c r="E261">
        <v>22652947</v>
      </c>
      <c r="F261">
        <v>1</v>
      </c>
      <c r="G261">
        <v>22652947</v>
      </c>
      <c r="H261">
        <v>1</v>
      </c>
      <c r="I261" t="s">
        <v>617</v>
      </c>
      <c r="J261" t="s">
        <v>3</v>
      </c>
      <c r="K261" t="s">
        <v>618</v>
      </c>
      <c r="L261">
        <v>1191</v>
      </c>
      <c r="N261">
        <v>1013</v>
      </c>
      <c r="O261" t="s">
        <v>619</v>
      </c>
      <c r="P261" t="s">
        <v>619</v>
      </c>
      <c r="Q261">
        <v>1</v>
      </c>
      <c r="W261">
        <v>0</v>
      </c>
      <c r="X261">
        <v>476480486</v>
      </c>
      <c r="Y261">
        <v>95.449999999999989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1</v>
      </c>
      <c r="AJ261">
        <v>1</v>
      </c>
      <c r="AK261">
        <v>1</v>
      </c>
      <c r="AL261">
        <v>1</v>
      </c>
      <c r="AN261">
        <v>0</v>
      </c>
      <c r="AO261">
        <v>1</v>
      </c>
      <c r="AP261">
        <v>1</v>
      </c>
      <c r="AQ261">
        <v>0</v>
      </c>
      <c r="AR261">
        <v>0</v>
      </c>
      <c r="AS261" t="s">
        <v>3</v>
      </c>
      <c r="AT261">
        <v>83</v>
      </c>
      <c r="AU261" t="s">
        <v>37</v>
      </c>
      <c r="AV261">
        <v>1</v>
      </c>
      <c r="AW261">
        <v>2</v>
      </c>
      <c r="AX261">
        <v>45038614</v>
      </c>
      <c r="AY261">
        <v>1</v>
      </c>
      <c r="AZ261">
        <v>0</v>
      </c>
      <c r="BA261">
        <v>259</v>
      </c>
      <c r="BB261">
        <v>0</v>
      </c>
      <c r="BC261">
        <v>0</v>
      </c>
      <c r="BD261">
        <v>0</v>
      </c>
      <c r="BE261">
        <v>0</v>
      </c>
      <c r="BF261">
        <v>0</v>
      </c>
      <c r="BG261">
        <v>0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0</v>
      </c>
      <c r="BQ261">
        <v>0</v>
      </c>
      <c r="BR261">
        <v>0</v>
      </c>
      <c r="BS261">
        <v>0</v>
      </c>
      <c r="BT261">
        <v>0</v>
      </c>
      <c r="BU261">
        <v>0</v>
      </c>
      <c r="BV261">
        <v>0</v>
      </c>
      <c r="BW261">
        <v>0</v>
      </c>
      <c r="CX261">
        <f>Y261*Source!I282</f>
        <v>8.1132499999999982E-2</v>
      </c>
      <c r="CY261">
        <f>AD261</f>
        <v>0</v>
      </c>
      <c r="CZ261">
        <f>AH261</f>
        <v>0</v>
      </c>
      <c r="DA261">
        <f>AL261</f>
        <v>1</v>
      </c>
      <c r="DB261">
        <v>0</v>
      </c>
    </row>
    <row r="262" spans="1:106" x14ac:dyDescent="0.2">
      <c r="A262">
        <f>ROW(Source!A282)</f>
        <v>282</v>
      </c>
      <c r="B262">
        <v>45037307</v>
      </c>
      <c r="C262">
        <v>45037998</v>
      </c>
      <c r="D262">
        <v>22701224</v>
      </c>
      <c r="E262">
        <v>1</v>
      </c>
      <c r="F262">
        <v>1</v>
      </c>
      <c r="G262">
        <v>22652947</v>
      </c>
      <c r="H262">
        <v>3</v>
      </c>
      <c r="I262" t="s">
        <v>367</v>
      </c>
      <c r="J262" t="s">
        <v>369</v>
      </c>
      <c r="K262" t="s">
        <v>368</v>
      </c>
      <c r="L262">
        <v>1348</v>
      </c>
      <c r="N262">
        <v>1009</v>
      </c>
      <c r="O262" t="s">
        <v>29</v>
      </c>
      <c r="P262" t="s">
        <v>29</v>
      </c>
      <c r="Q262">
        <v>1000</v>
      </c>
      <c r="W262">
        <v>0</v>
      </c>
      <c r="X262">
        <v>2110379699</v>
      </c>
      <c r="Y262">
        <v>7.0000000000000007E-2</v>
      </c>
      <c r="AA262">
        <v>55891.53</v>
      </c>
      <c r="AB262">
        <v>0</v>
      </c>
      <c r="AC262">
        <v>0</v>
      </c>
      <c r="AD262">
        <v>0</v>
      </c>
      <c r="AE262">
        <v>43326.77</v>
      </c>
      <c r="AF262">
        <v>0</v>
      </c>
      <c r="AG262">
        <v>0</v>
      </c>
      <c r="AH262">
        <v>0</v>
      </c>
      <c r="AI262">
        <v>1.29</v>
      </c>
      <c r="AJ262">
        <v>1</v>
      </c>
      <c r="AK262">
        <v>1</v>
      </c>
      <c r="AL262">
        <v>1</v>
      </c>
      <c r="AN262">
        <v>0</v>
      </c>
      <c r="AO262">
        <v>0</v>
      </c>
      <c r="AP262">
        <v>0</v>
      </c>
      <c r="AQ262">
        <v>0</v>
      </c>
      <c r="AR262">
        <v>0</v>
      </c>
      <c r="AS262" t="s">
        <v>3</v>
      </c>
      <c r="AT262">
        <v>7.0000000000000007E-2</v>
      </c>
      <c r="AU262" t="s">
        <v>3</v>
      </c>
      <c r="AV262">
        <v>0</v>
      </c>
      <c r="AW262">
        <v>1</v>
      </c>
      <c r="AX262">
        <v>-1</v>
      </c>
      <c r="AY262">
        <v>0</v>
      </c>
      <c r="AZ262">
        <v>0</v>
      </c>
      <c r="BA262" t="s">
        <v>3</v>
      </c>
      <c r="BB262">
        <v>0</v>
      </c>
      <c r="BC262">
        <v>0</v>
      </c>
      <c r="BD262">
        <v>0</v>
      </c>
      <c r="BE262">
        <v>0</v>
      </c>
      <c r="BF262">
        <v>0</v>
      </c>
      <c r="BG262">
        <v>0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0</v>
      </c>
      <c r="BQ262">
        <v>0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CX262">
        <f>Y262*Source!I282</f>
        <v>5.9500000000000003E-5</v>
      </c>
      <c r="CY262">
        <f>AA262</f>
        <v>55891.53</v>
      </c>
      <c r="CZ262">
        <f>AE262</f>
        <v>43326.77</v>
      </c>
      <c r="DA262">
        <f>AI262</f>
        <v>1.29</v>
      </c>
      <c r="DB262">
        <v>0</v>
      </c>
    </row>
    <row r="263" spans="1:106" x14ac:dyDescent="0.2">
      <c r="A263">
        <f>ROW(Source!A282)</f>
        <v>282</v>
      </c>
      <c r="B263">
        <v>45037307</v>
      </c>
      <c r="C263">
        <v>45037998</v>
      </c>
      <c r="D263">
        <v>22674651</v>
      </c>
      <c r="E263">
        <v>22652947</v>
      </c>
      <c r="F263">
        <v>1</v>
      </c>
      <c r="G263">
        <v>22652947</v>
      </c>
      <c r="H263">
        <v>3</v>
      </c>
      <c r="I263" t="s">
        <v>675</v>
      </c>
      <c r="J263" t="s">
        <v>3</v>
      </c>
      <c r="K263" t="s">
        <v>676</v>
      </c>
      <c r="L263">
        <v>1344</v>
      </c>
      <c r="N263">
        <v>1008</v>
      </c>
      <c r="O263" t="s">
        <v>632</v>
      </c>
      <c r="P263" t="s">
        <v>632</v>
      </c>
      <c r="Q263">
        <v>1</v>
      </c>
      <c r="W263">
        <v>0</v>
      </c>
      <c r="X263">
        <v>-94250534</v>
      </c>
      <c r="Y263">
        <v>147.6</v>
      </c>
      <c r="AA263">
        <v>1</v>
      </c>
      <c r="AB263">
        <v>0</v>
      </c>
      <c r="AC263">
        <v>0</v>
      </c>
      <c r="AD263">
        <v>0</v>
      </c>
      <c r="AE263">
        <v>1</v>
      </c>
      <c r="AF263">
        <v>0</v>
      </c>
      <c r="AG263">
        <v>0</v>
      </c>
      <c r="AH263">
        <v>0</v>
      </c>
      <c r="AI263">
        <v>1</v>
      </c>
      <c r="AJ263">
        <v>1</v>
      </c>
      <c r="AK263">
        <v>1</v>
      </c>
      <c r="AL263">
        <v>1</v>
      </c>
      <c r="AN263">
        <v>0</v>
      </c>
      <c r="AO263">
        <v>1</v>
      </c>
      <c r="AP263">
        <v>0</v>
      </c>
      <c r="AQ263">
        <v>0</v>
      </c>
      <c r="AR263">
        <v>0</v>
      </c>
      <c r="AS263" t="s">
        <v>3</v>
      </c>
      <c r="AT263">
        <v>147.6</v>
      </c>
      <c r="AU263" t="s">
        <v>3</v>
      </c>
      <c r="AV263">
        <v>0</v>
      </c>
      <c r="AW263">
        <v>2</v>
      </c>
      <c r="AX263">
        <v>45038617</v>
      </c>
      <c r="AY263">
        <v>1</v>
      </c>
      <c r="AZ263">
        <v>0</v>
      </c>
      <c r="BA263">
        <v>262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CX263">
        <f>Y263*Source!I282</f>
        <v>0.12545999999999999</v>
      </c>
      <c r="CY263">
        <f>AA263</f>
        <v>1</v>
      </c>
      <c r="CZ263">
        <f>AE263</f>
        <v>1</v>
      </c>
      <c r="DA263">
        <f>AI263</f>
        <v>1</v>
      </c>
      <c r="DB263">
        <v>0</v>
      </c>
    </row>
    <row r="264" spans="1:106" x14ac:dyDescent="0.2">
      <c r="A264">
        <f>ROW(Source!A282)</f>
        <v>282</v>
      </c>
      <c r="B264">
        <v>45037307</v>
      </c>
      <c r="C264">
        <v>45037998</v>
      </c>
      <c r="D264">
        <v>0</v>
      </c>
      <c r="E264">
        <v>22652947</v>
      </c>
      <c r="F264">
        <v>1</v>
      </c>
      <c r="G264">
        <v>22652947</v>
      </c>
      <c r="H264">
        <v>3</v>
      </c>
      <c r="I264" t="s">
        <v>258</v>
      </c>
      <c r="J264" t="s">
        <v>3</v>
      </c>
      <c r="K264" t="s">
        <v>363</v>
      </c>
      <c r="L264">
        <v>1301</v>
      </c>
      <c r="N264">
        <v>1003</v>
      </c>
      <c r="O264" t="s">
        <v>364</v>
      </c>
      <c r="P264" t="s">
        <v>364</v>
      </c>
      <c r="Q264">
        <v>1</v>
      </c>
      <c r="W264">
        <v>0</v>
      </c>
      <c r="X264">
        <v>-49586319</v>
      </c>
      <c r="Y264">
        <v>4000</v>
      </c>
      <c r="AA264">
        <v>106.33</v>
      </c>
      <c r="AB264">
        <v>0</v>
      </c>
      <c r="AC264">
        <v>0</v>
      </c>
      <c r="AD264">
        <v>0</v>
      </c>
      <c r="AE264">
        <v>20.329999999999998</v>
      </c>
      <c r="AF264">
        <v>0</v>
      </c>
      <c r="AG264">
        <v>0</v>
      </c>
      <c r="AH264">
        <v>0</v>
      </c>
      <c r="AI264">
        <v>5.23</v>
      </c>
      <c r="AJ264">
        <v>1</v>
      </c>
      <c r="AK264">
        <v>1</v>
      </c>
      <c r="AL264">
        <v>1</v>
      </c>
      <c r="AN264">
        <v>0</v>
      </c>
      <c r="AO264">
        <v>0</v>
      </c>
      <c r="AP264">
        <v>0</v>
      </c>
      <c r="AQ264">
        <v>0</v>
      </c>
      <c r="AR264">
        <v>0</v>
      </c>
      <c r="AS264" t="s">
        <v>3</v>
      </c>
      <c r="AT264">
        <v>4000</v>
      </c>
      <c r="AU264" t="s">
        <v>3</v>
      </c>
      <c r="AV264">
        <v>0</v>
      </c>
      <c r="AW264">
        <v>1</v>
      </c>
      <c r="AX264">
        <v>-1</v>
      </c>
      <c r="AY264">
        <v>0</v>
      </c>
      <c r="AZ264">
        <v>0</v>
      </c>
      <c r="BA264" t="s">
        <v>3</v>
      </c>
      <c r="BB264">
        <v>0</v>
      </c>
      <c r="BC264">
        <v>0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0</v>
      </c>
      <c r="BQ264">
        <v>0</v>
      </c>
      <c r="BR264">
        <v>0</v>
      </c>
      <c r="BS264">
        <v>0</v>
      </c>
      <c r="BT264">
        <v>0</v>
      </c>
      <c r="BU264">
        <v>0</v>
      </c>
      <c r="BV264">
        <v>0</v>
      </c>
      <c r="BW264">
        <v>0</v>
      </c>
      <c r="CX264">
        <f>Y264*Source!I282</f>
        <v>3.4</v>
      </c>
      <c r="CY264">
        <f>AA264</f>
        <v>106.33</v>
      </c>
      <c r="CZ264">
        <f>AE264</f>
        <v>20.329999999999998</v>
      </c>
      <c r="DA264">
        <f>AI264</f>
        <v>5.23</v>
      </c>
      <c r="DB264">
        <v>0</v>
      </c>
    </row>
    <row r="265" spans="1:106" x14ac:dyDescent="0.2">
      <c r="A265">
        <f>ROW(Source!A287)</f>
        <v>287</v>
      </c>
      <c r="B265">
        <v>45037306</v>
      </c>
      <c r="C265">
        <v>45038009</v>
      </c>
      <c r="D265">
        <v>22652952</v>
      </c>
      <c r="E265">
        <v>22652947</v>
      </c>
      <c r="F265">
        <v>1</v>
      </c>
      <c r="G265">
        <v>22652947</v>
      </c>
      <c r="H265">
        <v>1</v>
      </c>
      <c r="I265" t="s">
        <v>617</v>
      </c>
      <c r="J265" t="s">
        <v>3</v>
      </c>
      <c r="K265" t="s">
        <v>618</v>
      </c>
      <c r="L265">
        <v>1191</v>
      </c>
      <c r="N265">
        <v>1013</v>
      </c>
      <c r="O265" t="s">
        <v>619</v>
      </c>
      <c r="P265" t="s">
        <v>619</v>
      </c>
      <c r="Q265">
        <v>1</v>
      </c>
      <c r="W265">
        <v>0</v>
      </c>
      <c r="X265">
        <v>476480486</v>
      </c>
      <c r="Y265">
        <v>0.10349999999999999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1</v>
      </c>
      <c r="AJ265">
        <v>1</v>
      </c>
      <c r="AK265">
        <v>1</v>
      </c>
      <c r="AL265">
        <v>1</v>
      </c>
      <c r="AN265">
        <v>0</v>
      </c>
      <c r="AO265">
        <v>1</v>
      </c>
      <c r="AP265">
        <v>1</v>
      </c>
      <c r="AQ265">
        <v>0</v>
      </c>
      <c r="AR265">
        <v>0</v>
      </c>
      <c r="AS265" t="s">
        <v>3</v>
      </c>
      <c r="AT265">
        <v>0.09</v>
      </c>
      <c r="AU265" t="s">
        <v>37</v>
      </c>
      <c r="AV265">
        <v>1</v>
      </c>
      <c r="AW265">
        <v>2</v>
      </c>
      <c r="AX265">
        <v>45038618</v>
      </c>
      <c r="AY265">
        <v>1</v>
      </c>
      <c r="AZ265">
        <v>0</v>
      </c>
      <c r="BA265">
        <v>263</v>
      </c>
      <c r="BB265">
        <v>0</v>
      </c>
      <c r="BC265">
        <v>0</v>
      </c>
      <c r="BD265">
        <v>0</v>
      </c>
      <c r="BE265">
        <v>0</v>
      </c>
      <c r="BF265">
        <v>0</v>
      </c>
      <c r="BG265">
        <v>0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0</v>
      </c>
      <c r="BQ265">
        <v>0</v>
      </c>
      <c r="BR265">
        <v>0</v>
      </c>
      <c r="BS265">
        <v>0</v>
      </c>
      <c r="BT265">
        <v>0</v>
      </c>
      <c r="BU265">
        <v>0</v>
      </c>
      <c r="BV265">
        <v>0</v>
      </c>
      <c r="BW265">
        <v>0</v>
      </c>
      <c r="CX265">
        <f>Y265*Source!I287</f>
        <v>1.0349999999999999</v>
      </c>
      <c r="CY265">
        <f>AD265</f>
        <v>0</v>
      </c>
      <c r="CZ265">
        <f>AH265</f>
        <v>0</v>
      </c>
      <c r="DA265">
        <f>AL265</f>
        <v>1</v>
      </c>
      <c r="DB265">
        <v>0</v>
      </c>
    </row>
    <row r="266" spans="1:106" x14ac:dyDescent="0.2">
      <c r="A266">
        <f>ROW(Source!A287)</f>
        <v>287</v>
      </c>
      <c r="B266">
        <v>45037306</v>
      </c>
      <c r="C266">
        <v>45038009</v>
      </c>
      <c r="D266">
        <v>22702324</v>
      </c>
      <c r="E266">
        <v>1</v>
      </c>
      <c r="F266">
        <v>1</v>
      </c>
      <c r="G266">
        <v>22652947</v>
      </c>
      <c r="H266">
        <v>3</v>
      </c>
      <c r="I266" t="s">
        <v>738</v>
      </c>
      <c r="J266" t="s">
        <v>739</v>
      </c>
      <c r="K266" t="s">
        <v>740</v>
      </c>
      <c r="L266">
        <v>1348</v>
      </c>
      <c r="N266">
        <v>1009</v>
      </c>
      <c r="O266" t="s">
        <v>29</v>
      </c>
      <c r="P266" t="s">
        <v>29</v>
      </c>
      <c r="Q266">
        <v>1000</v>
      </c>
      <c r="W266">
        <v>0</v>
      </c>
      <c r="X266">
        <v>1398464837</v>
      </c>
      <c r="Y266">
        <v>1.0000000000000001E-5</v>
      </c>
      <c r="AA266">
        <v>16744.32</v>
      </c>
      <c r="AB266">
        <v>0</v>
      </c>
      <c r="AC266">
        <v>0</v>
      </c>
      <c r="AD266">
        <v>0</v>
      </c>
      <c r="AE266">
        <v>16744.32</v>
      </c>
      <c r="AF266">
        <v>0</v>
      </c>
      <c r="AG266">
        <v>0</v>
      </c>
      <c r="AH266">
        <v>0</v>
      </c>
      <c r="AI266">
        <v>1</v>
      </c>
      <c r="AJ266">
        <v>1</v>
      </c>
      <c r="AK266">
        <v>1</v>
      </c>
      <c r="AL266">
        <v>1</v>
      </c>
      <c r="AN266">
        <v>0</v>
      </c>
      <c r="AO266">
        <v>1</v>
      </c>
      <c r="AP266">
        <v>0</v>
      </c>
      <c r="AQ266">
        <v>0</v>
      </c>
      <c r="AR266">
        <v>0</v>
      </c>
      <c r="AS266" t="s">
        <v>3</v>
      </c>
      <c r="AT266">
        <v>1.0000000000000001E-5</v>
      </c>
      <c r="AU266" t="s">
        <v>3</v>
      </c>
      <c r="AV266">
        <v>0</v>
      </c>
      <c r="AW266">
        <v>2</v>
      </c>
      <c r="AX266">
        <v>45038619</v>
      </c>
      <c r="AY266">
        <v>1</v>
      </c>
      <c r="AZ266">
        <v>0</v>
      </c>
      <c r="BA266">
        <v>264</v>
      </c>
      <c r="BB266">
        <v>0</v>
      </c>
      <c r="BC266">
        <v>0</v>
      </c>
      <c r="BD266">
        <v>0</v>
      </c>
      <c r="BE266">
        <v>0</v>
      </c>
      <c r="BF266">
        <v>0</v>
      </c>
      <c r="BG266">
        <v>0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P266">
        <v>0</v>
      </c>
      <c r="BQ266">
        <v>0</v>
      </c>
      <c r="BR266">
        <v>0</v>
      </c>
      <c r="BS266">
        <v>0</v>
      </c>
      <c r="BT266">
        <v>0</v>
      </c>
      <c r="BU266">
        <v>0</v>
      </c>
      <c r="BV266">
        <v>0</v>
      </c>
      <c r="BW266">
        <v>0</v>
      </c>
      <c r="CX266">
        <f>Y266*Source!I287</f>
        <v>1E-4</v>
      </c>
      <c r="CY266">
        <f>AA266</f>
        <v>16744.32</v>
      </c>
      <c r="CZ266">
        <f>AE266</f>
        <v>16744.32</v>
      </c>
      <c r="DA266">
        <f>AI266</f>
        <v>1</v>
      </c>
      <c r="DB266">
        <v>0</v>
      </c>
    </row>
    <row r="267" spans="1:106" x14ac:dyDescent="0.2">
      <c r="A267">
        <f>ROW(Source!A287)</f>
        <v>287</v>
      </c>
      <c r="B267">
        <v>45037306</v>
      </c>
      <c r="C267">
        <v>45038009</v>
      </c>
      <c r="D267">
        <v>0</v>
      </c>
      <c r="E267">
        <v>22652947</v>
      </c>
      <c r="F267">
        <v>1</v>
      </c>
      <c r="G267">
        <v>22652947</v>
      </c>
      <c r="H267">
        <v>3</v>
      </c>
      <c r="I267" t="s">
        <v>375</v>
      </c>
      <c r="J267" t="s">
        <v>3</v>
      </c>
      <c r="K267" t="s">
        <v>376</v>
      </c>
      <c r="L267">
        <v>1354</v>
      </c>
      <c r="N267">
        <v>1010</v>
      </c>
      <c r="O267" t="s">
        <v>304</v>
      </c>
      <c r="P267" t="s">
        <v>304</v>
      </c>
      <c r="Q267">
        <v>1</v>
      </c>
      <c r="W267">
        <v>0</v>
      </c>
      <c r="X267">
        <v>1952853913</v>
      </c>
      <c r="Y267">
        <v>0.2</v>
      </c>
      <c r="AA267">
        <v>70.25</v>
      </c>
      <c r="AB267">
        <v>0</v>
      </c>
      <c r="AC267">
        <v>0</v>
      </c>
      <c r="AD267">
        <v>0</v>
      </c>
      <c r="AE267">
        <v>70.25</v>
      </c>
      <c r="AF267">
        <v>0</v>
      </c>
      <c r="AG267">
        <v>0</v>
      </c>
      <c r="AH267">
        <v>0</v>
      </c>
      <c r="AI267">
        <v>1</v>
      </c>
      <c r="AJ267">
        <v>1</v>
      </c>
      <c r="AK267">
        <v>1</v>
      </c>
      <c r="AL267">
        <v>1</v>
      </c>
      <c r="AN267">
        <v>0</v>
      </c>
      <c r="AO267">
        <v>0</v>
      </c>
      <c r="AP267">
        <v>0</v>
      </c>
      <c r="AQ267">
        <v>0</v>
      </c>
      <c r="AR267">
        <v>0</v>
      </c>
      <c r="AS267" t="s">
        <v>3</v>
      </c>
      <c r="AT267">
        <v>0.2</v>
      </c>
      <c r="AU267" t="s">
        <v>3</v>
      </c>
      <c r="AV267">
        <v>0</v>
      </c>
      <c r="AW267">
        <v>1</v>
      </c>
      <c r="AX267">
        <v>-1</v>
      </c>
      <c r="AY267">
        <v>0</v>
      </c>
      <c r="AZ267">
        <v>0</v>
      </c>
      <c r="BA267" t="s">
        <v>3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CX267">
        <f>Y267*Source!I287</f>
        <v>2</v>
      </c>
      <c r="CY267">
        <f>AA267</f>
        <v>70.25</v>
      </c>
      <c r="CZ267">
        <f>AE267</f>
        <v>70.25</v>
      </c>
      <c r="DA267">
        <f>AI267</f>
        <v>1</v>
      </c>
      <c r="DB267">
        <v>0</v>
      </c>
    </row>
    <row r="268" spans="1:106" x14ac:dyDescent="0.2">
      <c r="A268">
        <f>ROW(Source!A287)</f>
        <v>287</v>
      </c>
      <c r="B268">
        <v>45037306</v>
      </c>
      <c r="C268">
        <v>45038009</v>
      </c>
      <c r="D268">
        <v>0</v>
      </c>
      <c r="E268">
        <v>22652947</v>
      </c>
      <c r="F268">
        <v>1</v>
      </c>
      <c r="G268">
        <v>22652947</v>
      </c>
      <c r="H268">
        <v>3</v>
      </c>
      <c r="I268" t="s">
        <v>375</v>
      </c>
      <c r="J268" t="s">
        <v>3</v>
      </c>
      <c r="K268" t="s">
        <v>379</v>
      </c>
      <c r="L268">
        <v>1354</v>
      </c>
      <c r="N268">
        <v>1010</v>
      </c>
      <c r="O268" t="s">
        <v>304</v>
      </c>
      <c r="P268" t="s">
        <v>304</v>
      </c>
      <c r="Q268">
        <v>1</v>
      </c>
      <c r="W268">
        <v>0</v>
      </c>
      <c r="X268">
        <v>-302561926</v>
      </c>
      <c r="Y268">
        <v>0.7</v>
      </c>
      <c r="AA268">
        <v>157.35</v>
      </c>
      <c r="AB268">
        <v>0</v>
      </c>
      <c r="AC268">
        <v>0</v>
      </c>
      <c r="AD268">
        <v>0</v>
      </c>
      <c r="AE268">
        <v>157.35</v>
      </c>
      <c r="AF268">
        <v>0</v>
      </c>
      <c r="AG268">
        <v>0</v>
      </c>
      <c r="AH268">
        <v>0</v>
      </c>
      <c r="AI268">
        <v>1</v>
      </c>
      <c r="AJ268">
        <v>1</v>
      </c>
      <c r="AK268">
        <v>1</v>
      </c>
      <c r="AL268">
        <v>1</v>
      </c>
      <c r="AN268">
        <v>0</v>
      </c>
      <c r="AO268">
        <v>0</v>
      </c>
      <c r="AP268">
        <v>0</v>
      </c>
      <c r="AQ268">
        <v>0</v>
      </c>
      <c r="AR268">
        <v>0</v>
      </c>
      <c r="AS268" t="s">
        <v>3</v>
      </c>
      <c r="AT268">
        <v>0.7</v>
      </c>
      <c r="AU268" t="s">
        <v>3</v>
      </c>
      <c r="AV268">
        <v>0</v>
      </c>
      <c r="AW268">
        <v>1</v>
      </c>
      <c r="AX268">
        <v>-1</v>
      </c>
      <c r="AY268">
        <v>0</v>
      </c>
      <c r="AZ268">
        <v>0</v>
      </c>
      <c r="BA268" t="s">
        <v>3</v>
      </c>
      <c r="BB268">
        <v>0</v>
      </c>
      <c r="BC268">
        <v>0</v>
      </c>
      <c r="BD268">
        <v>0</v>
      </c>
      <c r="BE268">
        <v>0</v>
      </c>
      <c r="BF268">
        <v>0</v>
      </c>
      <c r="BG268">
        <v>0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P268">
        <v>0</v>
      </c>
      <c r="BQ268">
        <v>0</v>
      </c>
      <c r="BR268">
        <v>0</v>
      </c>
      <c r="BS268">
        <v>0</v>
      </c>
      <c r="BT268">
        <v>0</v>
      </c>
      <c r="BU268">
        <v>0</v>
      </c>
      <c r="BV268">
        <v>0</v>
      </c>
      <c r="BW268">
        <v>0</v>
      </c>
      <c r="CX268">
        <f>Y268*Source!I287</f>
        <v>7</v>
      </c>
      <c r="CY268">
        <f>AA268</f>
        <v>157.35</v>
      </c>
      <c r="CZ268">
        <f>AE268</f>
        <v>157.35</v>
      </c>
      <c r="DA268">
        <f>AI268</f>
        <v>1</v>
      </c>
      <c r="DB268">
        <v>0</v>
      </c>
    </row>
    <row r="269" spans="1:106" x14ac:dyDescent="0.2">
      <c r="A269">
        <f>ROW(Source!A287)</f>
        <v>287</v>
      </c>
      <c r="B269">
        <v>45037306</v>
      </c>
      <c r="C269">
        <v>45038009</v>
      </c>
      <c r="D269">
        <v>0</v>
      </c>
      <c r="E269">
        <v>22652947</v>
      </c>
      <c r="F269">
        <v>1</v>
      </c>
      <c r="G269">
        <v>22652947</v>
      </c>
      <c r="H269">
        <v>3</v>
      </c>
      <c r="I269" t="s">
        <v>375</v>
      </c>
      <c r="J269" t="s">
        <v>3</v>
      </c>
      <c r="K269" t="s">
        <v>382</v>
      </c>
      <c r="L269">
        <v>1040</v>
      </c>
      <c r="N269">
        <v>1013</v>
      </c>
      <c r="O269" t="s">
        <v>383</v>
      </c>
      <c r="P269" t="s">
        <v>383</v>
      </c>
      <c r="Q269">
        <v>1</v>
      </c>
      <c r="W269">
        <v>0</v>
      </c>
      <c r="X269">
        <v>217689376</v>
      </c>
      <c r="Y269">
        <v>0.1</v>
      </c>
      <c r="AA269">
        <v>234.69</v>
      </c>
      <c r="AB269">
        <v>0</v>
      </c>
      <c r="AC269">
        <v>0</v>
      </c>
      <c r="AD269">
        <v>0</v>
      </c>
      <c r="AE269">
        <v>234.69</v>
      </c>
      <c r="AF269">
        <v>0</v>
      </c>
      <c r="AG269">
        <v>0</v>
      </c>
      <c r="AH269">
        <v>0</v>
      </c>
      <c r="AI269">
        <v>1</v>
      </c>
      <c r="AJ269">
        <v>1</v>
      </c>
      <c r="AK269">
        <v>1</v>
      </c>
      <c r="AL269">
        <v>1</v>
      </c>
      <c r="AN269">
        <v>0</v>
      </c>
      <c r="AO269">
        <v>0</v>
      </c>
      <c r="AP269">
        <v>0</v>
      </c>
      <c r="AQ269">
        <v>0</v>
      </c>
      <c r="AR269">
        <v>0</v>
      </c>
      <c r="AS269" t="s">
        <v>3</v>
      </c>
      <c r="AT269">
        <v>0.1</v>
      </c>
      <c r="AU269" t="s">
        <v>3</v>
      </c>
      <c r="AV269">
        <v>0</v>
      </c>
      <c r="AW269">
        <v>1</v>
      </c>
      <c r="AX269">
        <v>-1</v>
      </c>
      <c r="AY269">
        <v>0</v>
      </c>
      <c r="AZ269">
        <v>0</v>
      </c>
      <c r="BA269" t="s">
        <v>3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CX269">
        <f>Y269*Source!I287</f>
        <v>1</v>
      </c>
      <c r="CY269">
        <f>AA269</f>
        <v>234.69</v>
      </c>
      <c r="CZ269">
        <f>AE269</f>
        <v>234.69</v>
      </c>
      <c r="DA269">
        <f>AI269</f>
        <v>1</v>
      </c>
      <c r="DB269">
        <v>0</v>
      </c>
    </row>
    <row r="270" spans="1:106" x14ac:dyDescent="0.2">
      <c r="A270">
        <f>ROW(Source!A288)</f>
        <v>288</v>
      </c>
      <c r="B270">
        <v>45037307</v>
      </c>
      <c r="C270">
        <v>45038009</v>
      </c>
      <c r="D270">
        <v>22652952</v>
      </c>
      <c r="E270">
        <v>22652947</v>
      </c>
      <c r="F270">
        <v>1</v>
      </c>
      <c r="G270">
        <v>22652947</v>
      </c>
      <c r="H270">
        <v>1</v>
      </c>
      <c r="I270" t="s">
        <v>617</v>
      </c>
      <c r="J270" t="s">
        <v>3</v>
      </c>
      <c r="K270" t="s">
        <v>618</v>
      </c>
      <c r="L270">
        <v>1191</v>
      </c>
      <c r="N270">
        <v>1013</v>
      </c>
      <c r="O270" t="s">
        <v>619</v>
      </c>
      <c r="P270" t="s">
        <v>619</v>
      </c>
      <c r="Q270">
        <v>1</v>
      </c>
      <c r="W270">
        <v>0</v>
      </c>
      <c r="X270">
        <v>476480486</v>
      </c>
      <c r="Y270">
        <v>0.10349999999999999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1</v>
      </c>
      <c r="AJ270">
        <v>1</v>
      </c>
      <c r="AK270">
        <v>1</v>
      </c>
      <c r="AL270">
        <v>1</v>
      </c>
      <c r="AN270">
        <v>0</v>
      </c>
      <c r="AO270">
        <v>1</v>
      </c>
      <c r="AP270">
        <v>1</v>
      </c>
      <c r="AQ270">
        <v>0</v>
      </c>
      <c r="AR270">
        <v>0</v>
      </c>
      <c r="AS270" t="s">
        <v>3</v>
      </c>
      <c r="AT270">
        <v>0.09</v>
      </c>
      <c r="AU270" t="s">
        <v>37</v>
      </c>
      <c r="AV270">
        <v>1</v>
      </c>
      <c r="AW270">
        <v>2</v>
      </c>
      <c r="AX270">
        <v>45038618</v>
      </c>
      <c r="AY270">
        <v>1</v>
      </c>
      <c r="AZ270">
        <v>0</v>
      </c>
      <c r="BA270">
        <v>266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0</v>
      </c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0</v>
      </c>
      <c r="BW270">
        <v>0</v>
      </c>
      <c r="CX270">
        <f>Y270*Source!I288</f>
        <v>1.0349999999999999</v>
      </c>
      <c r="CY270">
        <f>AD270</f>
        <v>0</v>
      </c>
      <c r="CZ270">
        <f>AH270</f>
        <v>0</v>
      </c>
      <c r="DA270">
        <f>AL270</f>
        <v>1</v>
      </c>
      <c r="DB270">
        <v>0</v>
      </c>
    </row>
    <row r="271" spans="1:106" x14ac:dyDescent="0.2">
      <c r="A271">
        <f>ROW(Source!A288)</f>
        <v>288</v>
      </c>
      <c r="B271">
        <v>45037307</v>
      </c>
      <c r="C271">
        <v>45038009</v>
      </c>
      <c r="D271">
        <v>22702324</v>
      </c>
      <c r="E271">
        <v>1</v>
      </c>
      <c r="F271">
        <v>1</v>
      </c>
      <c r="G271">
        <v>22652947</v>
      </c>
      <c r="H271">
        <v>3</v>
      </c>
      <c r="I271" t="s">
        <v>738</v>
      </c>
      <c r="J271" t="s">
        <v>739</v>
      </c>
      <c r="K271" t="s">
        <v>740</v>
      </c>
      <c r="L271">
        <v>1348</v>
      </c>
      <c r="N271">
        <v>1009</v>
      </c>
      <c r="O271" t="s">
        <v>29</v>
      </c>
      <c r="P271" t="s">
        <v>29</v>
      </c>
      <c r="Q271">
        <v>1000</v>
      </c>
      <c r="W271">
        <v>0</v>
      </c>
      <c r="X271">
        <v>1398464837</v>
      </c>
      <c r="Y271">
        <v>1.0000000000000001E-5</v>
      </c>
      <c r="AA271">
        <v>135294.10999999999</v>
      </c>
      <c r="AB271">
        <v>0</v>
      </c>
      <c r="AC271">
        <v>0</v>
      </c>
      <c r="AD271">
        <v>0</v>
      </c>
      <c r="AE271">
        <v>16744.32</v>
      </c>
      <c r="AF271">
        <v>0</v>
      </c>
      <c r="AG271">
        <v>0</v>
      </c>
      <c r="AH271">
        <v>0</v>
      </c>
      <c r="AI271">
        <v>8.08</v>
      </c>
      <c r="AJ271">
        <v>1</v>
      </c>
      <c r="AK271">
        <v>1</v>
      </c>
      <c r="AL271">
        <v>1</v>
      </c>
      <c r="AN271">
        <v>0</v>
      </c>
      <c r="AO271">
        <v>1</v>
      </c>
      <c r="AP271">
        <v>0</v>
      </c>
      <c r="AQ271">
        <v>0</v>
      </c>
      <c r="AR271">
        <v>0</v>
      </c>
      <c r="AS271" t="s">
        <v>3</v>
      </c>
      <c r="AT271">
        <v>1.0000000000000001E-5</v>
      </c>
      <c r="AU271" t="s">
        <v>3</v>
      </c>
      <c r="AV271">
        <v>0</v>
      </c>
      <c r="AW271">
        <v>2</v>
      </c>
      <c r="AX271">
        <v>45038619</v>
      </c>
      <c r="AY271">
        <v>1</v>
      </c>
      <c r="AZ271">
        <v>0</v>
      </c>
      <c r="BA271">
        <v>267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CX271">
        <f>Y271*Source!I288</f>
        <v>1E-4</v>
      </c>
      <c r="CY271">
        <f>AA271</f>
        <v>135294.10999999999</v>
      </c>
      <c r="CZ271">
        <f>AE271</f>
        <v>16744.32</v>
      </c>
      <c r="DA271">
        <f>AI271</f>
        <v>8.08</v>
      </c>
      <c r="DB271">
        <v>0</v>
      </c>
    </row>
    <row r="272" spans="1:106" x14ac:dyDescent="0.2">
      <c r="A272">
        <f>ROW(Source!A288)</f>
        <v>288</v>
      </c>
      <c r="B272">
        <v>45037307</v>
      </c>
      <c r="C272">
        <v>45038009</v>
      </c>
      <c r="D272">
        <v>0</v>
      </c>
      <c r="E272">
        <v>22652947</v>
      </c>
      <c r="F272">
        <v>1</v>
      </c>
      <c r="G272">
        <v>22652947</v>
      </c>
      <c r="H272">
        <v>3</v>
      </c>
      <c r="I272" t="s">
        <v>375</v>
      </c>
      <c r="J272" t="s">
        <v>3</v>
      </c>
      <c r="K272" t="s">
        <v>376</v>
      </c>
      <c r="L272">
        <v>1354</v>
      </c>
      <c r="N272">
        <v>1010</v>
      </c>
      <c r="O272" t="s">
        <v>304</v>
      </c>
      <c r="P272" t="s">
        <v>304</v>
      </c>
      <c r="Q272">
        <v>1</v>
      </c>
      <c r="W272">
        <v>0</v>
      </c>
      <c r="X272">
        <v>1952853913</v>
      </c>
      <c r="Y272">
        <v>0.2</v>
      </c>
      <c r="AA272">
        <v>367.41</v>
      </c>
      <c r="AB272">
        <v>0</v>
      </c>
      <c r="AC272">
        <v>0</v>
      </c>
      <c r="AD272">
        <v>0</v>
      </c>
      <c r="AE272">
        <v>70.25</v>
      </c>
      <c r="AF272">
        <v>0</v>
      </c>
      <c r="AG272">
        <v>0</v>
      </c>
      <c r="AH272">
        <v>0</v>
      </c>
      <c r="AI272">
        <v>5.23</v>
      </c>
      <c r="AJ272">
        <v>1</v>
      </c>
      <c r="AK272">
        <v>1</v>
      </c>
      <c r="AL272">
        <v>1</v>
      </c>
      <c r="AN272">
        <v>0</v>
      </c>
      <c r="AO272">
        <v>0</v>
      </c>
      <c r="AP272">
        <v>0</v>
      </c>
      <c r="AQ272">
        <v>0</v>
      </c>
      <c r="AR272">
        <v>0</v>
      </c>
      <c r="AS272" t="s">
        <v>3</v>
      </c>
      <c r="AT272">
        <v>0.2</v>
      </c>
      <c r="AU272" t="s">
        <v>3</v>
      </c>
      <c r="AV272">
        <v>0</v>
      </c>
      <c r="AW272">
        <v>1</v>
      </c>
      <c r="AX272">
        <v>-1</v>
      </c>
      <c r="AY272">
        <v>0</v>
      </c>
      <c r="AZ272">
        <v>0</v>
      </c>
      <c r="BA272" t="s">
        <v>3</v>
      </c>
      <c r="BB272">
        <v>0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0</v>
      </c>
      <c r="BQ272">
        <v>0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CX272">
        <f>Y272*Source!I288</f>
        <v>2</v>
      </c>
      <c r="CY272">
        <f>AA272</f>
        <v>367.41</v>
      </c>
      <c r="CZ272">
        <f>AE272</f>
        <v>70.25</v>
      </c>
      <c r="DA272">
        <f>AI272</f>
        <v>5.23</v>
      </c>
      <c r="DB272">
        <v>0</v>
      </c>
    </row>
    <row r="273" spans="1:106" x14ac:dyDescent="0.2">
      <c r="A273">
        <f>ROW(Source!A288)</f>
        <v>288</v>
      </c>
      <c r="B273">
        <v>45037307</v>
      </c>
      <c r="C273">
        <v>45038009</v>
      </c>
      <c r="D273">
        <v>0</v>
      </c>
      <c r="E273">
        <v>22652947</v>
      </c>
      <c r="F273">
        <v>1</v>
      </c>
      <c r="G273">
        <v>22652947</v>
      </c>
      <c r="H273">
        <v>3</v>
      </c>
      <c r="I273" t="s">
        <v>375</v>
      </c>
      <c r="J273" t="s">
        <v>3</v>
      </c>
      <c r="K273" t="s">
        <v>379</v>
      </c>
      <c r="L273">
        <v>1354</v>
      </c>
      <c r="N273">
        <v>1010</v>
      </c>
      <c r="O273" t="s">
        <v>304</v>
      </c>
      <c r="P273" t="s">
        <v>304</v>
      </c>
      <c r="Q273">
        <v>1</v>
      </c>
      <c r="W273">
        <v>0</v>
      </c>
      <c r="X273">
        <v>-302561926</v>
      </c>
      <c r="Y273">
        <v>0.7</v>
      </c>
      <c r="AA273">
        <v>822.94</v>
      </c>
      <c r="AB273">
        <v>0</v>
      </c>
      <c r="AC273">
        <v>0</v>
      </c>
      <c r="AD273">
        <v>0</v>
      </c>
      <c r="AE273">
        <v>157.35</v>
      </c>
      <c r="AF273">
        <v>0</v>
      </c>
      <c r="AG273">
        <v>0</v>
      </c>
      <c r="AH273">
        <v>0</v>
      </c>
      <c r="AI273">
        <v>5.23</v>
      </c>
      <c r="AJ273">
        <v>1</v>
      </c>
      <c r="AK273">
        <v>1</v>
      </c>
      <c r="AL273">
        <v>1</v>
      </c>
      <c r="AN273">
        <v>0</v>
      </c>
      <c r="AO273">
        <v>0</v>
      </c>
      <c r="AP273">
        <v>0</v>
      </c>
      <c r="AQ273">
        <v>0</v>
      </c>
      <c r="AR273">
        <v>0</v>
      </c>
      <c r="AS273" t="s">
        <v>3</v>
      </c>
      <c r="AT273">
        <v>0.7</v>
      </c>
      <c r="AU273" t="s">
        <v>3</v>
      </c>
      <c r="AV273">
        <v>0</v>
      </c>
      <c r="AW273">
        <v>1</v>
      </c>
      <c r="AX273">
        <v>-1</v>
      </c>
      <c r="AY273">
        <v>0</v>
      </c>
      <c r="AZ273">
        <v>0</v>
      </c>
      <c r="BA273" t="s">
        <v>3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CX273">
        <f>Y273*Source!I288</f>
        <v>7</v>
      </c>
      <c r="CY273">
        <f>AA273</f>
        <v>822.94</v>
      </c>
      <c r="CZ273">
        <f>AE273</f>
        <v>157.35</v>
      </c>
      <c r="DA273">
        <f>AI273</f>
        <v>5.23</v>
      </c>
      <c r="DB273">
        <v>0</v>
      </c>
    </row>
    <row r="274" spans="1:106" x14ac:dyDescent="0.2">
      <c r="A274">
        <f>ROW(Source!A288)</f>
        <v>288</v>
      </c>
      <c r="B274">
        <v>45037307</v>
      </c>
      <c r="C274">
        <v>45038009</v>
      </c>
      <c r="D274">
        <v>0</v>
      </c>
      <c r="E274">
        <v>22652947</v>
      </c>
      <c r="F274">
        <v>1</v>
      </c>
      <c r="G274">
        <v>22652947</v>
      </c>
      <c r="H274">
        <v>3</v>
      </c>
      <c r="I274" t="s">
        <v>375</v>
      </c>
      <c r="J274" t="s">
        <v>3</v>
      </c>
      <c r="K274" t="s">
        <v>382</v>
      </c>
      <c r="L274">
        <v>1040</v>
      </c>
      <c r="N274">
        <v>1013</v>
      </c>
      <c r="O274" t="s">
        <v>383</v>
      </c>
      <c r="P274" t="s">
        <v>383</v>
      </c>
      <c r="Q274">
        <v>1</v>
      </c>
      <c r="W274">
        <v>0</v>
      </c>
      <c r="X274">
        <v>217689376</v>
      </c>
      <c r="Y274">
        <v>0.1</v>
      </c>
      <c r="AA274">
        <v>1227.43</v>
      </c>
      <c r="AB274">
        <v>0</v>
      </c>
      <c r="AC274">
        <v>0</v>
      </c>
      <c r="AD274">
        <v>0</v>
      </c>
      <c r="AE274">
        <v>234.69</v>
      </c>
      <c r="AF274">
        <v>0</v>
      </c>
      <c r="AG274">
        <v>0</v>
      </c>
      <c r="AH274">
        <v>0</v>
      </c>
      <c r="AI274">
        <v>5.23</v>
      </c>
      <c r="AJ274">
        <v>1</v>
      </c>
      <c r="AK274">
        <v>1</v>
      </c>
      <c r="AL274">
        <v>1</v>
      </c>
      <c r="AN274">
        <v>0</v>
      </c>
      <c r="AO274">
        <v>0</v>
      </c>
      <c r="AP274">
        <v>0</v>
      </c>
      <c r="AQ274">
        <v>0</v>
      </c>
      <c r="AR274">
        <v>0</v>
      </c>
      <c r="AS274" t="s">
        <v>3</v>
      </c>
      <c r="AT274">
        <v>0.1</v>
      </c>
      <c r="AU274" t="s">
        <v>3</v>
      </c>
      <c r="AV274">
        <v>0</v>
      </c>
      <c r="AW274">
        <v>1</v>
      </c>
      <c r="AX274">
        <v>-1</v>
      </c>
      <c r="AY274">
        <v>0</v>
      </c>
      <c r="AZ274">
        <v>0</v>
      </c>
      <c r="BA274" t="s">
        <v>3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CX274">
        <f>Y274*Source!I288</f>
        <v>1</v>
      </c>
      <c r="CY274">
        <f>AA274</f>
        <v>1227.43</v>
      </c>
      <c r="CZ274">
        <f>AE274</f>
        <v>234.69</v>
      </c>
      <c r="DA274">
        <f>AI274</f>
        <v>5.23</v>
      </c>
      <c r="DB274">
        <v>0</v>
      </c>
    </row>
    <row r="275" spans="1:106" x14ac:dyDescent="0.2">
      <c r="A275">
        <f>ROW(Source!A329)</f>
        <v>329</v>
      </c>
      <c r="B275">
        <v>45037306</v>
      </c>
      <c r="C275">
        <v>45038075</v>
      </c>
      <c r="D275">
        <v>22652952</v>
      </c>
      <c r="E275">
        <v>22652947</v>
      </c>
      <c r="F275">
        <v>1</v>
      </c>
      <c r="G275">
        <v>22652947</v>
      </c>
      <c r="H275">
        <v>1</v>
      </c>
      <c r="I275" t="s">
        <v>617</v>
      </c>
      <c r="J275" t="s">
        <v>3</v>
      </c>
      <c r="K275" t="s">
        <v>618</v>
      </c>
      <c r="L275">
        <v>1191</v>
      </c>
      <c r="N275">
        <v>1013</v>
      </c>
      <c r="O275" t="s">
        <v>619</v>
      </c>
      <c r="P275" t="s">
        <v>619</v>
      </c>
      <c r="Q275">
        <v>1</v>
      </c>
      <c r="W275">
        <v>0</v>
      </c>
      <c r="X275">
        <v>476480486</v>
      </c>
      <c r="Y275">
        <v>16.559999999999999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1</v>
      </c>
      <c r="AJ275">
        <v>1</v>
      </c>
      <c r="AK275">
        <v>1</v>
      </c>
      <c r="AL275">
        <v>1</v>
      </c>
      <c r="AN275">
        <v>0</v>
      </c>
      <c r="AO275">
        <v>1</v>
      </c>
      <c r="AP275">
        <v>1</v>
      </c>
      <c r="AQ275">
        <v>0</v>
      </c>
      <c r="AR275">
        <v>0</v>
      </c>
      <c r="AS275" t="s">
        <v>3</v>
      </c>
      <c r="AT275">
        <v>14.4</v>
      </c>
      <c r="AU275" t="s">
        <v>37</v>
      </c>
      <c r="AV275">
        <v>1</v>
      </c>
      <c r="AW275">
        <v>2</v>
      </c>
      <c r="AX275">
        <v>45038621</v>
      </c>
      <c r="AY275">
        <v>1</v>
      </c>
      <c r="AZ275">
        <v>0</v>
      </c>
      <c r="BA275">
        <v>269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CX275">
        <f>Y275*Source!I329</f>
        <v>4.9679999999999995E-2</v>
      </c>
      <c r="CY275">
        <f>AD275</f>
        <v>0</v>
      </c>
      <c r="CZ275">
        <f>AH275</f>
        <v>0</v>
      </c>
      <c r="DA275">
        <f>AL275</f>
        <v>1</v>
      </c>
      <c r="DB275">
        <v>0</v>
      </c>
    </row>
    <row r="276" spans="1:106" x14ac:dyDescent="0.2">
      <c r="A276">
        <f>ROW(Source!A329)</f>
        <v>329</v>
      </c>
      <c r="B276">
        <v>45037306</v>
      </c>
      <c r="C276">
        <v>45038075</v>
      </c>
      <c r="D276">
        <v>22725060</v>
      </c>
      <c r="E276">
        <v>1</v>
      </c>
      <c r="F276">
        <v>1</v>
      </c>
      <c r="G276">
        <v>22652947</v>
      </c>
      <c r="H276">
        <v>2</v>
      </c>
      <c r="I276" t="s">
        <v>741</v>
      </c>
      <c r="J276" t="s">
        <v>742</v>
      </c>
      <c r="K276" t="s">
        <v>743</v>
      </c>
      <c r="L276">
        <v>1367</v>
      </c>
      <c r="N276">
        <v>1011</v>
      </c>
      <c r="O276" t="s">
        <v>623</v>
      </c>
      <c r="P276" t="s">
        <v>623</v>
      </c>
      <c r="Q276">
        <v>1</v>
      </c>
      <c r="W276">
        <v>0</v>
      </c>
      <c r="X276">
        <v>1928543733</v>
      </c>
      <c r="Y276">
        <v>2.0749999999999997</v>
      </c>
      <c r="AA276">
        <v>0</v>
      </c>
      <c r="AB276">
        <v>116.89</v>
      </c>
      <c r="AC276">
        <v>23.41</v>
      </c>
      <c r="AD276">
        <v>0</v>
      </c>
      <c r="AE276">
        <v>0</v>
      </c>
      <c r="AF276">
        <v>116.89</v>
      </c>
      <c r="AG276">
        <v>23.41</v>
      </c>
      <c r="AH276">
        <v>0</v>
      </c>
      <c r="AI276">
        <v>1</v>
      </c>
      <c r="AJ276">
        <v>1</v>
      </c>
      <c r="AK276">
        <v>1</v>
      </c>
      <c r="AL276">
        <v>1</v>
      </c>
      <c r="AN276">
        <v>0</v>
      </c>
      <c r="AO276">
        <v>1</v>
      </c>
      <c r="AP276">
        <v>1</v>
      </c>
      <c r="AQ276">
        <v>0</v>
      </c>
      <c r="AR276">
        <v>0</v>
      </c>
      <c r="AS276" t="s">
        <v>3</v>
      </c>
      <c r="AT276">
        <v>1.66</v>
      </c>
      <c r="AU276" t="s">
        <v>36</v>
      </c>
      <c r="AV276">
        <v>0</v>
      </c>
      <c r="AW276">
        <v>2</v>
      </c>
      <c r="AX276">
        <v>45038622</v>
      </c>
      <c r="AY276">
        <v>1</v>
      </c>
      <c r="AZ276">
        <v>0</v>
      </c>
      <c r="BA276">
        <v>270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CX276">
        <f>Y276*Source!I329</f>
        <v>6.2249999999999996E-3</v>
      </c>
      <c r="CY276">
        <f>AB276</f>
        <v>116.89</v>
      </c>
      <c r="CZ276">
        <f>AF276</f>
        <v>116.89</v>
      </c>
      <c r="DA276">
        <f>AJ276</f>
        <v>1</v>
      </c>
      <c r="DB276">
        <v>0</v>
      </c>
    </row>
    <row r="277" spans="1:106" x14ac:dyDescent="0.2">
      <c r="A277">
        <f>ROW(Source!A329)</f>
        <v>329</v>
      </c>
      <c r="B277">
        <v>45037306</v>
      </c>
      <c r="C277">
        <v>45038075</v>
      </c>
      <c r="D277">
        <v>22725283</v>
      </c>
      <c r="E277">
        <v>1</v>
      </c>
      <c r="F277">
        <v>1</v>
      </c>
      <c r="G277">
        <v>22652947</v>
      </c>
      <c r="H277">
        <v>2</v>
      </c>
      <c r="I277" t="s">
        <v>744</v>
      </c>
      <c r="J277" t="s">
        <v>745</v>
      </c>
      <c r="K277" t="s">
        <v>746</v>
      </c>
      <c r="L277">
        <v>1367</v>
      </c>
      <c r="N277">
        <v>1011</v>
      </c>
      <c r="O277" t="s">
        <v>623</v>
      </c>
      <c r="P277" t="s">
        <v>623</v>
      </c>
      <c r="Q277">
        <v>1</v>
      </c>
      <c r="W277">
        <v>0</v>
      </c>
      <c r="X277">
        <v>142191915</v>
      </c>
      <c r="Y277">
        <v>2.0749999999999997</v>
      </c>
      <c r="AA277">
        <v>0</v>
      </c>
      <c r="AB277">
        <v>62.97</v>
      </c>
      <c r="AC277">
        <v>6.64</v>
      </c>
      <c r="AD277">
        <v>0</v>
      </c>
      <c r="AE277">
        <v>0</v>
      </c>
      <c r="AF277">
        <v>62.97</v>
      </c>
      <c r="AG277">
        <v>6.64</v>
      </c>
      <c r="AH277">
        <v>0</v>
      </c>
      <c r="AI277">
        <v>1</v>
      </c>
      <c r="AJ277">
        <v>1</v>
      </c>
      <c r="AK277">
        <v>1</v>
      </c>
      <c r="AL277">
        <v>1</v>
      </c>
      <c r="AN277">
        <v>0</v>
      </c>
      <c r="AO277">
        <v>1</v>
      </c>
      <c r="AP277">
        <v>1</v>
      </c>
      <c r="AQ277">
        <v>0</v>
      </c>
      <c r="AR277">
        <v>0</v>
      </c>
      <c r="AS277" t="s">
        <v>3</v>
      </c>
      <c r="AT277">
        <v>1.66</v>
      </c>
      <c r="AU277" t="s">
        <v>36</v>
      </c>
      <c r="AV277">
        <v>0</v>
      </c>
      <c r="AW277">
        <v>2</v>
      </c>
      <c r="AX277">
        <v>45038623</v>
      </c>
      <c r="AY277">
        <v>1</v>
      </c>
      <c r="AZ277">
        <v>0</v>
      </c>
      <c r="BA277">
        <v>271</v>
      </c>
      <c r="BB277">
        <v>0</v>
      </c>
      <c r="BC277">
        <v>0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0</v>
      </c>
      <c r="BQ277">
        <v>0</v>
      </c>
      <c r="BR277">
        <v>0</v>
      </c>
      <c r="BS277">
        <v>0</v>
      </c>
      <c r="BT277">
        <v>0</v>
      </c>
      <c r="BU277">
        <v>0</v>
      </c>
      <c r="BV277">
        <v>0</v>
      </c>
      <c r="BW277">
        <v>0</v>
      </c>
      <c r="CX277">
        <f>Y277*Source!I329</f>
        <v>6.2249999999999996E-3</v>
      </c>
      <c r="CY277">
        <f>AB277</f>
        <v>62.97</v>
      </c>
      <c r="CZ277">
        <f>AF277</f>
        <v>62.97</v>
      </c>
      <c r="DA277">
        <f>AJ277</f>
        <v>1</v>
      </c>
      <c r="DB277">
        <v>0</v>
      </c>
    </row>
    <row r="278" spans="1:106" x14ac:dyDescent="0.2">
      <c r="A278">
        <f>ROW(Source!A329)</f>
        <v>329</v>
      </c>
      <c r="B278">
        <v>45037306</v>
      </c>
      <c r="C278">
        <v>45038075</v>
      </c>
      <c r="D278">
        <v>22725286</v>
      </c>
      <c r="E278">
        <v>1</v>
      </c>
      <c r="F278">
        <v>1</v>
      </c>
      <c r="G278">
        <v>22652947</v>
      </c>
      <c r="H278">
        <v>2</v>
      </c>
      <c r="I278" t="s">
        <v>747</v>
      </c>
      <c r="J278" t="s">
        <v>748</v>
      </c>
      <c r="K278" t="s">
        <v>749</v>
      </c>
      <c r="L278">
        <v>1367</v>
      </c>
      <c r="N278">
        <v>1011</v>
      </c>
      <c r="O278" t="s">
        <v>623</v>
      </c>
      <c r="P278" t="s">
        <v>623</v>
      </c>
      <c r="Q278">
        <v>1</v>
      </c>
      <c r="W278">
        <v>0</v>
      </c>
      <c r="X278">
        <v>378346098</v>
      </c>
      <c r="Y278">
        <v>0.8125</v>
      </c>
      <c r="AA278">
        <v>0</v>
      </c>
      <c r="AB278">
        <v>140.58000000000001</v>
      </c>
      <c r="AC278">
        <v>28.61</v>
      </c>
      <c r="AD278">
        <v>0</v>
      </c>
      <c r="AE278">
        <v>0</v>
      </c>
      <c r="AF278">
        <v>140.58000000000001</v>
      </c>
      <c r="AG278">
        <v>28.61</v>
      </c>
      <c r="AH278">
        <v>0</v>
      </c>
      <c r="AI278">
        <v>1</v>
      </c>
      <c r="AJ278">
        <v>1</v>
      </c>
      <c r="AK278">
        <v>1</v>
      </c>
      <c r="AL278">
        <v>1</v>
      </c>
      <c r="AN278">
        <v>0</v>
      </c>
      <c r="AO278">
        <v>1</v>
      </c>
      <c r="AP278">
        <v>1</v>
      </c>
      <c r="AQ278">
        <v>0</v>
      </c>
      <c r="AR278">
        <v>0</v>
      </c>
      <c r="AS278" t="s">
        <v>3</v>
      </c>
      <c r="AT278">
        <v>0.65</v>
      </c>
      <c r="AU278" t="s">
        <v>36</v>
      </c>
      <c r="AV278">
        <v>0</v>
      </c>
      <c r="AW278">
        <v>2</v>
      </c>
      <c r="AX278">
        <v>45038624</v>
      </c>
      <c r="AY278">
        <v>1</v>
      </c>
      <c r="AZ278">
        <v>0</v>
      </c>
      <c r="BA278">
        <v>272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0</v>
      </c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0</v>
      </c>
      <c r="BW278">
        <v>0</v>
      </c>
      <c r="CX278">
        <f>Y278*Source!I329</f>
        <v>2.4375E-3</v>
      </c>
      <c r="CY278">
        <f>AB278</f>
        <v>140.58000000000001</v>
      </c>
      <c r="CZ278">
        <f>AF278</f>
        <v>140.58000000000001</v>
      </c>
      <c r="DA278">
        <f>AJ278</f>
        <v>1</v>
      </c>
      <c r="DB278">
        <v>0</v>
      </c>
    </row>
    <row r="279" spans="1:106" x14ac:dyDescent="0.2">
      <c r="A279">
        <f>ROW(Source!A329)</f>
        <v>329</v>
      </c>
      <c r="B279">
        <v>45037306</v>
      </c>
      <c r="C279">
        <v>45038075</v>
      </c>
      <c r="D279">
        <v>22725314</v>
      </c>
      <c r="E279">
        <v>1</v>
      </c>
      <c r="F279">
        <v>1</v>
      </c>
      <c r="G279">
        <v>22652947</v>
      </c>
      <c r="H279">
        <v>2</v>
      </c>
      <c r="I279" t="s">
        <v>627</v>
      </c>
      <c r="J279" t="s">
        <v>628</v>
      </c>
      <c r="K279" t="s">
        <v>629</v>
      </c>
      <c r="L279">
        <v>1367</v>
      </c>
      <c r="N279">
        <v>1011</v>
      </c>
      <c r="O279" t="s">
        <v>623</v>
      </c>
      <c r="P279" t="s">
        <v>623</v>
      </c>
      <c r="Q279">
        <v>1</v>
      </c>
      <c r="W279">
        <v>0</v>
      </c>
      <c r="X279">
        <v>856318566</v>
      </c>
      <c r="Y279">
        <v>1.9375</v>
      </c>
      <c r="AA279">
        <v>0</v>
      </c>
      <c r="AB279">
        <v>125.13</v>
      </c>
      <c r="AC279">
        <v>24.74</v>
      </c>
      <c r="AD279">
        <v>0</v>
      </c>
      <c r="AE279">
        <v>0</v>
      </c>
      <c r="AF279">
        <v>125.13</v>
      </c>
      <c r="AG279">
        <v>24.74</v>
      </c>
      <c r="AH279">
        <v>0</v>
      </c>
      <c r="AI279">
        <v>1</v>
      </c>
      <c r="AJ279">
        <v>1</v>
      </c>
      <c r="AK279">
        <v>1</v>
      </c>
      <c r="AL279">
        <v>1</v>
      </c>
      <c r="AN279">
        <v>0</v>
      </c>
      <c r="AO279">
        <v>1</v>
      </c>
      <c r="AP279">
        <v>1</v>
      </c>
      <c r="AQ279">
        <v>0</v>
      </c>
      <c r="AR279">
        <v>0</v>
      </c>
      <c r="AS279" t="s">
        <v>3</v>
      </c>
      <c r="AT279">
        <v>1.55</v>
      </c>
      <c r="AU279" t="s">
        <v>36</v>
      </c>
      <c r="AV279">
        <v>0</v>
      </c>
      <c r="AW279">
        <v>2</v>
      </c>
      <c r="AX279">
        <v>45038625</v>
      </c>
      <c r="AY279">
        <v>1</v>
      </c>
      <c r="AZ279">
        <v>0</v>
      </c>
      <c r="BA279">
        <v>273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CX279">
        <f>Y279*Source!I329</f>
        <v>5.8125E-3</v>
      </c>
      <c r="CY279">
        <f>AB279</f>
        <v>125.13</v>
      </c>
      <c r="CZ279">
        <f>AF279</f>
        <v>125.13</v>
      </c>
      <c r="DA279">
        <f>AJ279</f>
        <v>1</v>
      </c>
      <c r="DB279">
        <v>0</v>
      </c>
    </row>
    <row r="280" spans="1:106" x14ac:dyDescent="0.2">
      <c r="A280">
        <f>ROW(Source!A329)</f>
        <v>329</v>
      </c>
      <c r="B280">
        <v>45037306</v>
      </c>
      <c r="C280">
        <v>45038075</v>
      </c>
      <c r="D280">
        <v>22725276</v>
      </c>
      <c r="E280">
        <v>1</v>
      </c>
      <c r="F280">
        <v>1</v>
      </c>
      <c r="G280">
        <v>22652947</v>
      </c>
      <c r="H280">
        <v>2</v>
      </c>
      <c r="I280" t="s">
        <v>651</v>
      </c>
      <c r="J280" t="s">
        <v>652</v>
      </c>
      <c r="K280" t="s">
        <v>653</v>
      </c>
      <c r="L280">
        <v>1367</v>
      </c>
      <c r="N280">
        <v>1011</v>
      </c>
      <c r="O280" t="s">
        <v>623</v>
      </c>
      <c r="P280" t="s">
        <v>623</v>
      </c>
      <c r="Q280">
        <v>1</v>
      </c>
      <c r="W280">
        <v>0</v>
      </c>
      <c r="X280">
        <v>2023875219</v>
      </c>
      <c r="Y280">
        <v>0.65</v>
      </c>
      <c r="AA280">
        <v>0</v>
      </c>
      <c r="AB280">
        <v>178.02</v>
      </c>
      <c r="AC280">
        <v>23.5</v>
      </c>
      <c r="AD280">
        <v>0</v>
      </c>
      <c r="AE280">
        <v>0</v>
      </c>
      <c r="AF280">
        <v>178.02</v>
      </c>
      <c r="AG280">
        <v>23.5</v>
      </c>
      <c r="AH280">
        <v>0</v>
      </c>
      <c r="AI280">
        <v>1</v>
      </c>
      <c r="AJ280">
        <v>1</v>
      </c>
      <c r="AK280">
        <v>1</v>
      </c>
      <c r="AL280">
        <v>1</v>
      </c>
      <c r="AN280">
        <v>0</v>
      </c>
      <c r="AO280">
        <v>1</v>
      </c>
      <c r="AP280">
        <v>1</v>
      </c>
      <c r="AQ280">
        <v>0</v>
      </c>
      <c r="AR280">
        <v>0</v>
      </c>
      <c r="AS280" t="s">
        <v>3</v>
      </c>
      <c r="AT280">
        <v>0.52</v>
      </c>
      <c r="AU280" t="s">
        <v>36</v>
      </c>
      <c r="AV280">
        <v>0</v>
      </c>
      <c r="AW280">
        <v>2</v>
      </c>
      <c r="AX280">
        <v>45038626</v>
      </c>
      <c r="AY280">
        <v>1</v>
      </c>
      <c r="AZ280">
        <v>0</v>
      </c>
      <c r="BA280">
        <v>274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CX280">
        <f>Y280*Source!I329</f>
        <v>1.9500000000000001E-3</v>
      </c>
      <c r="CY280">
        <f>AB280</f>
        <v>178.02</v>
      </c>
      <c r="CZ280">
        <f>AF280</f>
        <v>178.02</v>
      </c>
      <c r="DA280">
        <f>AJ280</f>
        <v>1</v>
      </c>
      <c r="DB280">
        <v>0</v>
      </c>
    </row>
    <row r="281" spans="1:106" x14ac:dyDescent="0.2">
      <c r="A281">
        <f>ROW(Source!A329)</f>
        <v>329</v>
      </c>
      <c r="B281">
        <v>45037306</v>
      </c>
      <c r="C281">
        <v>45038075</v>
      </c>
      <c r="D281">
        <v>22700967</v>
      </c>
      <c r="E281">
        <v>1</v>
      </c>
      <c r="F281">
        <v>1</v>
      </c>
      <c r="G281">
        <v>22652947</v>
      </c>
      <c r="H281">
        <v>3</v>
      </c>
      <c r="I281" t="s">
        <v>273</v>
      </c>
      <c r="J281" t="s">
        <v>275</v>
      </c>
      <c r="K281" t="s">
        <v>274</v>
      </c>
      <c r="L281">
        <v>1339</v>
      </c>
      <c r="N281">
        <v>1007</v>
      </c>
      <c r="O281" t="s">
        <v>80</v>
      </c>
      <c r="P281" t="s">
        <v>80</v>
      </c>
      <c r="Q281">
        <v>1</v>
      </c>
      <c r="W281">
        <v>0</v>
      </c>
      <c r="X281">
        <v>-862991314</v>
      </c>
      <c r="Y281">
        <v>5</v>
      </c>
      <c r="AA281">
        <v>7.07</v>
      </c>
      <c r="AB281">
        <v>0</v>
      </c>
      <c r="AC281">
        <v>0</v>
      </c>
      <c r="AD281">
        <v>0</v>
      </c>
      <c r="AE281">
        <v>7.07</v>
      </c>
      <c r="AF281">
        <v>0</v>
      </c>
      <c r="AG281">
        <v>0</v>
      </c>
      <c r="AH281">
        <v>0</v>
      </c>
      <c r="AI281">
        <v>1</v>
      </c>
      <c r="AJ281">
        <v>1</v>
      </c>
      <c r="AK281">
        <v>1</v>
      </c>
      <c r="AL281">
        <v>1</v>
      </c>
      <c r="AN281">
        <v>0</v>
      </c>
      <c r="AO281">
        <v>1</v>
      </c>
      <c r="AP281">
        <v>0</v>
      </c>
      <c r="AQ281">
        <v>0</v>
      </c>
      <c r="AR281">
        <v>0</v>
      </c>
      <c r="AS281" t="s">
        <v>3</v>
      </c>
      <c r="AT281">
        <v>5</v>
      </c>
      <c r="AU281" t="s">
        <v>3</v>
      </c>
      <c r="AV281">
        <v>0</v>
      </c>
      <c r="AW281">
        <v>2</v>
      </c>
      <c r="AX281">
        <v>45038627</v>
      </c>
      <c r="AY281">
        <v>1</v>
      </c>
      <c r="AZ281">
        <v>0</v>
      </c>
      <c r="BA281">
        <v>275</v>
      </c>
      <c r="BB281">
        <v>0</v>
      </c>
      <c r="BC281">
        <v>0</v>
      </c>
      <c r="BD281">
        <v>0</v>
      </c>
      <c r="BE281">
        <v>0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0</v>
      </c>
      <c r="BQ281">
        <v>0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CX281">
        <f>Y281*Source!I329</f>
        <v>1.4999999999999999E-2</v>
      </c>
      <c r="CY281">
        <f>AA281</f>
        <v>7.07</v>
      </c>
      <c r="CZ281">
        <f>AE281</f>
        <v>7.07</v>
      </c>
      <c r="DA281">
        <f>AI281</f>
        <v>1</v>
      </c>
      <c r="DB281">
        <v>0</v>
      </c>
    </row>
    <row r="282" spans="1:106" x14ac:dyDescent="0.2">
      <c r="A282">
        <f>ROW(Source!A329)</f>
        <v>329</v>
      </c>
      <c r="B282">
        <v>45037306</v>
      </c>
      <c r="C282">
        <v>45038075</v>
      </c>
      <c r="D282">
        <v>22701526</v>
      </c>
      <c r="E282">
        <v>1</v>
      </c>
      <c r="F282">
        <v>1</v>
      </c>
      <c r="G282">
        <v>22652947</v>
      </c>
      <c r="H282">
        <v>3</v>
      </c>
      <c r="I282" t="s">
        <v>394</v>
      </c>
      <c r="J282" t="s">
        <v>396</v>
      </c>
      <c r="K282" t="s">
        <v>395</v>
      </c>
      <c r="L282">
        <v>1339</v>
      </c>
      <c r="N282">
        <v>1007</v>
      </c>
      <c r="O282" t="s">
        <v>80</v>
      </c>
      <c r="P282" t="s">
        <v>80</v>
      </c>
      <c r="Q282">
        <v>1</v>
      </c>
      <c r="W282">
        <v>0</v>
      </c>
      <c r="X282">
        <v>2069056849</v>
      </c>
      <c r="Y282">
        <v>100</v>
      </c>
      <c r="AA282">
        <v>104.99</v>
      </c>
      <c r="AB282">
        <v>0</v>
      </c>
      <c r="AC282">
        <v>0</v>
      </c>
      <c r="AD282">
        <v>0</v>
      </c>
      <c r="AE282">
        <v>104.99</v>
      </c>
      <c r="AF282">
        <v>0</v>
      </c>
      <c r="AG282">
        <v>0</v>
      </c>
      <c r="AH282">
        <v>0</v>
      </c>
      <c r="AI282">
        <v>1</v>
      </c>
      <c r="AJ282">
        <v>1</v>
      </c>
      <c r="AK282">
        <v>1</v>
      </c>
      <c r="AL282">
        <v>1</v>
      </c>
      <c r="AN282">
        <v>0</v>
      </c>
      <c r="AO282">
        <v>0</v>
      </c>
      <c r="AP282">
        <v>0</v>
      </c>
      <c r="AQ282">
        <v>0</v>
      </c>
      <c r="AR282">
        <v>0</v>
      </c>
      <c r="AS282" t="s">
        <v>3</v>
      </c>
      <c r="AT282">
        <v>100</v>
      </c>
      <c r="AU282" t="s">
        <v>3</v>
      </c>
      <c r="AV282">
        <v>0</v>
      </c>
      <c r="AW282">
        <v>1</v>
      </c>
      <c r="AX282">
        <v>-1</v>
      </c>
      <c r="AY282">
        <v>0</v>
      </c>
      <c r="AZ282">
        <v>0</v>
      </c>
      <c r="BA282" t="s">
        <v>3</v>
      </c>
      <c r="BB282">
        <v>0</v>
      </c>
      <c r="BC282">
        <v>0</v>
      </c>
      <c r="BD282">
        <v>0</v>
      </c>
      <c r="BE282">
        <v>0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0</v>
      </c>
      <c r="BQ282">
        <v>0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CX282">
        <f>Y282*Source!I329</f>
        <v>0.3</v>
      </c>
      <c r="CY282">
        <f>AA282</f>
        <v>104.99</v>
      </c>
      <c r="CZ282">
        <f>AE282</f>
        <v>104.99</v>
      </c>
      <c r="DA282">
        <f>AI282</f>
        <v>1</v>
      </c>
      <c r="DB282">
        <v>0</v>
      </c>
    </row>
    <row r="283" spans="1:106" x14ac:dyDescent="0.2">
      <c r="A283">
        <f>ROW(Source!A330)</f>
        <v>330</v>
      </c>
      <c r="B283">
        <v>45037307</v>
      </c>
      <c r="C283">
        <v>45038075</v>
      </c>
      <c r="D283">
        <v>22652952</v>
      </c>
      <c r="E283">
        <v>22652947</v>
      </c>
      <c r="F283">
        <v>1</v>
      </c>
      <c r="G283">
        <v>22652947</v>
      </c>
      <c r="H283">
        <v>1</v>
      </c>
      <c r="I283" t="s">
        <v>617</v>
      </c>
      <c r="J283" t="s">
        <v>3</v>
      </c>
      <c r="K283" t="s">
        <v>618</v>
      </c>
      <c r="L283">
        <v>1191</v>
      </c>
      <c r="N283">
        <v>1013</v>
      </c>
      <c r="O283" t="s">
        <v>619</v>
      </c>
      <c r="P283" t="s">
        <v>619</v>
      </c>
      <c r="Q283">
        <v>1</v>
      </c>
      <c r="W283">
        <v>0</v>
      </c>
      <c r="X283">
        <v>476480486</v>
      </c>
      <c r="Y283">
        <v>16.559999999999999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1</v>
      </c>
      <c r="AJ283">
        <v>1</v>
      </c>
      <c r="AK283">
        <v>1</v>
      </c>
      <c r="AL283">
        <v>1</v>
      </c>
      <c r="AN283">
        <v>0</v>
      </c>
      <c r="AO283">
        <v>1</v>
      </c>
      <c r="AP283">
        <v>1</v>
      </c>
      <c r="AQ283">
        <v>0</v>
      </c>
      <c r="AR283">
        <v>0</v>
      </c>
      <c r="AS283" t="s">
        <v>3</v>
      </c>
      <c r="AT283">
        <v>14.4</v>
      </c>
      <c r="AU283" t="s">
        <v>37</v>
      </c>
      <c r="AV283">
        <v>1</v>
      </c>
      <c r="AW283">
        <v>2</v>
      </c>
      <c r="AX283">
        <v>45038621</v>
      </c>
      <c r="AY283">
        <v>1</v>
      </c>
      <c r="AZ283">
        <v>0</v>
      </c>
      <c r="BA283">
        <v>277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CX283">
        <f>Y283*Source!I330</f>
        <v>4.9679999999999995E-2</v>
      </c>
      <c r="CY283">
        <f>AD283</f>
        <v>0</v>
      </c>
      <c r="CZ283">
        <f>AH283</f>
        <v>0</v>
      </c>
      <c r="DA283">
        <f>AL283</f>
        <v>1</v>
      </c>
      <c r="DB283">
        <v>0</v>
      </c>
    </row>
    <row r="284" spans="1:106" x14ac:dyDescent="0.2">
      <c r="A284">
        <f>ROW(Source!A330)</f>
        <v>330</v>
      </c>
      <c r="B284">
        <v>45037307</v>
      </c>
      <c r="C284">
        <v>45038075</v>
      </c>
      <c r="D284">
        <v>22725060</v>
      </c>
      <c r="E284">
        <v>1</v>
      </c>
      <c r="F284">
        <v>1</v>
      </c>
      <c r="G284">
        <v>22652947</v>
      </c>
      <c r="H284">
        <v>2</v>
      </c>
      <c r="I284" t="s">
        <v>741</v>
      </c>
      <c r="J284" t="s">
        <v>742</v>
      </c>
      <c r="K284" t="s">
        <v>743</v>
      </c>
      <c r="L284">
        <v>1367</v>
      </c>
      <c r="N284">
        <v>1011</v>
      </c>
      <c r="O284" t="s">
        <v>623</v>
      </c>
      <c r="P284" t="s">
        <v>623</v>
      </c>
      <c r="Q284">
        <v>1</v>
      </c>
      <c r="W284">
        <v>0</v>
      </c>
      <c r="X284">
        <v>1928543733</v>
      </c>
      <c r="Y284">
        <v>2.0749999999999997</v>
      </c>
      <c r="AA284">
        <v>0</v>
      </c>
      <c r="AB284">
        <v>1011.1</v>
      </c>
      <c r="AC284">
        <v>477.56</v>
      </c>
      <c r="AD284">
        <v>0</v>
      </c>
      <c r="AE284">
        <v>0</v>
      </c>
      <c r="AF284">
        <v>116.89</v>
      </c>
      <c r="AG284">
        <v>23.41</v>
      </c>
      <c r="AH284">
        <v>0</v>
      </c>
      <c r="AI284">
        <v>1</v>
      </c>
      <c r="AJ284">
        <v>8.65</v>
      </c>
      <c r="AK284">
        <v>20.399999999999999</v>
      </c>
      <c r="AL284">
        <v>1</v>
      </c>
      <c r="AN284">
        <v>0</v>
      </c>
      <c r="AO284">
        <v>1</v>
      </c>
      <c r="AP284">
        <v>1</v>
      </c>
      <c r="AQ284">
        <v>0</v>
      </c>
      <c r="AR284">
        <v>0</v>
      </c>
      <c r="AS284" t="s">
        <v>3</v>
      </c>
      <c r="AT284">
        <v>1.66</v>
      </c>
      <c r="AU284" t="s">
        <v>36</v>
      </c>
      <c r="AV284">
        <v>0</v>
      </c>
      <c r="AW284">
        <v>2</v>
      </c>
      <c r="AX284">
        <v>45038622</v>
      </c>
      <c r="AY284">
        <v>1</v>
      </c>
      <c r="AZ284">
        <v>0</v>
      </c>
      <c r="BA284">
        <v>278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CX284">
        <f>Y284*Source!I330</f>
        <v>6.2249999999999996E-3</v>
      </c>
      <c r="CY284">
        <f>AB284</f>
        <v>1011.1</v>
      </c>
      <c r="CZ284">
        <f>AF284</f>
        <v>116.89</v>
      </c>
      <c r="DA284">
        <f>AJ284</f>
        <v>8.65</v>
      </c>
      <c r="DB284">
        <v>0</v>
      </c>
    </row>
    <row r="285" spans="1:106" x14ac:dyDescent="0.2">
      <c r="A285">
        <f>ROW(Source!A330)</f>
        <v>330</v>
      </c>
      <c r="B285">
        <v>45037307</v>
      </c>
      <c r="C285">
        <v>45038075</v>
      </c>
      <c r="D285">
        <v>22725283</v>
      </c>
      <c r="E285">
        <v>1</v>
      </c>
      <c r="F285">
        <v>1</v>
      </c>
      <c r="G285">
        <v>22652947</v>
      </c>
      <c r="H285">
        <v>2</v>
      </c>
      <c r="I285" t="s">
        <v>744</v>
      </c>
      <c r="J285" t="s">
        <v>745</v>
      </c>
      <c r="K285" t="s">
        <v>746</v>
      </c>
      <c r="L285">
        <v>1367</v>
      </c>
      <c r="N285">
        <v>1011</v>
      </c>
      <c r="O285" t="s">
        <v>623</v>
      </c>
      <c r="P285" t="s">
        <v>623</v>
      </c>
      <c r="Q285">
        <v>1</v>
      </c>
      <c r="W285">
        <v>0</v>
      </c>
      <c r="X285">
        <v>142191915</v>
      </c>
      <c r="Y285">
        <v>2.0749999999999997</v>
      </c>
      <c r="AA285">
        <v>0</v>
      </c>
      <c r="AB285">
        <v>340.67</v>
      </c>
      <c r="AC285">
        <v>135.46</v>
      </c>
      <c r="AD285">
        <v>0</v>
      </c>
      <c r="AE285">
        <v>0</v>
      </c>
      <c r="AF285">
        <v>62.97</v>
      </c>
      <c r="AG285">
        <v>6.64</v>
      </c>
      <c r="AH285">
        <v>0</v>
      </c>
      <c r="AI285">
        <v>1</v>
      </c>
      <c r="AJ285">
        <v>5.41</v>
      </c>
      <c r="AK285">
        <v>20.399999999999999</v>
      </c>
      <c r="AL285">
        <v>1</v>
      </c>
      <c r="AN285">
        <v>0</v>
      </c>
      <c r="AO285">
        <v>1</v>
      </c>
      <c r="AP285">
        <v>1</v>
      </c>
      <c r="AQ285">
        <v>0</v>
      </c>
      <c r="AR285">
        <v>0</v>
      </c>
      <c r="AS285" t="s">
        <v>3</v>
      </c>
      <c r="AT285">
        <v>1.66</v>
      </c>
      <c r="AU285" t="s">
        <v>36</v>
      </c>
      <c r="AV285">
        <v>0</v>
      </c>
      <c r="AW285">
        <v>2</v>
      </c>
      <c r="AX285">
        <v>45038623</v>
      </c>
      <c r="AY285">
        <v>1</v>
      </c>
      <c r="AZ285">
        <v>0</v>
      </c>
      <c r="BA285">
        <v>279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CX285">
        <f>Y285*Source!I330</f>
        <v>6.2249999999999996E-3</v>
      </c>
      <c r="CY285">
        <f>AB285</f>
        <v>340.67</v>
      </c>
      <c r="CZ285">
        <f>AF285</f>
        <v>62.97</v>
      </c>
      <c r="DA285">
        <f>AJ285</f>
        <v>5.41</v>
      </c>
      <c r="DB285">
        <v>0</v>
      </c>
    </row>
    <row r="286" spans="1:106" x14ac:dyDescent="0.2">
      <c r="A286">
        <f>ROW(Source!A330)</f>
        <v>330</v>
      </c>
      <c r="B286">
        <v>45037307</v>
      </c>
      <c r="C286">
        <v>45038075</v>
      </c>
      <c r="D286">
        <v>22725286</v>
      </c>
      <c r="E286">
        <v>1</v>
      </c>
      <c r="F286">
        <v>1</v>
      </c>
      <c r="G286">
        <v>22652947</v>
      </c>
      <c r="H286">
        <v>2</v>
      </c>
      <c r="I286" t="s">
        <v>747</v>
      </c>
      <c r="J286" t="s">
        <v>748</v>
      </c>
      <c r="K286" t="s">
        <v>749</v>
      </c>
      <c r="L286">
        <v>1367</v>
      </c>
      <c r="N286">
        <v>1011</v>
      </c>
      <c r="O286" t="s">
        <v>623</v>
      </c>
      <c r="P286" t="s">
        <v>623</v>
      </c>
      <c r="Q286">
        <v>1</v>
      </c>
      <c r="W286">
        <v>0</v>
      </c>
      <c r="X286">
        <v>378346098</v>
      </c>
      <c r="Y286">
        <v>0.8125</v>
      </c>
      <c r="AA286">
        <v>0</v>
      </c>
      <c r="AB286">
        <v>1613.86</v>
      </c>
      <c r="AC286">
        <v>583.64</v>
      </c>
      <c r="AD286">
        <v>0</v>
      </c>
      <c r="AE286">
        <v>0</v>
      </c>
      <c r="AF286">
        <v>140.58000000000001</v>
      </c>
      <c r="AG286">
        <v>28.61</v>
      </c>
      <c r="AH286">
        <v>0</v>
      </c>
      <c r="AI286">
        <v>1</v>
      </c>
      <c r="AJ286">
        <v>11.48</v>
      </c>
      <c r="AK286">
        <v>20.399999999999999</v>
      </c>
      <c r="AL286">
        <v>1</v>
      </c>
      <c r="AN286">
        <v>0</v>
      </c>
      <c r="AO286">
        <v>1</v>
      </c>
      <c r="AP286">
        <v>1</v>
      </c>
      <c r="AQ286">
        <v>0</v>
      </c>
      <c r="AR286">
        <v>0</v>
      </c>
      <c r="AS286" t="s">
        <v>3</v>
      </c>
      <c r="AT286">
        <v>0.65</v>
      </c>
      <c r="AU286" t="s">
        <v>36</v>
      </c>
      <c r="AV286">
        <v>0</v>
      </c>
      <c r="AW286">
        <v>2</v>
      </c>
      <c r="AX286">
        <v>45038624</v>
      </c>
      <c r="AY286">
        <v>1</v>
      </c>
      <c r="AZ286">
        <v>0</v>
      </c>
      <c r="BA286">
        <v>280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CX286">
        <f>Y286*Source!I330</f>
        <v>2.4375E-3</v>
      </c>
      <c r="CY286">
        <f>AB286</f>
        <v>1613.86</v>
      </c>
      <c r="CZ286">
        <f>AF286</f>
        <v>140.58000000000001</v>
      </c>
      <c r="DA286">
        <f>AJ286</f>
        <v>11.48</v>
      </c>
      <c r="DB286">
        <v>0</v>
      </c>
    </row>
    <row r="287" spans="1:106" x14ac:dyDescent="0.2">
      <c r="A287">
        <f>ROW(Source!A330)</f>
        <v>330</v>
      </c>
      <c r="B287">
        <v>45037307</v>
      </c>
      <c r="C287">
        <v>45038075</v>
      </c>
      <c r="D287">
        <v>22725314</v>
      </c>
      <c r="E287">
        <v>1</v>
      </c>
      <c r="F287">
        <v>1</v>
      </c>
      <c r="G287">
        <v>22652947</v>
      </c>
      <c r="H287">
        <v>2</v>
      </c>
      <c r="I287" t="s">
        <v>627</v>
      </c>
      <c r="J287" t="s">
        <v>628</v>
      </c>
      <c r="K287" t="s">
        <v>629</v>
      </c>
      <c r="L287">
        <v>1367</v>
      </c>
      <c r="N287">
        <v>1011</v>
      </c>
      <c r="O287" t="s">
        <v>623</v>
      </c>
      <c r="P287" t="s">
        <v>623</v>
      </c>
      <c r="Q287">
        <v>1</v>
      </c>
      <c r="W287">
        <v>0</v>
      </c>
      <c r="X287">
        <v>856318566</v>
      </c>
      <c r="Y287">
        <v>1.9375</v>
      </c>
      <c r="AA287">
        <v>0</v>
      </c>
      <c r="AB287">
        <v>1241.29</v>
      </c>
      <c r="AC287">
        <v>504.7</v>
      </c>
      <c r="AD287">
        <v>0</v>
      </c>
      <c r="AE287">
        <v>0</v>
      </c>
      <c r="AF287">
        <v>125.13</v>
      </c>
      <c r="AG287">
        <v>24.74</v>
      </c>
      <c r="AH287">
        <v>0</v>
      </c>
      <c r="AI287">
        <v>1</v>
      </c>
      <c r="AJ287">
        <v>9.92</v>
      </c>
      <c r="AK287">
        <v>20.399999999999999</v>
      </c>
      <c r="AL287">
        <v>1</v>
      </c>
      <c r="AN287">
        <v>0</v>
      </c>
      <c r="AO287">
        <v>1</v>
      </c>
      <c r="AP287">
        <v>1</v>
      </c>
      <c r="AQ287">
        <v>0</v>
      </c>
      <c r="AR287">
        <v>0</v>
      </c>
      <c r="AS287" t="s">
        <v>3</v>
      </c>
      <c r="AT287">
        <v>1.55</v>
      </c>
      <c r="AU287" t="s">
        <v>36</v>
      </c>
      <c r="AV287">
        <v>0</v>
      </c>
      <c r="AW287">
        <v>2</v>
      </c>
      <c r="AX287">
        <v>45038625</v>
      </c>
      <c r="AY287">
        <v>1</v>
      </c>
      <c r="AZ287">
        <v>0</v>
      </c>
      <c r="BA287">
        <v>281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CX287">
        <f>Y287*Source!I330</f>
        <v>5.8125E-3</v>
      </c>
      <c r="CY287">
        <f>AB287</f>
        <v>1241.29</v>
      </c>
      <c r="CZ287">
        <f>AF287</f>
        <v>125.13</v>
      </c>
      <c r="DA287">
        <f>AJ287</f>
        <v>9.92</v>
      </c>
      <c r="DB287">
        <v>0</v>
      </c>
    </row>
    <row r="288" spans="1:106" x14ac:dyDescent="0.2">
      <c r="A288">
        <f>ROW(Source!A330)</f>
        <v>330</v>
      </c>
      <c r="B288">
        <v>45037307</v>
      </c>
      <c r="C288">
        <v>45038075</v>
      </c>
      <c r="D288">
        <v>22725276</v>
      </c>
      <c r="E288">
        <v>1</v>
      </c>
      <c r="F288">
        <v>1</v>
      </c>
      <c r="G288">
        <v>22652947</v>
      </c>
      <c r="H288">
        <v>2</v>
      </c>
      <c r="I288" t="s">
        <v>651</v>
      </c>
      <c r="J288" t="s">
        <v>652</v>
      </c>
      <c r="K288" t="s">
        <v>653</v>
      </c>
      <c r="L288">
        <v>1367</v>
      </c>
      <c r="N288">
        <v>1011</v>
      </c>
      <c r="O288" t="s">
        <v>623</v>
      </c>
      <c r="P288" t="s">
        <v>623</v>
      </c>
      <c r="Q288">
        <v>1</v>
      </c>
      <c r="W288">
        <v>0</v>
      </c>
      <c r="X288">
        <v>2023875219</v>
      </c>
      <c r="Y288">
        <v>0.65</v>
      </c>
      <c r="AA288">
        <v>0</v>
      </c>
      <c r="AB288">
        <v>1653.81</v>
      </c>
      <c r="AC288">
        <v>479.4</v>
      </c>
      <c r="AD288">
        <v>0</v>
      </c>
      <c r="AE288">
        <v>0</v>
      </c>
      <c r="AF288">
        <v>178.02</v>
      </c>
      <c r="AG288">
        <v>23.5</v>
      </c>
      <c r="AH288">
        <v>0</v>
      </c>
      <c r="AI288">
        <v>1</v>
      </c>
      <c r="AJ288">
        <v>9.2899999999999991</v>
      </c>
      <c r="AK288">
        <v>20.399999999999999</v>
      </c>
      <c r="AL288">
        <v>1</v>
      </c>
      <c r="AN288">
        <v>0</v>
      </c>
      <c r="AO288">
        <v>1</v>
      </c>
      <c r="AP288">
        <v>1</v>
      </c>
      <c r="AQ288">
        <v>0</v>
      </c>
      <c r="AR288">
        <v>0</v>
      </c>
      <c r="AS288" t="s">
        <v>3</v>
      </c>
      <c r="AT288">
        <v>0.52</v>
      </c>
      <c r="AU288" t="s">
        <v>36</v>
      </c>
      <c r="AV288">
        <v>0</v>
      </c>
      <c r="AW288">
        <v>2</v>
      </c>
      <c r="AX288">
        <v>45038626</v>
      </c>
      <c r="AY288">
        <v>1</v>
      </c>
      <c r="AZ288">
        <v>0</v>
      </c>
      <c r="BA288">
        <v>282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CX288">
        <f>Y288*Source!I330</f>
        <v>1.9500000000000001E-3</v>
      </c>
      <c r="CY288">
        <f>AB288</f>
        <v>1653.81</v>
      </c>
      <c r="CZ288">
        <f>AF288</f>
        <v>178.02</v>
      </c>
      <c r="DA288">
        <f>AJ288</f>
        <v>9.2899999999999991</v>
      </c>
      <c r="DB288">
        <v>0</v>
      </c>
    </row>
    <row r="289" spans="1:106" x14ac:dyDescent="0.2">
      <c r="A289">
        <f>ROW(Source!A330)</f>
        <v>330</v>
      </c>
      <c r="B289">
        <v>45037307</v>
      </c>
      <c r="C289">
        <v>45038075</v>
      </c>
      <c r="D289">
        <v>22700967</v>
      </c>
      <c r="E289">
        <v>1</v>
      </c>
      <c r="F289">
        <v>1</v>
      </c>
      <c r="G289">
        <v>22652947</v>
      </c>
      <c r="H289">
        <v>3</v>
      </c>
      <c r="I289" t="s">
        <v>273</v>
      </c>
      <c r="J289" t="s">
        <v>275</v>
      </c>
      <c r="K289" t="s">
        <v>274</v>
      </c>
      <c r="L289">
        <v>1339</v>
      </c>
      <c r="N289">
        <v>1007</v>
      </c>
      <c r="O289" t="s">
        <v>80</v>
      </c>
      <c r="P289" t="s">
        <v>80</v>
      </c>
      <c r="Q289">
        <v>1</v>
      </c>
      <c r="W289">
        <v>0</v>
      </c>
      <c r="X289">
        <v>-862991314</v>
      </c>
      <c r="Y289">
        <v>5</v>
      </c>
      <c r="AA289">
        <v>29.98</v>
      </c>
      <c r="AB289">
        <v>0</v>
      </c>
      <c r="AC289">
        <v>0</v>
      </c>
      <c r="AD289">
        <v>0</v>
      </c>
      <c r="AE289">
        <v>7.07</v>
      </c>
      <c r="AF289">
        <v>0</v>
      </c>
      <c r="AG289">
        <v>0</v>
      </c>
      <c r="AH289">
        <v>0</v>
      </c>
      <c r="AI289">
        <v>4.24</v>
      </c>
      <c r="AJ289">
        <v>1</v>
      </c>
      <c r="AK289">
        <v>1</v>
      </c>
      <c r="AL289">
        <v>1</v>
      </c>
      <c r="AN289">
        <v>0</v>
      </c>
      <c r="AO289">
        <v>1</v>
      </c>
      <c r="AP289">
        <v>0</v>
      </c>
      <c r="AQ289">
        <v>0</v>
      </c>
      <c r="AR289">
        <v>0</v>
      </c>
      <c r="AS289" t="s">
        <v>3</v>
      </c>
      <c r="AT289">
        <v>5</v>
      </c>
      <c r="AU289" t="s">
        <v>3</v>
      </c>
      <c r="AV289">
        <v>0</v>
      </c>
      <c r="AW289">
        <v>2</v>
      </c>
      <c r="AX289">
        <v>45038627</v>
      </c>
      <c r="AY289">
        <v>1</v>
      </c>
      <c r="AZ289">
        <v>0</v>
      </c>
      <c r="BA289">
        <v>283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CX289">
        <f>Y289*Source!I330</f>
        <v>1.4999999999999999E-2</v>
      </c>
      <c r="CY289">
        <f>AA289</f>
        <v>29.98</v>
      </c>
      <c r="CZ289">
        <f>AE289</f>
        <v>7.07</v>
      </c>
      <c r="DA289">
        <f>AI289</f>
        <v>4.24</v>
      </c>
      <c r="DB289">
        <v>0</v>
      </c>
    </row>
    <row r="290" spans="1:106" x14ac:dyDescent="0.2">
      <c r="A290">
        <f>ROW(Source!A330)</f>
        <v>330</v>
      </c>
      <c r="B290">
        <v>45037307</v>
      </c>
      <c r="C290">
        <v>45038075</v>
      </c>
      <c r="D290">
        <v>22701526</v>
      </c>
      <c r="E290">
        <v>1</v>
      </c>
      <c r="F290">
        <v>1</v>
      </c>
      <c r="G290">
        <v>22652947</v>
      </c>
      <c r="H290">
        <v>3</v>
      </c>
      <c r="I290" t="s">
        <v>394</v>
      </c>
      <c r="J290" t="s">
        <v>396</v>
      </c>
      <c r="K290" t="s">
        <v>395</v>
      </c>
      <c r="L290">
        <v>1339</v>
      </c>
      <c r="N290">
        <v>1007</v>
      </c>
      <c r="O290" t="s">
        <v>80</v>
      </c>
      <c r="P290" t="s">
        <v>80</v>
      </c>
      <c r="Q290">
        <v>1</v>
      </c>
      <c r="W290">
        <v>0</v>
      </c>
      <c r="X290">
        <v>2069056849</v>
      </c>
      <c r="Y290">
        <v>100</v>
      </c>
      <c r="AA290">
        <v>572.20000000000005</v>
      </c>
      <c r="AB290">
        <v>0</v>
      </c>
      <c r="AC290">
        <v>0</v>
      </c>
      <c r="AD290">
        <v>0</v>
      </c>
      <c r="AE290">
        <v>104.99</v>
      </c>
      <c r="AF290">
        <v>0</v>
      </c>
      <c r="AG290">
        <v>0</v>
      </c>
      <c r="AH290">
        <v>0</v>
      </c>
      <c r="AI290">
        <v>5.45</v>
      </c>
      <c r="AJ290">
        <v>1</v>
      </c>
      <c r="AK290">
        <v>1</v>
      </c>
      <c r="AL290">
        <v>1</v>
      </c>
      <c r="AN290">
        <v>0</v>
      </c>
      <c r="AO290">
        <v>0</v>
      </c>
      <c r="AP290">
        <v>0</v>
      </c>
      <c r="AQ290">
        <v>0</v>
      </c>
      <c r="AR290">
        <v>0</v>
      </c>
      <c r="AS290" t="s">
        <v>3</v>
      </c>
      <c r="AT290">
        <v>100</v>
      </c>
      <c r="AU290" t="s">
        <v>3</v>
      </c>
      <c r="AV290">
        <v>0</v>
      </c>
      <c r="AW290">
        <v>1</v>
      </c>
      <c r="AX290">
        <v>-1</v>
      </c>
      <c r="AY290">
        <v>0</v>
      </c>
      <c r="AZ290">
        <v>0</v>
      </c>
      <c r="BA290" t="s">
        <v>3</v>
      </c>
      <c r="BB290">
        <v>0</v>
      </c>
      <c r="BC290">
        <v>0</v>
      </c>
      <c r="BD290">
        <v>0</v>
      </c>
      <c r="BE290">
        <v>0</v>
      </c>
      <c r="BF290">
        <v>0</v>
      </c>
      <c r="BG290">
        <v>0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P290">
        <v>0</v>
      </c>
      <c r="BQ290">
        <v>0</v>
      </c>
      <c r="BR290">
        <v>0</v>
      </c>
      <c r="BS290">
        <v>0</v>
      </c>
      <c r="BT290">
        <v>0</v>
      </c>
      <c r="BU290">
        <v>0</v>
      </c>
      <c r="BV290">
        <v>0</v>
      </c>
      <c r="BW290">
        <v>0</v>
      </c>
      <c r="CX290">
        <f>Y290*Source!I330</f>
        <v>0.3</v>
      </c>
      <c r="CY290">
        <f>AA290</f>
        <v>572.20000000000005</v>
      </c>
      <c r="CZ290">
        <f>AE290</f>
        <v>104.99</v>
      </c>
      <c r="DA290">
        <f>AI290</f>
        <v>5.45</v>
      </c>
      <c r="DB290">
        <v>0</v>
      </c>
    </row>
    <row r="291" spans="1:106" x14ac:dyDescent="0.2">
      <c r="A291">
        <f>ROW(Source!A333)</f>
        <v>333</v>
      </c>
      <c r="B291">
        <v>45037306</v>
      </c>
      <c r="C291">
        <v>45038093</v>
      </c>
      <c r="D291">
        <v>22652952</v>
      </c>
      <c r="E291">
        <v>22652947</v>
      </c>
      <c r="F291">
        <v>1</v>
      </c>
      <c r="G291">
        <v>22652947</v>
      </c>
      <c r="H291">
        <v>1</v>
      </c>
      <c r="I291" t="s">
        <v>617</v>
      </c>
      <c r="J291" t="s">
        <v>3</v>
      </c>
      <c r="K291" t="s">
        <v>618</v>
      </c>
      <c r="L291">
        <v>1191</v>
      </c>
      <c r="N291">
        <v>1013</v>
      </c>
      <c r="O291" t="s">
        <v>619</v>
      </c>
      <c r="P291" t="s">
        <v>619</v>
      </c>
      <c r="Q291">
        <v>1</v>
      </c>
      <c r="W291">
        <v>0</v>
      </c>
      <c r="X291">
        <v>476480486</v>
      </c>
      <c r="Y291">
        <v>155.25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1</v>
      </c>
      <c r="AJ291">
        <v>1</v>
      </c>
      <c r="AK291">
        <v>1</v>
      </c>
      <c r="AL291">
        <v>1</v>
      </c>
      <c r="AN291">
        <v>0</v>
      </c>
      <c r="AO291">
        <v>1</v>
      </c>
      <c r="AP291">
        <v>1</v>
      </c>
      <c r="AQ291">
        <v>0</v>
      </c>
      <c r="AR291">
        <v>0</v>
      </c>
      <c r="AS291" t="s">
        <v>3</v>
      </c>
      <c r="AT291">
        <v>135</v>
      </c>
      <c r="AU291" t="s">
        <v>37</v>
      </c>
      <c r="AV291">
        <v>1</v>
      </c>
      <c r="AW291">
        <v>2</v>
      </c>
      <c r="AX291">
        <v>45038629</v>
      </c>
      <c r="AY291">
        <v>1</v>
      </c>
      <c r="AZ291">
        <v>0</v>
      </c>
      <c r="BA291">
        <v>285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CX291">
        <f>Y291*Source!I333</f>
        <v>0.1242</v>
      </c>
      <c r="CY291">
        <f>AD291</f>
        <v>0</v>
      </c>
      <c r="CZ291">
        <f>AH291</f>
        <v>0</v>
      </c>
      <c r="DA291">
        <f>AL291</f>
        <v>1</v>
      </c>
      <c r="DB291">
        <v>0</v>
      </c>
    </row>
    <row r="292" spans="1:106" x14ac:dyDescent="0.2">
      <c r="A292">
        <f>ROW(Source!A333)</f>
        <v>333</v>
      </c>
      <c r="B292">
        <v>45037306</v>
      </c>
      <c r="C292">
        <v>45038093</v>
      </c>
      <c r="D292">
        <v>22725862</v>
      </c>
      <c r="E292">
        <v>1</v>
      </c>
      <c r="F292">
        <v>1</v>
      </c>
      <c r="G292">
        <v>22652947</v>
      </c>
      <c r="H292">
        <v>2</v>
      </c>
      <c r="I292" t="s">
        <v>750</v>
      </c>
      <c r="J292" t="s">
        <v>751</v>
      </c>
      <c r="K292" t="s">
        <v>752</v>
      </c>
      <c r="L292">
        <v>1367</v>
      </c>
      <c r="N292">
        <v>1011</v>
      </c>
      <c r="O292" t="s">
        <v>623</v>
      </c>
      <c r="P292" t="s">
        <v>623</v>
      </c>
      <c r="Q292">
        <v>1</v>
      </c>
      <c r="W292">
        <v>0</v>
      </c>
      <c r="X292">
        <v>-1695718102</v>
      </c>
      <c r="Y292">
        <v>0.15</v>
      </c>
      <c r="AA292">
        <v>0</v>
      </c>
      <c r="AB292">
        <v>108.75</v>
      </c>
      <c r="AC292">
        <v>15.42</v>
      </c>
      <c r="AD292">
        <v>0</v>
      </c>
      <c r="AE292">
        <v>0</v>
      </c>
      <c r="AF292">
        <v>108.75</v>
      </c>
      <c r="AG292">
        <v>15.42</v>
      </c>
      <c r="AH292">
        <v>0</v>
      </c>
      <c r="AI292">
        <v>1</v>
      </c>
      <c r="AJ292">
        <v>1</v>
      </c>
      <c r="AK292">
        <v>1</v>
      </c>
      <c r="AL292">
        <v>1</v>
      </c>
      <c r="AN292">
        <v>0</v>
      </c>
      <c r="AO292">
        <v>1</v>
      </c>
      <c r="AP292">
        <v>1</v>
      </c>
      <c r="AQ292">
        <v>0</v>
      </c>
      <c r="AR292">
        <v>0</v>
      </c>
      <c r="AS292" t="s">
        <v>3</v>
      </c>
      <c r="AT292">
        <v>0.12</v>
      </c>
      <c r="AU292" t="s">
        <v>36</v>
      </c>
      <c r="AV292">
        <v>0</v>
      </c>
      <c r="AW292">
        <v>2</v>
      </c>
      <c r="AX292">
        <v>45038630</v>
      </c>
      <c r="AY292">
        <v>1</v>
      </c>
      <c r="AZ292">
        <v>0</v>
      </c>
      <c r="BA292">
        <v>286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CX292">
        <f>Y292*Source!I333</f>
        <v>1.2E-4</v>
      </c>
      <c r="CY292">
        <f>AB292</f>
        <v>108.75</v>
      </c>
      <c r="CZ292">
        <f>AF292</f>
        <v>108.75</v>
      </c>
      <c r="DA292">
        <f>AJ292</f>
        <v>1</v>
      </c>
      <c r="DB292">
        <v>0</v>
      </c>
    </row>
    <row r="293" spans="1:106" x14ac:dyDescent="0.2">
      <c r="A293">
        <f>ROW(Source!A333)</f>
        <v>333</v>
      </c>
      <c r="B293">
        <v>45037306</v>
      </c>
      <c r="C293">
        <v>45038093</v>
      </c>
      <c r="D293">
        <v>22725390</v>
      </c>
      <c r="E293">
        <v>1</v>
      </c>
      <c r="F293">
        <v>1</v>
      </c>
      <c r="G293">
        <v>22652947</v>
      </c>
      <c r="H293">
        <v>2</v>
      </c>
      <c r="I293" t="s">
        <v>683</v>
      </c>
      <c r="J293" t="s">
        <v>684</v>
      </c>
      <c r="K293" t="s">
        <v>685</v>
      </c>
      <c r="L293">
        <v>1367</v>
      </c>
      <c r="N293">
        <v>1011</v>
      </c>
      <c r="O293" t="s">
        <v>623</v>
      </c>
      <c r="P293" t="s">
        <v>623</v>
      </c>
      <c r="Q293">
        <v>1</v>
      </c>
      <c r="W293">
        <v>0</v>
      </c>
      <c r="X293">
        <v>1029667330</v>
      </c>
      <c r="Y293">
        <v>7.4124999999999996</v>
      </c>
      <c r="AA293">
        <v>0</v>
      </c>
      <c r="AB293">
        <v>1.61</v>
      </c>
      <c r="AC293">
        <v>0.04</v>
      </c>
      <c r="AD293">
        <v>0</v>
      </c>
      <c r="AE293">
        <v>0</v>
      </c>
      <c r="AF293">
        <v>1.61</v>
      </c>
      <c r="AG293">
        <v>0.04</v>
      </c>
      <c r="AH293">
        <v>0</v>
      </c>
      <c r="AI293">
        <v>1</v>
      </c>
      <c r="AJ293">
        <v>1</v>
      </c>
      <c r="AK293">
        <v>1</v>
      </c>
      <c r="AL293">
        <v>1</v>
      </c>
      <c r="AN293">
        <v>0</v>
      </c>
      <c r="AO293">
        <v>1</v>
      </c>
      <c r="AP293">
        <v>1</v>
      </c>
      <c r="AQ293">
        <v>0</v>
      </c>
      <c r="AR293">
        <v>0</v>
      </c>
      <c r="AS293" t="s">
        <v>3</v>
      </c>
      <c r="AT293">
        <v>5.93</v>
      </c>
      <c r="AU293" t="s">
        <v>36</v>
      </c>
      <c r="AV293">
        <v>0</v>
      </c>
      <c r="AW293">
        <v>2</v>
      </c>
      <c r="AX293">
        <v>45038631</v>
      </c>
      <c r="AY293">
        <v>1</v>
      </c>
      <c r="AZ293">
        <v>0</v>
      </c>
      <c r="BA293">
        <v>287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CX293">
        <f>Y293*Source!I333</f>
        <v>5.9300000000000004E-3</v>
      </c>
      <c r="CY293">
        <f>AB293</f>
        <v>1.61</v>
      </c>
      <c r="CZ293">
        <f>AF293</f>
        <v>1.61</v>
      </c>
      <c r="DA293">
        <f>AJ293</f>
        <v>1</v>
      </c>
      <c r="DB293">
        <v>0</v>
      </c>
    </row>
    <row r="294" spans="1:106" x14ac:dyDescent="0.2">
      <c r="A294">
        <f>ROW(Source!A333)</f>
        <v>333</v>
      </c>
      <c r="B294">
        <v>45037306</v>
      </c>
      <c r="C294">
        <v>45038093</v>
      </c>
      <c r="D294">
        <v>22700967</v>
      </c>
      <c r="E294">
        <v>1</v>
      </c>
      <c r="F294">
        <v>1</v>
      </c>
      <c r="G294">
        <v>22652947</v>
      </c>
      <c r="H294">
        <v>3</v>
      </c>
      <c r="I294" t="s">
        <v>273</v>
      </c>
      <c r="J294" t="s">
        <v>275</v>
      </c>
      <c r="K294" t="s">
        <v>274</v>
      </c>
      <c r="L294">
        <v>1339</v>
      </c>
      <c r="N294">
        <v>1007</v>
      </c>
      <c r="O294" t="s">
        <v>80</v>
      </c>
      <c r="P294" t="s">
        <v>80</v>
      </c>
      <c r="Q294">
        <v>1</v>
      </c>
      <c r="W294">
        <v>0</v>
      </c>
      <c r="X294">
        <v>-862991314</v>
      </c>
      <c r="Y294">
        <v>1.75</v>
      </c>
      <c r="AA294">
        <v>7.07</v>
      </c>
      <c r="AB294">
        <v>0</v>
      </c>
      <c r="AC294">
        <v>0</v>
      </c>
      <c r="AD294">
        <v>0</v>
      </c>
      <c r="AE294">
        <v>7.07</v>
      </c>
      <c r="AF294">
        <v>0</v>
      </c>
      <c r="AG294">
        <v>0</v>
      </c>
      <c r="AH294">
        <v>0</v>
      </c>
      <c r="AI294">
        <v>1</v>
      </c>
      <c r="AJ294">
        <v>1</v>
      </c>
      <c r="AK294">
        <v>1</v>
      </c>
      <c r="AL294">
        <v>1</v>
      </c>
      <c r="AN294">
        <v>0</v>
      </c>
      <c r="AO294">
        <v>1</v>
      </c>
      <c r="AP294">
        <v>0</v>
      </c>
      <c r="AQ294">
        <v>0</v>
      </c>
      <c r="AR294">
        <v>0</v>
      </c>
      <c r="AS294" t="s">
        <v>3</v>
      </c>
      <c r="AT294">
        <v>1.75</v>
      </c>
      <c r="AU294" t="s">
        <v>3</v>
      </c>
      <c r="AV294">
        <v>0</v>
      </c>
      <c r="AW294">
        <v>2</v>
      </c>
      <c r="AX294">
        <v>45038632</v>
      </c>
      <c r="AY294">
        <v>1</v>
      </c>
      <c r="AZ294">
        <v>0</v>
      </c>
      <c r="BA294">
        <v>288</v>
      </c>
      <c r="BB294">
        <v>0</v>
      </c>
      <c r="BC294">
        <v>0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BP294">
        <v>0</v>
      </c>
      <c r="BQ294">
        <v>0</v>
      </c>
      <c r="BR294">
        <v>0</v>
      </c>
      <c r="BS294">
        <v>0</v>
      </c>
      <c r="BT294">
        <v>0</v>
      </c>
      <c r="BU294">
        <v>0</v>
      </c>
      <c r="BV294">
        <v>0</v>
      </c>
      <c r="BW294">
        <v>0</v>
      </c>
      <c r="CX294">
        <f>Y294*Source!I333</f>
        <v>1.4E-3</v>
      </c>
      <c r="CY294">
        <f>AA294</f>
        <v>7.07</v>
      </c>
      <c r="CZ294">
        <f>AE294</f>
        <v>7.07</v>
      </c>
      <c r="DA294">
        <f>AI294</f>
        <v>1</v>
      </c>
      <c r="DB294">
        <v>0</v>
      </c>
    </row>
    <row r="295" spans="1:106" x14ac:dyDescent="0.2">
      <c r="A295">
        <f>ROW(Source!A333)</f>
        <v>333</v>
      </c>
      <c r="B295">
        <v>45037306</v>
      </c>
      <c r="C295">
        <v>45038093</v>
      </c>
      <c r="D295">
        <v>22701450</v>
      </c>
      <c r="E295">
        <v>1</v>
      </c>
      <c r="F295">
        <v>1</v>
      </c>
      <c r="G295">
        <v>22652947</v>
      </c>
      <c r="H295">
        <v>3</v>
      </c>
      <c r="I295" t="s">
        <v>753</v>
      </c>
      <c r="J295" t="s">
        <v>754</v>
      </c>
      <c r="K295" t="s">
        <v>755</v>
      </c>
      <c r="L295">
        <v>1327</v>
      </c>
      <c r="N295">
        <v>1005</v>
      </c>
      <c r="O295" t="s">
        <v>101</v>
      </c>
      <c r="P295" t="s">
        <v>101</v>
      </c>
      <c r="Q295">
        <v>1</v>
      </c>
      <c r="W295">
        <v>0</v>
      </c>
      <c r="X295">
        <v>-1476054991</v>
      </c>
      <c r="Y295">
        <v>250</v>
      </c>
      <c r="AA295">
        <v>7.39</v>
      </c>
      <c r="AB295">
        <v>0</v>
      </c>
      <c r="AC295">
        <v>0</v>
      </c>
      <c r="AD295">
        <v>0</v>
      </c>
      <c r="AE295">
        <v>7.39</v>
      </c>
      <c r="AF295">
        <v>0</v>
      </c>
      <c r="AG295">
        <v>0</v>
      </c>
      <c r="AH295">
        <v>0</v>
      </c>
      <c r="AI295">
        <v>1</v>
      </c>
      <c r="AJ295">
        <v>1</v>
      </c>
      <c r="AK295">
        <v>1</v>
      </c>
      <c r="AL295">
        <v>1</v>
      </c>
      <c r="AN295">
        <v>0</v>
      </c>
      <c r="AO295">
        <v>1</v>
      </c>
      <c r="AP295">
        <v>0</v>
      </c>
      <c r="AQ295">
        <v>0</v>
      </c>
      <c r="AR295">
        <v>0</v>
      </c>
      <c r="AS295" t="s">
        <v>3</v>
      </c>
      <c r="AT295">
        <v>250</v>
      </c>
      <c r="AU295" t="s">
        <v>3</v>
      </c>
      <c r="AV295">
        <v>0</v>
      </c>
      <c r="AW295">
        <v>2</v>
      </c>
      <c r="AX295">
        <v>45038633</v>
      </c>
      <c r="AY295">
        <v>1</v>
      </c>
      <c r="AZ295">
        <v>0</v>
      </c>
      <c r="BA295">
        <v>289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CX295">
        <f>Y295*Source!I333</f>
        <v>0.2</v>
      </c>
      <c r="CY295">
        <f>AA295</f>
        <v>7.39</v>
      </c>
      <c r="CZ295">
        <f>AE295</f>
        <v>7.39</v>
      </c>
      <c r="DA295">
        <f>AI295</f>
        <v>1</v>
      </c>
      <c r="DB295">
        <v>0</v>
      </c>
    </row>
    <row r="296" spans="1:106" x14ac:dyDescent="0.2">
      <c r="A296">
        <f>ROW(Source!A333)</f>
        <v>333</v>
      </c>
      <c r="B296">
        <v>45037306</v>
      </c>
      <c r="C296">
        <v>45038093</v>
      </c>
      <c r="D296">
        <v>22719363</v>
      </c>
      <c r="E296">
        <v>1</v>
      </c>
      <c r="F296">
        <v>1</v>
      </c>
      <c r="G296">
        <v>22652947</v>
      </c>
      <c r="H296">
        <v>3</v>
      </c>
      <c r="I296" t="s">
        <v>405</v>
      </c>
      <c r="J296" t="s">
        <v>407</v>
      </c>
      <c r="K296" t="s">
        <v>406</v>
      </c>
      <c r="L296">
        <v>1339</v>
      </c>
      <c r="N296">
        <v>1007</v>
      </c>
      <c r="O296" t="s">
        <v>80</v>
      </c>
      <c r="P296" t="s">
        <v>80</v>
      </c>
      <c r="Q296">
        <v>1</v>
      </c>
      <c r="W296">
        <v>0</v>
      </c>
      <c r="X296">
        <v>-1467732391</v>
      </c>
      <c r="Y296">
        <v>102</v>
      </c>
      <c r="AA296">
        <v>530.75</v>
      </c>
      <c r="AB296">
        <v>0</v>
      </c>
      <c r="AC296">
        <v>0</v>
      </c>
      <c r="AD296">
        <v>0</v>
      </c>
      <c r="AE296">
        <v>530.75</v>
      </c>
      <c r="AF296">
        <v>0</v>
      </c>
      <c r="AG296">
        <v>0</v>
      </c>
      <c r="AH296">
        <v>0</v>
      </c>
      <c r="AI296">
        <v>1</v>
      </c>
      <c r="AJ296">
        <v>1</v>
      </c>
      <c r="AK296">
        <v>1</v>
      </c>
      <c r="AL296">
        <v>1</v>
      </c>
      <c r="AN296">
        <v>0</v>
      </c>
      <c r="AO296">
        <v>0</v>
      </c>
      <c r="AP296">
        <v>0</v>
      </c>
      <c r="AQ296">
        <v>0</v>
      </c>
      <c r="AR296">
        <v>0</v>
      </c>
      <c r="AS296" t="s">
        <v>3</v>
      </c>
      <c r="AT296">
        <v>102</v>
      </c>
      <c r="AU296" t="s">
        <v>3</v>
      </c>
      <c r="AV296">
        <v>0</v>
      </c>
      <c r="AW296">
        <v>1</v>
      </c>
      <c r="AX296">
        <v>-1</v>
      </c>
      <c r="AY296">
        <v>0</v>
      </c>
      <c r="AZ296">
        <v>0</v>
      </c>
      <c r="BA296" t="s">
        <v>3</v>
      </c>
      <c r="BB296">
        <v>0</v>
      </c>
      <c r="BC296">
        <v>0</v>
      </c>
      <c r="BD296">
        <v>0</v>
      </c>
      <c r="BE296">
        <v>0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CX296">
        <f>Y296*Source!I333</f>
        <v>8.1600000000000006E-2</v>
      </c>
      <c r="CY296">
        <f>AA296</f>
        <v>530.75</v>
      </c>
      <c r="CZ296">
        <f>AE296</f>
        <v>530.75</v>
      </c>
      <c r="DA296">
        <f>AI296</f>
        <v>1</v>
      </c>
      <c r="DB296">
        <v>0</v>
      </c>
    </row>
    <row r="297" spans="1:106" x14ac:dyDescent="0.2">
      <c r="A297">
        <f>ROW(Source!A334)</f>
        <v>334</v>
      </c>
      <c r="B297">
        <v>45037307</v>
      </c>
      <c r="C297">
        <v>45038093</v>
      </c>
      <c r="D297">
        <v>22652952</v>
      </c>
      <c r="E297">
        <v>22652947</v>
      </c>
      <c r="F297">
        <v>1</v>
      </c>
      <c r="G297">
        <v>22652947</v>
      </c>
      <c r="H297">
        <v>1</v>
      </c>
      <c r="I297" t="s">
        <v>617</v>
      </c>
      <c r="J297" t="s">
        <v>3</v>
      </c>
      <c r="K297" t="s">
        <v>618</v>
      </c>
      <c r="L297">
        <v>1191</v>
      </c>
      <c r="N297">
        <v>1013</v>
      </c>
      <c r="O297" t="s">
        <v>619</v>
      </c>
      <c r="P297" t="s">
        <v>619</v>
      </c>
      <c r="Q297">
        <v>1</v>
      </c>
      <c r="W297">
        <v>0</v>
      </c>
      <c r="X297">
        <v>476480486</v>
      </c>
      <c r="Y297">
        <v>155.25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1</v>
      </c>
      <c r="AJ297">
        <v>1</v>
      </c>
      <c r="AK297">
        <v>1</v>
      </c>
      <c r="AL297">
        <v>1</v>
      </c>
      <c r="AN297">
        <v>0</v>
      </c>
      <c r="AO297">
        <v>1</v>
      </c>
      <c r="AP297">
        <v>1</v>
      </c>
      <c r="AQ297">
        <v>0</v>
      </c>
      <c r="AR297">
        <v>0</v>
      </c>
      <c r="AS297" t="s">
        <v>3</v>
      </c>
      <c r="AT297">
        <v>135</v>
      </c>
      <c r="AU297" t="s">
        <v>37</v>
      </c>
      <c r="AV297">
        <v>1</v>
      </c>
      <c r="AW297">
        <v>2</v>
      </c>
      <c r="AX297">
        <v>45038629</v>
      </c>
      <c r="AY297">
        <v>1</v>
      </c>
      <c r="AZ297">
        <v>0</v>
      </c>
      <c r="BA297">
        <v>291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CX297">
        <f>Y297*Source!I334</f>
        <v>0.1242</v>
      </c>
      <c r="CY297">
        <f>AD297</f>
        <v>0</v>
      </c>
      <c r="CZ297">
        <f>AH297</f>
        <v>0</v>
      </c>
      <c r="DA297">
        <f>AL297</f>
        <v>1</v>
      </c>
      <c r="DB297">
        <v>0</v>
      </c>
    </row>
    <row r="298" spans="1:106" x14ac:dyDescent="0.2">
      <c r="A298">
        <f>ROW(Source!A334)</f>
        <v>334</v>
      </c>
      <c r="B298">
        <v>45037307</v>
      </c>
      <c r="C298">
        <v>45038093</v>
      </c>
      <c r="D298">
        <v>22725862</v>
      </c>
      <c r="E298">
        <v>1</v>
      </c>
      <c r="F298">
        <v>1</v>
      </c>
      <c r="G298">
        <v>22652947</v>
      </c>
      <c r="H298">
        <v>2</v>
      </c>
      <c r="I298" t="s">
        <v>750</v>
      </c>
      <c r="J298" t="s">
        <v>751</v>
      </c>
      <c r="K298" t="s">
        <v>752</v>
      </c>
      <c r="L298">
        <v>1367</v>
      </c>
      <c r="N298">
        <v>1011</v>
      </c>
      <c r="O298" t="s">
        <v>623</v>
      </c>
      <c r="P298" t="s">
        <v>623</v>
      </c>
      <c r="Q298">
        <v>1</v>
      </c>
      <c r="W298">
        <v>0</v>
      </c>
      <c r="X298">
        <v>-1695718102</v>
      </c>
      <c r="Y298">
        <v>0.15</v>
      </c>
      <c r="AA298">
        <v>0</v>
      </c>
      <c r="AB298">
        <v>788.44</v>
      </c>
      <c r="AC298">
        <v>314.57</v>
      </c>
      <c r="AD298">
        <v>0</v>
      </c>
      <c r="AE298">
        <v>0</v>
      </c>
      <c r="AF298">
        <v>108.75</v>
      </c>
      <c r="AG298">
        <v>15.42</v>
      </c>
      <c r="AH298">
        <v>0</v>
      </c>
      <c r="AI298">
        <v>1</v>
      </c>
      <c r="AJ298">
        <v>7.25</v>
      </c>
      <c r="AK298">
        <v>20.399999999999999</v>
      </c>
      <c r="AL298">
        <v>1</v>
      </c>
      <c r="AN298">
        <v>0</v>
      </c>
      <c r="AO298">
        <v>1</v>
      </c>
      <c r="AP298">
        <v>1</v>
      </c>
      <c r="AQ298">
        <v>0</v>
      </c>
      <c r="AR298">
        <v>0</v>
      </c>
      <c r="AS298" t="s">
        <v>3</v>
      </c>
      <c r="AT298">
        <v>0.12</v>
      </c>
      <c r="AU298" t="s">
        <v>36</v>
      </c>
      <c r="AV298">
        <v>0</v>
      </c>
      <c r="AW298">
        <v>2</v>
      </c>
      <c r="AX298">
        <v>45038630</v>
      </c>
      <c r="AY298">
        <v>1</v>
      </c>
      <c r="AZ298">
        <v>0</v>
      </c>
      <c r="BA298">
        <v>292</v>
      </c>
      <c r="BB298">
        <v>0</v>
      </c>
      <c r="BC298">
        <v>0</v>
      </c>
      <c r="BD298">
        <v>0</v>
      </c>
      <c r="BE298">
        <v>0</v>
      </c>
      <c r="BF298">
        <v>0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0</v>
      </c>
      <c r="BQ298">
        <v>0</v>
      </c>
      <c r="BR298">
        <v>0</v>
      </c>
      <c r="BS298">
        <v>0</v>
      </c>
      <c r="BT298">
        <v>0</v>
      </c>
      <c r="BU298">
        <v>0</v>
      </c>
      <c r="BV298">
        <v>0</v>
      </c>
      <c r="BW298">
        <v>0</v>
      </c>
      <c r="CX298">
        <f>Y298*Source!I334</f>
        <v>1.2E-4</v>
      </c>
      <c r="CY298">
        <f>AB298</f>
        <v>788.44</v>
      </c>
      <c r="CZ298">
        <f>AF298</f>
        <v>108.75</v>
      </c>
      <c r="DA298">
        <f>AJ298</f>
        <v>7.25</v>
      </c>
      <c r="DB298">
        <v>0</v>
      </c>
    </row>
    <row r="299" spans="1:106" x14ac:dyDescent="0.2">
      <c r="A299">
        <f>ROW(Source!A334)</f>
        <v>334</v>
      </c>
      <c r="B299">
        <v>45037307</v>
      </c>
      <c r="C299">
        <v>45038093</v>
      </c>
      <c r="D299">
        <v>22725390</v>
      </c>
      <c r="E299">
        <v>1</v>
      </c>
      <c r="F299">
        <v>1</v>
      </c>
      <c r="G299">
        <v>22652947</v>
      </c>
      <c r="H299">
        <v>2</v>
      </c>
      <c r="I299" t="s">
        <v>683</v>
      </c>
      <c r="J299" t="s">
        <v>684</v>
      </c>
      <c r="K299" t="s">
        <v>685</v>
      </c>
      <c r="L299">
        <v>1367</v>
      </c>
      <c r="N299">
        <v>1011</v>
      </c>
      <c r="O299" t="s">
        <v>623</v>
      </c>
      <c r="P299" t="s">
        <v>623</v>
      </c>
      <c r="Q299">
        <v>1</v>
      </c>
      <c r="W299">
        <v>0</v>
      </c>
      <c r="X299">
        <v>1029667330</v>
      </c>
      <c r="Y299">
        <v>7.4124999999999996</v>
      </c>
      <c r="AA299">
        <v>0</v>
      </c>
      <c r="AB299">
        <v>2.21</v>
      </c>
      <c r="AC299">
        <v>0.82</v>
      </c>
      <c r="AD299">
        <v>0</v>
      </c>
      <c r="AE299">
        <v>0</v>
      </c>
      <c r="AF299">
        <v>1.61</v>
      </c>
      <c r="AG299">
        <v>0.04</v>
      </c>
      <c r="AH299">
        <v>0</v>
      </c>
      <c r="AI299">
        <v>1</v>
      </c>
      <c r="AJ299">
        <v>1.37</v>
      </c>
      <c r="AK299">
        <v>20.399999999999999</v>
      </c>
      <c r="AL299">
        <v>1</v>
      </c>
      <c r="AN299">
        <v>0</v>
      </c>
      <c r="AO299">
        <v>1</v>
      </c>
      <c r="AP299">
        <v>1</v>
      </c>
      <c r="AQ299">
        <v>0</v>
      </c>
      <c r="AR299">
        <v>0</v>
      </c>
      <c r="AS299" t="s">
        <v>3</v>
      </c>
      <c r="AT299">
        <v>5.93</v>
      </c>
      <c r="AU299" t="s">
        <v>36</v>
      </c>
      <c r="AV299">
        <v>0</v>
      </c>
      <c r="AW299">
        <v>2</v>
      </c>
      <c r="AX299">
        <v>45038631</v>
      </c>
      <c r="AY299">
        <v>1</v>
      </c>
      <c r="AZ299">
        <v>0</v>
      </c>
      <c r="BA299">
        <v>293</v>
      </c>
      <c r="BB299">
        <v>0</v>
      </c>
      <c r="BC299">
        <v>0</v>
      </c>
      <c r="BD299">
        <v>0</v>
      </c>
      <c r="BE299">
        <v>0</v>
      </c>
      <c r="BF299">
        <v>0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0</v>
      </c>
      <c r="BQ299">
        <v>0</v>
      </c>
      <c r="BR299">
        <v>0</v>
      </c>
      <c r="BS299">
        <v>0</v>
      </c>
      <c r="BT299">
        <v>0</v>
      </c>
      <c r="BU299">
        <v>0</v>
      </c>
      <c r="BV299">
        <v>0</v>
      </c>
      <c r="BW299">
        <v>0</v>
      </c>
      <c r="CX299">
        <f>Y299*Source!I334</f>
        <v>5.9300000000000004E-3</v>
      </c>
      <c r="CY299">
        <f>AB299</f>
        <v>2.21</v>
      </c>
      <c r="CZ299">
        <f>AF299</f>
        <v>1.61</v>
      </c>
      <c r="DA299">
        <f>AJ299</f>
        <v>1.37</v>
      </c>
      <c r="DB299">
        <v>0</v>
      </c>
    </row>
    <row r="300" spans="1:106" x14ac:dyDescent="0.2">
      <c r="A300">
        <f>ROW(Source!A334)</f>
        <v>334</v>
      </c>
      <c r="B300">
        <v>45037307</v>
      </c>
      <c r="C300">
        <v>45038093</v>
      </c>
      <c r="D300">
        <v>22700967</v>
      </c>
      <c r="E300">
        <v>1</v>
      </c>
      <c r="F300">
        <v>1</v>
      </c>
      <c r="G300">
        <v>22652947</v>
      </c>
      <c r="H300">
        <v>3</v>
      </c>
      <c r="I300" t="s">
        <v>273</v>
      </c>
      <c r="J300" t="s">
        <v>275</v>
      </c>
      <c r="K300" t="s">
        <v>274</v>
      </c>
      <c r="L300">
        <v>1339</v>
      </c>
      <c r="N300">
        <v>1007</v>
      </c>
      <c r="O300" t="s">
        <v>80</v>
      </c>
      <c r="P300" t="s">
        <v>80</v>
      </c>
      <c r="Q300">
        <v>1</v>
      </c>
      <c r="W300">
        <v>0</v>
      </c>
      <c r="X300">
        <v>-862991314</v>
      </c>
      <c r="Y300">
        <v>1.75</v>
      </c>
      <c r="AA300">
        <v>29.98</v>
      </c>
      <c r="AB300">
        <v>0</v>
      </c>
      <c r="AC300">
        <v>0</v>
      </c>
      <c r="AD300">
        <v>0</v>
      </c>
      <c r="AE300">
        <v>7.07</v>
      </c>
      <c r="AF300">
        <v>0</v>
      </c>
      <c r="AG300">
        <v>0</v>
      </c>
      <c r="AH300">
        <v>0</v>
      </c>
      <c r="AI300">
        <v>4.24</v>
      </c>
      <c r="AJ300">
        <v>1</v>
      </c>
      <c r="AK300">
        <v>1</v>
      </c>
      <c r="AL300">
        <v>1</v>
      </c>
      <c r="AN300">
        <v>0</v>
      </c>
      <c r="AO300">
        <v>1</v>
      </c>
      <c r="AP300">
        <v>0</v>
      </c>
      <c r="AQ300">
        <v>0</v>
      </c>
      <c r="AR300">
        <v>0</v>
      </c>
      <c r="AS300" t="s">
        <v>3</v>
      </c>
      <c r="AT300">
        <v>1.75</v>
      </c>
      <c r="AU300" t="s">
        <v>3</v>
      </c>
      <c r="AV300">
        <v>0</v>
      </c>
      <c r="AW300">
        <v>2</v>
      </c>
      <c r="AX300">
        <v>45038632</v>
      </c>
      <c r="AY300">
        <v>1</v>
      </c>
      <c r="AZ300">
        <v>0</v>
      </c>
      <c r="BA300">
        <v>294</v>
      </c>
      <c r="BB300">
        <v>0</v>
      </c>
      <c r="BC300">
        <v>0</v>
      </c>
      <c r="BD300">
        <v>0</v>
      </c>
      <c r="BE300">
        <v>0</v>
      </c>
      <c r="BF300">
        <v>0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0</v>
      </c>
      <c r="BW300">
        <v>0</v>
      </c>
      <c r="CX300">
        <f>Y300*Source!I334</f>
        <v>1.4E-3</v>
      </c>
      <c r="CY300">
        <f>AA300</f>
        <v>29.98</v>
      </c>
      <c r="CZ300">
        <f>AE300</f>
        <v>7.07</v>
      </c>
      <c r="DA300">
        <f>AI300</f>
        <v>4.24</v>
      </c>
      <c r="DB300">
        <v>0</v>
      </c>
    </row>
    <row r="301" spans="1:106" x14ac:dyDescent="0.2">
      <c r="A301">
        <f>ROW(Source!A334)</f>
        <v>334</v>
      </c>
      <c r="B301">
        <v>45037307</v>
      </c>
      <c r="C301">
        <v>45038093</v>
      </c>
      <c r="D301">
        <v>22701450</v>
      </c>
      <c r="E301">
        <v>1</v>
      </c>
      <c r="F301">
        <v>1</v>
      </c>
      <c r="G301">
        <v>22652947</v>
      </c>
      <c r="H301">
        <v>3</v>
      </c>
      <c r="I301" t="s">
        <v>753</v>
      </c>
      <c r="J301" t="s">
        <v>754</v>
      </c>
      <c r="K301" t="s">
        <v>755</v>
      </c>
      <c r="L301">
        <v>1327</v>
      </c>
      <c r="N301">
        <v>1005</v>
      </c>
      <c r="O301" t="s">
        <v>101</v>
      </c>
      <c r="P301" t="s">
        <v>101</v>
      </c>
      <c r="Q301">
        <v>1</v>
      </c>
      <c r="W301">
        <v>0</v>
      </c>
      <c r="X301">
        <v>-1476054991</v>
      </c>
      <c r="Y301">
        <v>250</v>
      </c>
      <c r="AA301">
        <v>21.28</v>
      </c>
      <c r="AB301">
        <v>0</v>
      </c>
      <c r="AC301">
        <v>0</v>
      </c>
      <c r="AD301">
        <v>0</v>
      </c>
      <c r="AE301">
        <v>7.39</v>
      </c>
      <c r="AF301">
        <v>0</v>
      </c>
      <c r="AG301">
        <v>0</v>
      </c>
      <c r="AH301">
        <v>0</v>
      </c>
      <c r="AI301">
        <v>2.88</v>
      </c>
      <c r="AJ301">
        <v>1</v>
      </c>
      <c r="AK301">
        <v>1</v>
      </c>
      <c r="AL301">
        <v>1</v>
      </c>
      <c r="AN301">
        <v>0</v>
      </c>
      <c r="AO301">
        <v>1</v>
      </c>
      <c r="AP301">
        <v>0</v>
      </c>
      <c r="AQ301">
        <v>0</v>
      </c>
      <c r="AR301">
        <v>0</v>
      </c>
      <c r="AS301" t="s">
        <v>3</v>
      </c>
      <c r="AT301">
        <v>250</v>
      </c>
      <c r="AU301" t="s">
        <v>3</v>
      </c>
      <c r="AV301">
        <v>0</v>
      </c>
      <c r="AW301">
        <v>2</v>
      </c>
      <c r="AX301">
        <v>45038633</v>
      </c>
      <c r="AY301">
        <v>1</v>
      </c>
      <c r="AZ301">
        <v>0</v>
      </c>
      <c r="BA301">
        <v>295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CX301">
        <f>Y301*Source!I334</f>
        <v>0.2</v>
      </c>
      <c r="CY301">
        <f>AA301</f>
        <v>21.28</v>
      </c>
      <c r="CZ301">
        <f>AE301</f>
        <v>7.39</v>
      </c>
      <c r="DA301">
        <f>AI301</f>
        <v>2.88</v>
      </c>
      <c r="DB301">
        <v>0</v>
      </c>
    </row>
    <row r="302" spans="1:106" x14ac:dyDescent="0.2">
      <c r="A302">
        <f>ROW(Source!A334)</f>
        <v>334</v>
      </c>
      <c r="B302">
        <v>45037307</v>
      </c>
      <c r="C302">
        <v>45038093</v>
      </c>
      <c r="D302">
        <v>22719363</v>
      </c>
      <c r="E302">
        <v>1</v>
      </c>
      <c r="F302">
        <v>1</v>
      </c>
      <c r="G302">
        <v>22652947</v>
      </c>
      <c r="H302">
        <v>3</v>
      </c>
      <c r="I302" t="s">
        <v>405</v>
      </c>
      <c r="J302" t="s">
        <v>407</v>
      </c>
      <c r="K302" t="s">
        <v>406</v>
      </c>
      <c r="L302">
        <v>1339</v>
      </c>
      <c r="N302">
        <v>1007</v>
      </c>
      <c r="O302" t="s">
        <v>80</v>
      </c>
      <c r="P302" t="s">
        <v>80</v>
      </c>
      <c r="Q302">
        <v>1</v>
      </c>
      <c r="W302">
        <v>0</v>
      </c>
      <c r="X302">
        <v>-1467732391</v>
      </c>
      <c r="Y302">
        <v>102</v>
      </c>
      <c r="AA302">
        <v>2961.59</v>
      </c>
      <c r="AB302">
        <v>0</v>
      </c>
      <c r="AC302">
        <v>0</v>
      </c>
      <c r="AD302">
        <v>0</v>
      </c>
      <c r="AE302">
        <v>530.75</v>
      </c>
      <c r="AF302">
        <v>0</v>
      </c>
      <c r="AG302">
        <v>0</v>
      </c>
      <c r="AH302">
        <v>0</v>
      </c>
      <c r="AI302">
        <v>5.58</v>
      </c>
      <c r="AJ302">
        <v>1</v>
      </c>
      <c r="AK302">
        <v>1</v>
      </c>
      <c r="AL302">
        <v>1</v>
      </c>
      <c r="AN302">
        <v>0</v>
      </c>
      <c r="AO302">
        <v>0</v>
      </c>
      <c r="AP302">
        <v>0</v>
      </c>
      <c r="AQ302">
        <v>0</v>
      </c>
      <c r="AR302">
        <v>0</v>
      </c>
      <c r="AS302" t="s">
        <v>3</v>
      </c>
      <c r="AT302">
        <v>102</v>
      </c>
      <c r="AU302" t="s">
        <v>3</v>
      </c>
      <c r="AV302">
        <v>0</v>
      </c>
      <c r="AW302">
        <v>1</v>
      </c>
      <c r="AX302">
        <v>-1</v>
      </c>
      <c r="AY302">
        <v>0</v>
      </c>
      <c r="AZ302">
        <v>0</v>
      </c>
      <c r="BA302" t="s">
        <v>3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0</v>
      </c>
      <c r="BW302">
        <v>0</v>
      </c>
      <c r="CX302">
        <f>Y302*Source!I334</f>
        <v>8.1600000000000006E-2</v>
      </c>
      <c r="CY302">
        <f>AA302</f>
        <v>2961.59</v>
      </c>
      <c r="CZ302">
        <f>AE302</f>
        <v>530.75</v>
      </c>
      <c r="DA302">
        <f>AI302</f>
        <v>5.58</v>
      </c>
      <c r="DB302">
        <v>0</v>
      </c>
    </row>
    <row r="303" spans="1:106" x14ac:dyDescent="0.2">
      <c r="A303">
        <f>ROW(Source!A337)</f>
        <v>337</v>
      </c>
      <c r="B303">
        <v>45037306</v>
      </c>
      <c r="C303">
        <v>45038107</v>
      </c>
      <c r="D303">
        <v>22652952</v>
      </c>
      <c r="E303">
        <v>22652947</v>
      </c>
      <c r="F303">
        <v>1</v>
      </c>
      <c r="G303">
        <v>22652947</v>
      </c>
      <c r="H303">
        <v>1</v>
      </c>
      <c r="I303" t="s">
        <v>617</v>
      </c>
      <c r="J303" t="s">
        <v>3</v>
      </c>
      <c r="K303" t="s">
        <v>618</v>
      </c>
      <c r="L303">
        <v>1191</v>
      </c>
      <c r="N303">
        <v>1013</v>
      </c>
      <c r="O303" t="s">
        <v>619</v>
      </c>
      <c r="P303" t="s">
        <v>619</v>
      </c>
      <c r="Q303">
        <v>1</v>
      </c>
      <c r="W303">
        <v>0</v>
      </c>
      <c r="X303">
        <v>476480486</v>
      </c>
      <c r="Y303">
        <v>205.85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1</v>
      </c>
      <c r="AJ303">
        <v>1</v>
      </c>
      <c r="AK303">
        <v>1</v>
      </c>
      <c r="AL303">
        <v>1</v>
      </c>
      <c r="AN303">
        <v>0</v>
      </c>
      <c r="AO303">
        <v>1</v>
      </c>
      <c r="AP303">
        <v>1</v>
      </c>
      <c r="AQ303">
        <v>0</v>
      </c>
      <c r="AR303">
        <v>0</v>
      </c>
      <c r="AS303" t="s">
        <v>3</v>
      </c>
      <c r="AT303">
        <v>179</v>
      </c>
      <c r="AU303" t="s">
        <v>37</v>
      </c>
      <c r="AV303">
        <v>1</v>
      </c>
      <c r="AW303">
        <v>2</v>
      </c>
      <c r="AX303">
        <v>45038635</v>
      </c>
      <c r="AY303">
        <v>1</v>
      </c>
      <c r="AZ303">
        <v>0</v>
      </c>
      <c r="BA303">
        <v>297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CX303">
        <f>Y303*Source!I337</f>
        <v>0.24701999999999996</v>
      </c>
      <c r="CY303">
        <f>AD303</f>
        <v>0</v>
      </c>
      <c r="CZ303">
        <f>AH303</f>
        <v>0</v>
      </c>
      <c r="DA303">
        <f>AL303</f>
        <v>1</v>
      </c>
      <c r="DB303">
        <v>0</v>
      </c>
    </row>
    <row r="304" spans="1:106" x14ac:dyDescent="0.2">
      <c r="A304">
        <f>ROW(Source!A337)</f>
        <v>337</v>
      </c>
      <c r="B304">
        <v>45037306</v>
      </c>
      <c r="C304">
        <v>45038107</v>
      </c>
      <c r="D304">
        <v>22725577</v>
      </c>
      <c r="E304">
        <v>1</v>
      </c>
      <c r="F304">
        <v>1</v>
      </c>
      <c r="G304">
        <v>22652947</v>
      </c>
      <c r="H304">
        <v>2</v>
      </c>
      <c r="I304" t="s">
        <v>717</v>
      </c>
      <c r="J304" t="s">
        <v>718</v>
      </c>
      <c r="K304" t="s">
        <v>719</v>
      </c>
      <c r="L304">
        <v>1367</v>
      </c>
      <c r="N304">
        <v>1011</v>
      </c>
      <c r="O304" t="s">
        <v>623</v>
      </c>
      <c r="P304" t="s">
        <v>623</v>
      </c>
      <c r="Q304">
        <v>1</v>
      </c>
      <c r="W304">
        <v>0</v>
      </c>
      <c r="X304">
        <v>-243982840</v>
      </c>
      <c r="Y304">
        <v>150</v>
      </c>
      <c r="AA304">
        <v>0</v>
      </c>
      <c r="AB304">
        <v>6.22</v>
      </c>
      <c r="AC304">
        <v>0.28999999999999998</v>
      </c>
      <c r="AD304">
        <v>0</v>
      </c>
      <c r="AE304">
        <v>0</v>
      </c>
      <c r="AF304">
        <v>6.22</v>
      </c>
      <c r="AG304">
        <v>0.28999999999999998</v>
      </c>
      <c r="AH304">
        <v>0</v>
      </c>
      <c r="AI304">
        <v>1</v>
      </c>
      <c r="AJ304">
        <v>1</v>
      </c>
      <c r="AK304">
        <v>1</v>
      </c>
      <c r="AL304">
        <v>1</v>
      </c>
      <c r="AN304">
        <v>0</v>
      </c>
      <c r="AO304">
        <v>1</v>
      </c>
      <c r="AP304">
        <v>1</v>
      </c>
      <c r="AQ304">
        <v>0</v>
      </c>
      <c r="AR304">
        <v>0</v>
      </c>
      <c r="AS304" t="s">
        <v>3</v>
      </c>
      <c r="AT304">
        <v>120</v>
      </c>
      <c r="AU304" t="s">
        <v>36</v>
      </c>
      <c r="AV304">
        <v>0</v>
      </c>
      <c r="AW304">
        <v>2</v>
      </c>
      <c r="AX304">
        <v>45038636</v>
      </c>
      <c r="AY304">
        <v>1</v>
      </c>
      <c r="AZ304">
        <v>0</v>
      </c>
      <c r="BA304">
        <v>298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CX304">
        <f>Y304*Source!I337</f>
        <v>0.18</v>
      </c>
      <c r="CY304">
        <f t="shared" ref="CY304:CY309" si="12">AB304</f>
        <v>6.22</v>
      </c>
      <c r="CZ304">
        <f t="shared" ref="CZ304:CZ309" si="13">AF304</f>
        <v>6.22</v>
      </c>
      <c r="DA304">
        <f t="shared" ref="DA304:DA309" si="14">AJ304</f>
        <v>1</v>
      </c>
      <c r="DB304">
        <v>0</v>
      </c>
    </row>
    <row r="305" spans="1:106" x14ac:dyDescent="0.2">
      <c r="A305">
        <f>ROW(Source!A337)</f>
        <v>337</v>
      </c>
      <c r="B305">
        <v>45037306</v>
      </c>
      <c r="C305">
        <v>45038107</v>
      </c>
      <c r="D305">
        <v>22725860</v>
      </c>
      <c r="E305">
        <v>1</v>
      </c>
      <c r="F305">
        <v>1</v>
      </c>
      <c r="G305">
        <v>22652947</v>
      </c>
      <c r="H305">
        <v>2</v>
      </c>
      <c r="I305" t="s">
        <v>660</v>
      </c>
      <c r="J305" t="s">
        <v>661</v>
      </c>
      <c r="K305" t="s">
        <v>662</v>
      </c>
      <c r="L305">
        <v>1367</v>
      </c>
      <c r="N305">
        <v>1011</v>
      </c>
      <c r="O305" t="s">
        <v>623</v>
      </c>
      <c r="P305" t="s">
        <v>623</v>
      </c>
      <c r="Q305">
        <v>1</v>
      </c>
      <c r="W305">
        <v>0</v>
      </c>
      <c r="X305">
        <v>-628430174</v>
      </c>
      <c r="Y305">
        <v>1.6875</v>
      </c>
      <c r="AA305">
        <v>0</v>
      </c>
      <c r="AB305">
        <v>76.81</v>
      </c>
      <c r="AC305">
        <v>14.36</v>
      </c>
      <c r="AD305">
        <v>0</v>
      </c>
      <c r="AE305">
        <v>0</v>
      </c>
      <c r="AF305">
        <v>76.81</v>
      </c>
      <c r="AG305">
        <v>14.36</v>
      </c>
      <c r="AH305">
        <v>0</v>
      </c>
      <c r="AI305">
        <v>1</v>
      </c>
      <c r="AJ305">
        <v>1</v>
      </c>
      <c r="AK305">
        <v>1</v>
      </c>
      <c r="AL305">
        <v>1</v>
      </c>
      <c r="AN305">
        <v>0</v>
      </c>
      <c r="AO305">
        <v>1</v>
      </c>
      <c r="AP305">
        <v>1</v>
      </c>
      <c r="AQ305">
        <v>0</v>
      </c>
      <c r="AR305">
        <v>0</v>
      </c>
      <c r="AS305" t="s">
        <v>3</v>
      </c>
      <c r="AT305">
        <v>1.35</v>
      </c>
      <c r="AU305" t="s">
        <v>36</v>
      </c>
      <c r="AV305">
        <v>0</v>
      </c>
      <c r="AW305">
        <v>2</v>
      </c>
      <c r="AX305">
        <v>45038637</v>
      </c>
      <c r="AY305">
        <v>1</v>
      </c>
      <c r="AZ305">
        <v>0</v>
      </c>
      <c r="BA305">
        <v>299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CX305">
        <f>Y305*Source!I337</f>
        <v>2.0249999999999999E-3</v>
      </c>
      <c r="CY305">
        <f t="shared" si="12"/>
        <v>76.81</v>
      </c>
      <c r="CZ305">
        <f t="shared" si="13"/>
        <v>76.81</v>
      </c>
      <c r="DA305">
        <f t="shared" si="14"/>
        <v>1</v>
      </c>
      <c r="DB305">
        <v>0</v>
      </c>
    </row>
    <row r="306" spans="1:106" x14ac:dyDescent="0.2">
      <c r="A306">
        <f>ROW(Source!A337)</f>
        <v>337</v>
      </c>
      <c r="B306">
        <v>45037306</v>
      </c>
      <c r="C306">
        <v>45038107</v>
      </c>
      <c r="D306">
        <v>22725913</v>
      </c>
      <c r="E306">
        <v>1</v>
      </c>
      <c r="F306">
        <v>1</v>
      </c>
      <c r="G306">
        <v>22652947</v>
      </c>
      <c r="H306">
        <v>2</v>
      </c>
      <c r="I306" t="s">
        <v>756</v>
      </c>
      <c r="J306" t="s">
        <v>757</v>
      </c>
      <c r="K306" t="s">
        <v>758</v>
      </c>
      <c r="L306">
        <v>1367</v>
      </c>
      <c r="N306">
        <v>1011</v>
      </c>
      <c r="O306" t="s">
        <v>623</v>
      </c>
      <c r="P306" t="s">
        <v>623</v>
      </c>
      <c r="Q306">
        <v>1</v>
      </c>
      <c r="W306">
        <v>0</v>
      </c>
      <c r="X306">
        <v>1189541023</v>
      </c>
      <c r="Y306">
        <v>0.125</v>
      </c>
      <c r="AA306">
        <v>0</v>
      </c>
      <c r="AB306">
        <v>0.53</v>
      </c>
      <c r="AC306">
        <v>0.04</v>
      </c>
      <c r="AD306">
        <v>0</v>
      </c>
      <c r="AE306">
        <v>0</v>
      </c>
      <c r="AF306">
        <v>0.53</v>
      </c>
      <c r="AG306">
        <v>0.04</v>
      </c>
      <c r="AH306">
        <v>0</v>
      </c>
      <c r="AI306">
        <v>1</v>
      </c>
      <c r="AJ306">
        <v>1</v>
      </c>
      <c r="AK306">
        <v>1</v>
      </c>
      <c r="AL306">
        <v>1</v>
      </c>
      <c r="AN306">
        <v>0</v>
      </c>
      <c r="AO306">
        <v>1</v>
      </c>
      <c r="AP306">
        <v>1</v>
      </c>
      <c r="AQ306">
        <v>0</v>
      </c>
      <c r="AR306">
        <v>0</v>
      </c>
      <c r="AS306" t="s">
        <v>3</v>
      </c>
      <c r="AT306">
        <v>0.1</v>
      </c>
      <c r="AU306" t="s">
        <v>36</v>
      </c>
      <c r="AV306">
        <v>0</v>
      </c>
      <c r="AW306">
        <v>2</v>
      </c>
      <c r="AX306">
        <v>45038639</v>
      </c>
      <c r="AY306">
        <v>1</v>
      </c>
      <c r="AZ306">
        <v>0</v>
      </c>
      <c r="BA306">
        <v>300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CX306">
        <f>Y306*Source!I337</f>
        <v>1.4999999999999999E-4</v>
      </c>
      <c r="CY306">
        <f t="shared" si="12"/>
        <v>0.53</v>
      </c>
      <c r="CZ306">
        <f t="shared" si="13"/>
        <v>0.53</v>
      </c>
      <c r="DA306">
        <f t="shared" si="14"/>
        <v>1</v>
      </c>
      <c r="DB306">
        <v>0</v>
      </c>
    </row>
    <row r="307" spans="1:106" x14ac:dyDescent="0.2">
      <c r="A307">
        <f>ROW(Source!A337)</f>
        <v>337</v>
      </c>
      <c r="B307">
        <v>45037306</v>
      </c>
      <c r="C307">
        <v>45038107</v>
      </c>
      <c r="D307">
        <v>22725104</v>
      </c>
      <c r="E307">
        <v>1</v>
      </c>
      <c r="F307">
        <v>1</v>
      </c>
      <c r="G307">
        <v>22652947</v>
      </c>
      <c r="H307">
        <v>2</v>
      </c>
      <c r="I307" t="s">
        <v>759</v>
      </c>
      <c r="J307" t="s">
        <v>760</v>
      </c>
      <c r="K307" t="s">
        <v>761</v>
      </c>
      <c r="L307">
        <v>1367</v>
      </c>
      <c r="N307">
        <v>1011</v>
      </c>
      <c r="O307" t="s">
        <v>623</v>
      </c>
      <c r="P307" t="s">
        <v>623</v>
      </c>
      <c r="Q307">
        <v>1</v>
      </c>
      <c r="W307">
        <v>0</v>
      </c>
      <c r="X307">
        <v>-94137371</v>
      </c>
      <c r="Y307">
        <v>1.125</v>
      </c>
      <c r="AA307">
        <v>0</v>
      </c>
      <c r="AB307">
        <v>102.11</v>
      </c>
      <c r="AC307">
        <v>30.03</v>
      </c>
      <c r="AD307">
        <v>0</v>
      </c>
      <c r="AE307">
        <v>0</v>
      </c>
      <c r="AF307">
        <v>102.11</v>
      </c>
      <c r="AG307">
        <v>30.03</v>
      </c>
      <c r="AH307">
        <v>0</v>
      </c>
      <c r="AI307">
        <v>1</v>
      </c>
      <c r="AJ307">
        <v>1</v>
      </c>
      <c r="AK307">
        <v>1</v>
      </c>
      <c r="AL307">
        <v>1</v>
      </c>
      <c r="AN307">
        <v>0</v>
      </c>
      <c r="AO307">
        <v>1</v>
      </c>
      <c r="AP307">
        <v>1</v>
      </c>
      <c r="AQ307">
        <v>0</v>
      </c>
      <c r="AR307">
        <v>0</v>
      </c>
      <c r="AS307" t="s">
        <v>3</v>
      </c>
      <c r="AT307">
        <v>0.9</v>
      </c>
      <c r="AU307" t="s">
        <v>36</v>
      </c>
      <c r="AV307">
        <v>0</v>
      </c>
      <c r="AW307">
        <v>2</v>
      </c>
      <c r="AX307">
        <v>45038638</v>
      </c>
      <c r="AY307">
        <v>1</v>
      </c>
      <c r="AZ307">
        <v>0</v>
      </c>
      <c r="BA307">
        <v>301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CX307">
        <f>Y307*Source!I337</f>
        <v>1.3499999999999999E-3</v>
      </c>
      <c r="CY307">
        <f t="shared" si="12"/>
        <v>102.11</v>
      </c>
      <c r="CZ307">
        <f t="shared" si="13"/>
        <v>102.11</v>
      </c>
      <c r="DA307">
        <f t="shared" si="14"/>
        <v>1</v>
      </c>
      <c r="DB307">
        <v>0</v>
      </c>
    </row>
    <row r="308" spans="1:106" x14ac:dyDescent="0.2">
      <c r="A308">
        <f>ROW(Source!A337)</f>
        <v>337</v>
      </c>
      <c r="B308">
        <v>45037306</v>
      </c>
      <c r="C308">
        <v>45038107</v>
      </c>
      <c r="D308">
        <v>22725200</v>
      </c>
      <c r="E308">
        <v>1</v>
      </c>
      <c r="F308">
        <v>1</v>
      </c>
      <c r="G308">
        <v>22652947</v>
      </c>
      <c r="H308">
        <v>2</v>
      </c>
      <c r="I308" t="s">
        <v>762</v>
      </c>
      <c r="J308" t="s">
        <v>763</v>
      </c>
      <c r="K308" t="s">
        <v>764</v>
      </c>
      <c r="L308">
        <v>1367</v>
      </c>
      <c r="N308">
        <v>1011</v>
      </c>
      <c r="O308" t="s">
        <v>623</v>
      </c>
      <c r="P308" t="s">
        <v>623</v>
      </c>
      <c r="Q308">
        <v>1</v>
      </c>
      <c r="W308">
        <v>0</v>
      </c>
      <c r="X308">
        <v>482200787</v>
      </c>
      <c r="Y308">
        <v>0.3125</v>
      </c>
      <c r="AA308">
        <v>0</v>
      </c>
      <c r="AB308">
        <v>73</v>
      </c>
      <c r="AC308">
        <v>16.899999999999999</v>
      </c>
      <c r="AD308">
        <v>0</v>
      </c>
      <c r="AE308">
        <v>0</v>
      </c>
      <c r="AF308">
        <v>73</v>
      </c>
      <c r="AG308">
        <v>16.899999999999999</v>
      </c>
      <c r="AH308">
        <v>0</v>
      </c>
      <c r="AI308">
        <v>1</v>
      </c>
      <c r="AJ308">
        <v>1</v>
      </c>
      <c r="AK308">
        <v>1</v>
      </c>
      <c r="AL308">
        <v>1</v>
      </c>
      <c r="AN308">
        <v>0</v>
      </c>
      <c r="AO308">
        <v>1</v>
      </c>
      <c r="AP308">
        <v>1</v>
      </c>
      <c r="AQ308">
        <v>0</v>
      </c>
      <c r="AR308">
        <v>0</v>
      </c>
      <c r="AS308" t="s">
        <v>3</v>
      </c>
      <c r="AT308">
        <v>0.25</v>
      </c>
      <c r="AU308" t="s">
        <v>36</v>
      </c>
      <c r="AV308">
        <v>0</v>
      </c>
      <c r="AW308">
        <v>2</v>
      </c>
      <c r="AX308">
        <v>45038640</v>
      </c>
      <c r="AY308">
        <v>1</v>
      </c>
      <c r="AZ308">
        <v>0</v>
      </c>
      <c r="BA308">
        <v>302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CX308">
        <f>Y308*Source!I337</f>
        <v>3.7499999999999995E-4</v>
      </c>
      <c r="CY308">
        <f t="shared" si="12"/>
        <v>73</v>
      </c>
      <c r="CZ308">
        <f t="shared" si="13"/>
        <v>73</v>
      </c>
      <c r="DA308">
        <f t="shared" si="14"/>
        <v>1</v>
      </c>
      <c r="DB308">
        <v>0</v>
      </c>
    </row>
    <row r="309" spans="1:106" x14ac:dyDescent="0.2">
      <c r="A309">
        <f>ROW(Source!A337)</f>
        <v>337</v>
      </c>
      <c r="B309">
        <v>45037306</v>
      </c>
      <c r="C309">
        <v>45038107</v>
      </c>
      <c r="D309">
        <v>22725391</v>
      </c>
      <c r="E309">
        <v>1</v>
      </c>
      <c r="F309">
        <v>1</v>
      </c>
      <c r="G309">
        <v>22652947</v>
      </c>
      <c r="H309">
        <v>2</v>
      </c>
      <c r="I309" t="s">
        <v>765</v>
      </c>
      <c r="J309" t="s">
        <v>766</v>
      </c>
      <c r="K309" t="s">
        <v>767</v>
      </c>
      <c r="L309">
        <v>1367</v>
      </c>
      <c r="N309">
        <v>1011</v>
      </c>
      <c r="O309" t="s">
        <v>623</v>
      </c>
      <c r="P309" t="s">
        <v>623</v>
      </c>
      <c r="Q309">
        <v>1</v>
      </c>
      <c r="W309">
        <v>0</v>
      </c>
      <c r="X309">
        <v>1059521099</v>
      </c>
      <c r="Y309">
        <v>11.25</v>
      </c>
      <c r="AA309">
        <v>0</v>
      </c>
      <c r="AB309">
        <v>2.06</v>
      </c>
      <c r="AC309">
        <v>0.09</v>
      </c>
      <c r="AD309">
        <v>0</v>
      </c>
      <c r="AE309">
        <v>0</v>
      </c>
      <c r="AF309">
        <v>2.06</v>
      </c>
      <c r="AG309">
        <v>0.09</v>
      </c>
      <c r="AH309">
        <v>0</v>
      </c>
      <c r="AI309">
        <v>1</v>
      </c>
      <c r="AJ309">
        <v>1</v>
      </c>
      <c r="AK309">
        <v>1</v>
      </c>
      <c r="AL309">
        <v>1</v>
      </c>
      <c r="AN309">
        <v>0</v>
      </c>
      <c r="AO309">
        <v>1</v>
      </c>
      <c r="AP309">
        <v>1</v>
      </c>
      <c r="AQ309">
        <v>0</v>
      </c>
      <c r="AR309">
        <v>0</v>
      </c>
      <c r="AS309" t="s">
        <v>3</v>
      </c>
      <c r="AT309">
        <v>9</v>
      </c>
      <c r="AU309" t="s">
        <v>36</v>
      </c>
      <c r="AV309">
        <v>0</v>
      </c>
      <c r="AW309">
        <v>2</v>
      </c>
      <c r="AX309">
        <v>45038641</v>
      </c>
      <c r="AY309">
        <v>1</v>
      </c>
      <c r="AZ309">
        <v>0</v>
      </c>
      <c r="BA309">
        <v>303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CX309">
        <f>Y309*Source!I337</f>
        <v>1.3499999999999998E-2</v>
      </c>
      <c r="CY309">
        <f t="shared" si="12"/>
        <v>2.06</v>
      </c>
      <c r="CZ309">
        <f t="shared" si="13"/>
        <v>2.06</v>
      </c>
      <c r="DA309">
        <f t="shared" si="14"/>
        <v>1</v>
      </c>
      <c r="DB309">
        <v>0</v>
      </c>
    </row>
    <row r="310" spans="1:106" x14ac:dyDescent="0.2">
      <c r="A310">
        <f>ROW(Source!A337)</f>
        <v>337</v>
      </c>
      <c r="B310">
        <v>45037306</v>
      </c>
      <c r="C310">
        <v>45038107</v>
      </c>
      <c r="D310">
        <v>22700967</v>
      </c>
      <c r="E310">
        <v>1</v>
      </c>
      <c r="F310">
        <v>1</v>
      </c>
      <c r="G310">
        <v>22652947</v>
      </c>
      <c r="H310">
        <v>3</v>
      </c>
      <c r="I310" t="s">
        <v>273</v>
      </c>
      <c r="J310" t="s">
        <v>275</v>
      </c>
      <c r="K310" t="s">
        <v>274</v>
      </c>
      <c r="L310">
        <v>1339</v>
      </c>
      <c r="N310">
        <v>1007</v>
      </c>
      <c r="O310" t="s">
        <v>80</v>
      </c>
      <c r="P310" t="s">
        <v>80</v>
      </c>
      <c r="Q310">
        <v>1</v>
      </c>
      <c r="W310">
        <v>0</v>
      </c>
      <c r="X310">
        <v>-862991314</v>
      </c>
      <c r="Y310">
        <v>0.73</v>
      </c>
      <c r="AA310">
        <v>7.07</v>
      </c>
      <c r="AB310">
        <v>0</v>
      </c>
      <c r="AC310">
        <v>0</v>
      </c>
      <c r="AD310">
        <v>0</v>
      </c>
      <c r="AE310">
        <v>7.07</v>
      </c>
      <c r="AF310">
        <v>0</v>
      </c>
      <c r="AG310">
        <v>0</v>
      </c>
      <c r="AH310">
        <v>0</v>
      </c>
      <c r="AI310">
        <v>1</v>
      </c>
      <c r="AJ310">
        <v>1</v>
      </c>
      <c r="AK310">
        <v>1</v>
      </c>
      <c r="AL310">
        <v>1</v>
      </c>
      <c r="AN310">
        <v>0</v>
      </c>
      <c r="AO310">
        <v>1</v>
      </c>
      <c r="AP310">
        <v>0</v>
      </c>
      <c r="AQ310">
        <v>0</v>
      </c>
      <c r="AR310">
        <v>0</v>
      </c>
      <c r="AS310" t="s">
        <v>3</v>
      </c>
      <c r="AT310">
        <v>0.73</v>
      </c>
      <c r="AU310" t="s">
        <v>3</v>
      </c>
      <c r="AV310">
        <v>0</v>
      </c>
      <c r="AW310">
        <v>2</v>
      </c>
      <c r="AX310">
        <v>45038643</v>
      </c>
      <c r="AY310">
        <v>1</v>
      </c>
      <c r="AZ310">
        <v>0</v>
      </c>
      <c r="BA310">
        <v>305</v>
      </c>
      <c r="BB310">
        <v>0</v>
      </c>
      <c r="BC310">
        <v>0</v>
      </c>
      <c r="BD310">
        <v>0</v>
      </c>
      <c r="BE310">
        <v>0</v>
      </c>
      <c r="BF310">
        <v>0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0</v>
      </c>
      <c r="BR310">
        <v>0</v>
      </c>
      <c r="BS310">
        <v>0</v>
      </c>
      <c r="BT310">
        <v>0</v>
      </c>
      <c r="BU310">
        <v>0</v>
      </c>
      <c r="BV310">
        <v>0</v>
      </c>
      <c r="BW310">
        <v>0</v>
      </c>
      <c r="CX310">
        <f>Y310*Source!I337</f>
        <v>8.7599999999999993E-4</v>
      </c>
      <c r="CY310">
        <f t="shared" ref="CY310:CY319" si="15">AA310</f>
        <v>7.07</v>
      </c>
      <c r="CZ310">
        <f t="shared" ref="CZ310:CZ319" si="16">AE310</f>
        <v>7.07</v>
      </c>
      <c r="DA310">
        <f t="shared" ref="DA310:DA319" si="17">AI310</f>
        <v>1</v>
      </c>
      <c r="DB310">
        <v>0</v>
      </c>
    </row>
    <row r="311" spans="1:106" x14ac:dyDescent="0.2">
      <c r="A311">
        <f>ROW(Source!A337)</f>
        <v>337</v>
      </c>
      <c r="B311">
        <v>45037306</v>
      </c>
      <c r="C311">
        <v>45038107</v>
      </c>
      <c r="D311">
        <v>22700980</v>
      </c>
      <c r="E311">
        <v>1</v>
      </c>
      <c r="F311">
        <v>1</v>
      </c>
      <c r="G311">
        <v>22652947</v>
      </c>
      <c r="H311">
        <v>3</v>
      </c>
      <c r="I311" t="s">
        <v>768</v>
      </c>
      <c r="J311" t="s">
        <v>769</v>
      </c>
      <c r="K311" t="s">
        <v>770</v>
      </c>
      <c r="L311">
        <v>1348</v>
      </c>
      <c r="N311">
        <v>1009</v>
      </c>
      <c r="O311" t="s">
        <v>29</v>
      </c>
      <c r="P311" t="s">
        <v>29</v>
      </c>
      <c r="Q311">
        <v>1000</v>
      </c>
      <c r="W311">
        <v>0</v>
      </c>
      <c r="X311">
        <v>563176784</v>
      </c>
      <c r="Y311">
        <v>2E-3</v>
      </c>
      <c r="AA311">
        <v>6521.42</v>
      </c>
      <c r="AB311">
        <v>0</v>
      </c>
      <c r="AC311">
        <v>0</v>
      </c>
      <c r="AD311">
        <v>0</v>
      </c>
      <c r="AE311">
        <v>6521.42</v>
      </c>
      <c r="AF311">
        <v>0</v>
      </c>
      <c r="AG311">
        <v>0</v>
      </c>
      <c r="AH311">
        <v>0</v>
      </c>
      <c r="AI311">
        <v>1</v>
      </c>
      <c r="AJ311">
        <v>1</v>
      </c>
      <c r="AK311">
        <v>1</v>
      </c>
      <c r="AL311">
        <v>1</v>
      </c>
      <c r="AN311">
        <v>0</v>
      </c>
      <c r="AO311">
        <v>1</v>
      </c>
      <c r="AP311">
        <v>0</v>
      </c>
      <c r="AQ311">
        <v>0</v>
      </c>
      <c r="AR311">
        <v>0</v>
      </c>
      <c r="AS311" t="s">
        <v>3</v>
      </c>
      <c r="AT311">
        <v>2E-3</v>
      </c>
      <c r="AU311" t="s">
        <v>3</v>
      </c>
      <c r="AV311">
        <v>0</v>
      </c>
      <c r="AW311">
        <v>2</v>
      </c>
      <c r="AX311">
        <v>45038644</v>
      </c>
      <c r="AY311">
        <v>1</v>
      </c>
      <c r="AZ311">
        <v>0</v>
      </c>
      <c r="BA311">
        <v>306</v>
      </c>
      <c r="BB311">
        <v>0</v>
      </c>
      <c r="BC311">
        <v>0</v>
      </c>
      <c r="BD311">
        <v>0</v>
      </c>
      <c r="BE311">
        <v>0</v>
      </c>
      <c r="BF311">
        <v>0</v>
      </c>
      <c r="BG311">
        <v>0</v>
      </c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0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CX311">
        <f>Y311*Source!I337</f>
        <v>2.3999999999999999E-6</v>
      </c>
      <c r="CY311">
        <f t="shared" si="15"/>
        <v>6521.42</v>
      </c>
      <c r="CZ311">
        <f t="shared" si="16"/>
        <v>6521.42</v>
      </c>
      <c r="DA311">
        <f t="shared" si="17"/>
        <v>1</v>
      </c>
      <c r="DB311">
        <v>0</v>
      </c>
    </row>
    <row r="312" spans="1:106" x14ac:dyDescent="0.2">
      <c r="A312">
        <f>ROW(Source!A337)</f>
        <v>337</v>
      </c>
      <c r="B312">
        <v>45037306</v>
      </c>
      <c r="C312">
        <v>45038107</v>
      </c>
      <c r="D312">
        <v>22702279</v>
      </c>
      <c r="E312">
        <v>1</v>
      </c>
      <c r="F312">
        <v>1</v>
      </c>
      <c r="G312">
        <v>22652947</v>
      </c>
      <c r="H312">
        <v>3</v>
      </c>
      <c r="I312" t="s">
        <v>666</v>
      </c>
      <c r="J312" t="s">
        <v>667</v>
      </c>
      <c r="K312" t="s">
        <v>668</v>
      </c>
      <c r="L312">
        <v>1348</v>
      </c>
      <c r="N312">
        <v>1009</v>
      </c>
      <c r="O312" t="s">
        <v>29</v>
      </c>
      <c r="P312" t="s">
        <v>29</v>
      </c>
      <c r="Q312">
        <v>1000</v>
      </c>
      <c r="W312">
        <v>0</v>
      </c>
      <c r="X312">
        <v>1310716689</v>
      </c>
      <c r="Y312">
        <v>0.16</v>
      </c>
      <c r="AA312">
        <v>7191.81</v>
      </c>
      <c r="AB312">
        <v>0</v>
      </c>
      <c r="AC312">
        <v>0</v>
      </c>
      <c r="AD312">
        <v>0</v>
      </c>
      <c r="AE312">
        <v>7191.81</v>
      </c>
      <c r="AF312">
        <v>0</v>
      </c>
      <c r="AG312">
        <v>0</v>
      </c>
      <c r="AH312">
        <v>0</v>
      </c>
      <c r="AI312">
        <v>1</v>
      </c>
      <c r="AJ312">
        <v>1</v>
      </c>
      <c r="AK312">
        <v>1</v>
      </c>
      <c r="AL312">
        <v>1</v>
      </c>
      <c r="AN312">
        <v>0</v>
      </c>
      <c r="AO312">
        <v>1</v>
      </c>
      <c r="AP312">
        <v>0</v>
      </c>
      <c r="AQ312">
        <v>0</v>
      </c>
      <c r="AR312">
        <v>0</v>
      </c>
      <c r="AS312" t="s">
        <v>3</v>
      </c>
      <c r="AT312">
        <v>0.16</v>
      </c>
      <c r="AU312" t="s">
        <v>3</v>
      </c>
      <c r="AV312">
        <v>0</v>
      </c>
      <c r="AW312">
        <v>2</v>
      </c>
      <c r="AX312">
        <v>45038645</v>
      </c>
      <c r="AY312">
        <v>1</v>
      </c>
      <c r="AZ312">
        <v>0</v>
      </c>
      <c r="BA312">
        <v>307</v>
      </c>
      <c r="BB312">
        <v>0</v>
      </c>
      <c r="BC312">
        <v>0</v>
      </c>
      <c r="BD312">
        <v>0</v>
      </c>
      <c r="BE312">
        <v>0</v>
      </c>
      <c r="BF312">
        <v>0</v>
      </c>
      <c r="BG312">
        <v>0</v>
      </c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0</v>
      </c>
      <c r="BR312">
        <v>0</v>
      </c>
      <c r="BS312">
        <v>0</v>
      </c>
      <c r="BT312">
        <v>0</v>
      </c>
      <c r="BU312">
        <v>0</v>
      </c>
      <c r="BV312">
        <v>0</v>
      </c>
      <c r="BW312">
        <v>0</v>
      </c>
      <c r="CX312">
        <f>Y312*Source!I337</f>
        <v>1.9199999999999998E-4</v>
      </c>
      <c r="CY312">
        <f t="shared" si="15"/>
        <v>7191.81</v>
      </c>
      <c r="CZ312">
        <f t="shared" si="16"/>
        <v>7191.81</v>
      </c>
      <c r="DA312">
        <f t="shared" si="17"/>
        <v>1</v>
      </c>
      <c r="DB312">
        <v>0</v>
      </c>
    </row>
    <row r="313" spans="1:106" x14ac:dyDescent="0.2">
      <c r="A313">
        <f>ROW(Source!A337)</f>
        <v>337</v>
      </c>
      <c r="B313">
        <v>45037306</v>
      </c>
      <c r="C313">
        <v>45038107</v>
      </c>
      <c r="D313">
        <v>22701071</v>
      </c>
      <c r="E313">
        <v>1</v>
      </c>
      <c r="F313">
        <v>1</v>
      </c>
      <c r="G313">
        <v>22652947</v>
      </c>
      <c r="H313">
        <v>3</v>
      </c>
      <c r="I313" t="s">
        <v>771</v>
      </c>
      <c r="J313" t="s">
        <v>772</v>
      </c>
      <c r="K313" t="s">
        <v>773</v>
      </c>
      <c r="L313">
        <v>1339</v>
      </c>
      <c r="N313">
        <v>1007</v>
      </c>
      <c r="O313" t="s">
        <v>80</v>
      </c>
      <c r="P313" t="s">
        <v>80</v>
      </c>
      <c r="Q313">
        <v>1</v>
      </c>
      <c r="W313">
        <v>0</v>
      </c>
      <c r="X313">
        <v>-1939393675</v>
      </c>
      <c r="Y313">
        <v>0.04</v>
      </c>
      <c r="AA313">
        <v>1828.56</v>
      </c>
      <c r="AB313">
        <v>0</v>
      </c>
      <c r="AC313">
        <v>0</v>
      </c>
      <c r="AD313">
        <v>0</v>
      </c>
      <c r="AE313">
        <v>1828.56</v>
      </c>
      <c r="AF313">
        <v>0</v>
      </c>
      <c r="AG313">
        <v>0</v>
      </c>
      <c r="AH313">
        <v>0</v>
      </c>
      <c r="AI313">
        <v>1</v>
      </c>
      <c r="AJ313">
        <v>1</v>
      </c>
      <c r="AK313">
        <v>1</v>
      </c>
      <c r="AL313">
        <v>1</v>
      </c>
      <c r="AN313">
        <v>0</v>
      </c>
      <c r="AO313">
        <v>1</v>
      </c>
      <c r="AP313">
        <v>0</v>
      </c>
      <c r="AQ313">
        <v>0</v>
      </c>
      <c r="AR313">
        <v>0</v>
      </c>
      <c r="AS313" t="s">
        <v>3</v>
      </c>
      <c r="AT313">
        <v>0.04</v>
      </c>
      <c r="AU313" t="s">
        <v>3</v>
      </c>
      <c r="AV313">
        <v>0</v>
      </c>
      <c r="AW313">
        <v>2</v>
      </c>
      <c r="AX313">
        <v>45038646</v>
      </c>
      <c r="AY313">
        <v>1</v>
      </c>
      <c r="AZ313">
        <v>0</v>
      </c>
      <c r="BA313">
        <v>308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CX313">
        <f>Y313*Source!I337</f>
        <v>4.7999999999999994E-5</v>
      </c>
      <c r="CY313">
        <f t="shared" si="15"/>
        <v>1828.56</v>
      </c>
      <c r="CZ313">
        <f t="shared" si="16"/>
        <v>1828.56</v>
      </c>
      <c r="DA313">
        <f t="shared" si="17"/>
        <v>1</v>
      </c>
      <c r="DB313">
        <v>0</v>
      </c>
    </row>
    <row r="314" spans="1:106" x14ac:dyDescent="0.2">
      <c r="A314">
        <f>ROW(Source!A337)</f>
        <v>337</v>
      </c>
      <c r="B314">
        <v>45037306</v>
      </c>
      <c r="C314">
        <v>45038107</v>
      </c>
      <c r="D314">
        <v>22701098</v>
      </c>
      <c r="E314">
        <v>1</v>
      </c>
      <c r="F314">
        <v>1</v>
      </c>
      <c r="G314">
        <v>22652947</v>
      </c>
      <c r="H314">
        <v>3</v>
      </c>
      <c r="I314" t="s">
        <v>774</v>
      </c>
      <c r="J314" t="s">
        <v>775</v>
      </c>
      <c r="K314" t="s">
        <v>776</v>
      </c>
      <c r="L314">
        <v>1348</v>
      </c>
      <c r="N314">
        <v>1009</v>
      </c>
      <c r="O314" t="s">
        <v>29</v>
      </c>
      <c r="P314" t="s">
        <v>29</v>
      </c>
      <c r="Q314">
        <v>1000</v>
      </c>
      <c r="W314">
        <v>0</v>
      </c>
      <c r="X314">
        <v>-1753839253</v>
      </c>
      <c r="Y314">
        <v>0.01</v>
      </c>
      <c r="AA314">
        <v>1260.72</v>
      </c>
      <c r="AB314">
        <v>0</v>
      </c>
      <c r="AC314">
        <v>0</v>
      </c>
      <c r="AD314">
        <v>0</v>
      </c>
      <c r="AE314">
        <v>1260.72</v>
      </c>
      <c r="AF314">
        <v>0</v>
      </c>
      <c r="AG314">
        <v>0</v>
      </c>
      <c r="AH314">
        <v>0</v>
      </c>
      <c r="AI314">
        <v>1</v>
      </c>
      <c r="AJ314">
        <v>1</v>
      </c>
      <c r="AK314">
        <v>1</v>
      </c>
      <c r="AL314">
        <v>1</v>
      </c>
      <c r="AN314">
        <v>0</v>
      </c>
      <c r="AO314">
        <v>1</v>
      </c>
      <c r="AP314">
        <v>0</v>
      </c>
      <c r="AQ314">
        <v>0</v>
      </c>
      <c r="AR314">
        <v>0</v>
      </c>
      <c r="AS314" t="s">
        <v>3</v>
      </c>
      <c r="AT314">
        <v>0.01</v>
      </c>
      <c r="AU314" t="s">
        <v>3</v>
      </c>
      <c r="AV314">
        <v>0</v>
      </c>
      <c r="AW314">
        <v>2</v>
      </c>
      <c r="AX314">
        <v>45038647</v>
      </c>
      <c r="AY314">
        <v>1</v>
      </c>
      <c r="AZ314">
        <v>0</v>
      </c>
      <c r="BA314">
        <v>309</v>
      </c>
      <c r="BB314">
        <v>0</v>
      </c>
      <c r="BC314">
        <v>0</v>
      </c>
      <c r="BD314">
        <v>0</v>
      </c>
      <c r="BE314">
        <v>0</v>
      </c>
      <c r="BF314">
        <v>0</v>
      </c>
      <c r="BG314">
        <v>0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P314">
        <v>0</v>
      </c>
      <c r="BQ314">
        <v>0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CX314">
        <f>Y314*Source!I337</f>
        <v>1.1999999999999999E-5</v>
      </c>
      <c r="CY314">
        <f t="shared" si="15"/>
        <v>1260.72</v>
      </c>
      <c r="CZ314">
        <f t="shared" si="16"/>
        <v>1260.72</v>
      </c>
      <c r="DA314">
        <f t="shared" si="17"/>
        <v>1</v>
      </c>
      <c r="DB314">
        <v>0</v>
      </c>
    </row>
    <row r="315" spans="1:106" x14ac:dyDescent="0.2">
      <c r="A315">
        <f>ROW(Source!A337)</f>
        <v>337</v>
      </c>
      <c r="B315">
        <v>45037306</v>
      </c>
      <c r="C315">
        <v>45038107</v>
      </c>
      <c r="D315">
        <v>22701450</v>
      </c>
      <c r="E315">
        <v>1</v>
      </c>
      <c r="F315">
        <v>1</v>
      </c>
      <c r="G315">
        <v>22652947</v>
      </c>
      <c r="H315">
        <v>3</v>
      </c>
      <c r="I315" t="s">
        <v>753</v>
      </c>
      <c r="J315" t="s">
        <v>754</v>
      </c>
      <c r="K315" t="s">
        <v>755</v>
      </c>
      <c r="L315">
        <v>1327</v>
      </c>
      <c r="N315">
        <v>1005</v>
      </c>
      <c r="O315" t="s">
        <v>101</v>
      </c>
      <c r="P315" t="s">
        <v>101</v>
      </c>
      <c r="Q315">
        <v>1</v>
      </c>
      <c r="W315">
        <v>0</v>
      </c>
      <c r="X315">
        <v>-1476054991</v>
      </c>
      <c r="Y315">
        <v>30</v>
      </c>
      <c r="AA315">
        <v>7.39</v>
      </c>
      <c r="AB315">
        <v>0</v>
      </c>
      <c r="AC315">
        <v>0</v>
      </c>
      <c r="AD315">
        <v>0</v>
      </c>
      <c r="AE315">
        <v>7.39</v>
      </c>
      <c r="AF315">
        <v>0</v>
      </c>
      <c r="AG315">
        <v>0</v>
      </c>
      <c r="AH315">
        <v>0</v>
      </c>
      <c r="AI315">
        <v>1</v>
      </c>
      <c r="AJ315">
        <v>1</v>
      </c>
      <c r="AK315">
        <v>1</v>
      </c>
      <c r="AL315">
        <v>1</v>
      </c>
      <c r="AN315">
        <v>0</v>
      </c>
      <c r="AO315">
        <v>1</v>
      </c>
      <c r="AP315">
        <v>0</v>
      </c>
      <c r="AQ315">
        <v>0</v>
      </c>
      <c r="AR315">
        <v>0</v>
      </c>
      <c r="AS315" t="s">
        <v>3</v>
      </c>
      <c r="AT315">
        <v>30</v>
      </c>
      <c r="AU315" t="s">
        <v>3</v>
      </c>
      <c r="AV315">
        <v>0</v>
      </c>
      <c r="AW315">
        <v>2</v>
      </c>
      <c r="AX315">
        <v>45038648</v>
      </c>
      <c r="AY315">
        <v>1</v>
      </c>
      <c r="AZ315">
        <v>0</v>
      </c>
      <c r="BA315">
        <v>310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CX315">
        <f>Y315*Source!I337</f>
        <v>3.5999999999999997E-2</v>
      </c>
      <c r="CY315">
        <f t="shared" si="15"/>
        <v>7.39</v>
      </c>
      <c r="CZ315">
        <f t="shared" si="16"/>
        <v>7.39</v>
      </c>
      <c r="DA315">
        <f t="shared" si="17"/>
        <v>1</v>
      </c>
      <c r="DB315">
        <v>0</v>
      </c>
    </row>
    <row r="316" spans="1:106" x14ac:dyDescent="0.2">
      <c r="A316">
        <f>ROW(Source!A337)</f>
        <v>337</v>
      </c>
      <c r="B316">
        <v>45037306</v>
      </c>
      <c r="C316">
        <v>45038107</v>
      </c>
      <c r="D316">
        <v>22719344</v>
      </c>
      <c r="E316">
        <v>1</v>
      </c>
      <c r="F316">
        <v>1</v>
      </c>
      <c r="G316">
        <v>22652947</v>
      </c>
      <c r="H316">
        <v>3</v>
      </c>
      <c r="I316" t="s">
        <v>421</v>
      </c>
      <c r="J316" t="s">
        <v>423</v>
      </c>
      <c r="K316" t="s">
        <v>422</v>
      </c>
      <c r="L316">
        <v>1339</v>
      </c>
      <c r="N316">
        <v>1007</v>
      </c>
      <c r="O316" t="s">
        <v>80</v>
      </c>
      <c r="P316" t="s">
        <v>80</v>
      </c>
      <c r="Q316">
        <v>1</v>
      </c>
      <c r="W316">
        <v>0</v>
      </c>
      <c r="X316">
        <v>1796330771</v>
      </c>
      <c r="Y316">
        <v>101.5</v>
      </c>
      <c r="AA316">
        <v>711.12</v>
      </c>
      <c r="AB316">
        <v>0</v>
      </c>
      <c r="AC316">
        <v>0</v>
      </c>
      <c r="AD316">
        <v>0</v>
      </c>
      <c r="AE316">
        <v>711.12</v>
      </c>
      <c r="AF316">
        <v>0</v>
      </c>
      <c r="AG316">
        <v>0</v>
      </c>
      <c r="AH316">
        <v>0</v>
      </c>
      <c r="AI316">
        <v>1</v>
      </c>
      <c r="AJ316">
        <v>1</v>
      </c>
      <c r="AK316">
        <v>1</v>
      </c>
      <c r="AL316">
        <v>1</v>
      </c>
      <c r="AN316">
        <v>0</v>
      </c>
      <c r="AO316">
        <v>0</v>
      </c>
      <c r="AP316">
        <v>0</v>
      </c>
      <c r="AQ316">
        <v>0</v>
      </c>
      <c r="AR316">
        <v>0</v>
      </c>
      <c r="AS316" t="s">
        <v>3</v>
      </c>
      <c r="AT316">
        <v>101.5</v>
      </c>
      <c r="AU316" t="s">
        <v>3</v>
      </c>
      <c r="AV316">
        <v>0</v>
      </c>
      <c r="AW316">
        <v>1</v>
      </c>
      <c r="AX316">
        <v>-1</v>
      </c>
      <c r="AY316">
        <v>0</v>
      </c>
      <c r="AZ316">
        <v>0</v>
      </c>
      <c r="BA316" t="s">
        <v>3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CX316">
        <f>Y316*Source!I337</f>
        <v>0.12179999999999999</v>
      </c>
      <c r="CY316">
        <f t="shared" si="15"/>
        <v>711.12</v>
      </c>
      <c r="CZ316">
        <f t="shared" si="16"/>
        <v>711.12</v>
      </c>
      <c r="DA316">
        <f t="shared" si="17"/>
        <v>1</v>
      </c>
      <c r="DB316">
        <v>0</v>
      </c>
    </row>
    <row r="317" spans="1:106" x14ac:dyDescent="0.2">
      <c r="A317">
        <f>ROW(Source!A337)</f>
        <v>337</v>
      </c>
      <c r="B317">
        <v>45037306</v>
      </c>
      <c r="C317">
        <v>45038107</v>
      </c>
      <c r="D317">
        <v>22719706</v>
      </c>
      <c r="E317">
        <v>1</v>
      </c>
      <c r="F317">
        <v>1</v>
      </c>
      <c r="G317">
        <v>22652947</v>
      </c>
      <c r="H317">
        <v>3</v>
      </c>
      <c r="I317" t="s">
        <v>413</v>
      </c>
      <c r="J317" t="s">
        <v>415</v>
      </c>
      <c r="K317" t="s">
        <v>414</v>
      </c>
      <c r="L317">
        <v>1348</v>
      </c>
      <c r="N317">
        <v>1009</v>
      </c>
      <c r="O317" t="s">
        <v>29</v>
      </c>
      <c r="P317" t="s">
        <v>29</v>
      </c>
      <c r="Q317">
        <v>1000</v>
      </c>
      <c r="W317">
        <v>0</v>
      </c>
      <c r="X317">
        <v>29731103</v>
      </c>
      <c r="Y317">
        <v>1.6666669999999999</v>
      </c>
      <c r="AA317">
        <v>5752.41</v>
      </c>
      <c r="AB317">
        <v>0</v>
      </c>
      <c r="AC317">
        <v>0</v>
      </c>
      <c r="AD317">
        <v>0</v>
      </c>
      <c r="AE317">
        <v>5752.41</v>
      </c>
      <c r="AF317">
        <v>0</v>
      </c>
      <c r="AG317">
        <v>0</v>
      </c>
      <c r="AH317">
        <v>0</v>
      </c>
      <c r="AI317">
        <v>1</v>
      </c>
      <c r="AJ317">
        <v>1</v>
      </c>
      <c r="AK317">
        <v>1</v>
      </c>
      <c r="AL317">
        <v>1</v>
      </c>
      <c r="AN317">
        <v>0</v>
      </c>
      <c r="AO317">
        <v>0</v>
      </c>
      <c r="AP317">
        <v>0</v>
      </c>
      <c r="AQ317">
        <v>0</v>
      </c>
      <c r="AR317">
        <v>0</v>
      </c>
      <c r="AS317" t="s">
        <v>3</v>
      </c>
      <c r="AT317">
        <v>1.6666669999999999</v>
      </c>
      <c r="AU317" t="s">
        <v>3</v>
      </c>
      <c r="AV317">
        <v>0</v>
      </c>
      <c r="AW317">
        <v>1</v>
      </c>
      <c r="AX317">
        <v>-1</v>
      </c>
      <c r="AY317">
        <v>0</v>
      </c>
      <c r="AZ317">
        <v>0</v>
      </c>
      <c r="BA317" t="s">
        <v>3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CX317">
        <f>Y317*Source!I337</f>
        <v>2.0000003999999997E-3</v>
      </c>
      <c r="CY317">
        <f t="shared" si="15"/>
        <v>5752.41</v>
      </c>
      <c r="CZ317">
        <f t="shared" si="16"/>
        <v>5752.41</v>
      </c>
      <c r="DA317">
        <f t="shared" si="17"/>
        <v>1</v>
      </c>
      <c r="DB317">
        <v>0</v>
      </c>
    </row>
    <row r="318" spans="1:106" x14ac:dyDescent="0.2">
      <c r="A318">
        <f>ROW(Source!A337)</f>
        <v>337</v>
      </c>
      <c r="B318">
        <v>45037306</v>
      </c>
      <c r="C318">
        <v>45038107</v>
      </c>
      <c r="D318">
        <v>22719708</v>
      </c>
      <c r="E318">
        <v>1</v>
      </c>
      <c r="F318">
        <v>1</v>
      </c>
      <c r="G318">
        <v>22652947</v>
      </c>
      <c r="H318">
        <v>3</v>
      </c>
      <c r="I318" t="s">
        <v>417</v>
      </c>
      <c r="J318" t="s">
        <v>419</v>
      </c>
      <c r="K318" t="s">
        <v>418</v>
      </c>
      <c r="L318">
        <v>1348</v>
      </c>
      <c r="N318">
        <v>1009</v>
      </c>
      <c r="O318" t="s">
        <v>29</v>
      </c>
      <c r="P318" t="s">
        <v>29</v>
      </c>
      <c r="Q318">
        <v>1000</v>
      </c>
      <c r="W318">
        <v>0</v>
      </c>
      <c r="X318">
        <v>1786208556</v>
      </c>
      <c r="Y318">
        <v>3.3333330000000001</v>
      </c>
      <c r="AA318">
        <v>5752.41</v>
      </c>
      <c r="AB318">
        <v>0</v>
      </c>
      <c r="AC318">
        <v>0</v>
      </c>
      <c r="AD318">
        <v>0</v>
      </c>
      <c r="AE318">
        <v>5752.41</v>
      </c>
      <c r="AF318">
        <v>0</v>
      </c>
      <c r="AG318">
        <v>0</v>
      </c>
      <c r="AH318">
        <v>0</v>
      </c>
      <c r="AI318">
        <v>1</v>
      </c>
      <c r="AJ318">
        <v>1</v>
      </c>
      <c r="AK318">
        <v>1</v>
      </c>
      <c r="AL318">
        <v>1</v>
      </c>
      <c r="AN318">
        <v>0</v>
      </c>
      <c r="AO318">
        <v>0</v>
      </c>
      <c r="AP318">
        <v>0</v>
      </c>
      <c r="AQ318">
        <v>0</v>
      </c>
      <c r="AR318">
        <v>0</v>
      </c>
      <c r="AS318" t="s">
        <v>3</v>
      </c>
      <c r="AT318">
        <v>3.3333330000000001</v>
      </c>
      <c r="AU318" t="s">
        <v>3</v>
      </c>
      <c r="AV318">
        <v>0</v>
      </c>
      <c r="AW318">
        <v>1</v>
      </c>
      <c r="AX318">
        <v>-1</v>
      </c>
      <c r="AY318">
        <v>0</v>
      </c>
      <c r="AZ318">
        <v>0</v>
      </c>
      <c r="BA318" t="s">
        <v>3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CX318">
        <f>Y318*Source!I337</f>
        <v>3.9999995999999999E-3</v>
      </c>
      <c r="CY318">
        <f t="shared" si="15"/>
        <v>5752.41</v>
      </c>
      <c r="CZ318">
        <f t="shared" si="16"/>
        <v>5752.41</v>
      </c>
      <c r="DA318">
        <f t="shared" si="17"/>
        <v>1</v>
      </c>
      <c r="DB318">
        <v>0</v>
      </c>
    </row>
    <row r="319" spans="1:106" x14ac:dyDescent="0.2">
      <c r="A319">
        <f>ROW(Source!A337)</f>
        <v>337</v>
      </c>
      <c r="B319">
        <v>45037306</v>
      </c>
      <c r="C319">
        <v>45038107</v>
      </c>
      <c r="D319">
        <v>22724788</v>
      </c>
      <c r="E319">
        <v>1</v>
      </c>
      <c r="F319">
        <v>1</v>
      </c>
      <c r="G319">
        <v>22652947</v>
      </c>
      <c r="H319">
        <v>3</v>
      </c>
      <c r="I319" t="s">
        <v>777</v>
      </c>
      <c r="J319" t="s">
        <v>778</v>
      </c>
      <c r="K319" t="s">
        <v>779</v>
      </c>
      <c r="L319">
        <v>1327</v>
      </c>
      <c r="N319">
        <v>1005</v>
      </c>
      <c r="O319" t="s">
        <v>101</v>
      </c>
      <c r="P319" t="s">
        <v>101</v>
      </c>
      <c r="Q319">
        <v>1</v>
      </c>
      <c r="W319">
        <v>0</v>
      </c>
      <c r="X319">
        <v>-153668504</v>
      </c>
      <c r="Y319">
        <v>3.6</v>
      </c>
      <c r="AA319">
        <v>90.15</v>
      </c>
      <c r="AB319">
        <v>0</v>
      </c>
      <c r="AC319">
        <v>0</v>
      </c>
      <c r="AD319">
        <v>0</v>
      </c>
      <c r="AE319">
        <v>90.15</v>
      </c>
      <c r="AF319">
        <v>0</v>
      </c>
      <c r="AG319">
        <v>0</v>
      </c>
      <c r="AH319">
        <v>0</v>
      </c>
      <c r="AI319">
        <v>1</v>
      </c>
      <c r="AJ319">
        <v>1</v>
      </c>
      <c r="AK319">
        <v>1</v>
      </c>
      <c r="AL319">
        <v>1</v>
      </c>
      <c r="AN319">
        <v>0</v>
      </c>
      <c r="AO319">
        <v>1</v>
      </c>
      <c r="AP319">
        <v>0</v>
      </c>
      <c r="AQ319">
        <v>0</v>
      </c>
      <c r="AR319">
        <v>0</v>
      </c>
      <c r="AS319" t="s">
        <v>3</v>
      </c>
      <c r="AT319">
        <v>3.6</v>
      </c>
      <c r="AU319" t="s">
        <v>3</v>
      </c>
      <c r="AV319">
        <v>0</v>
      </c>
      <c r="AW319">
        <v>2</v>
      </c>
      <c r="AX319">
        <v>45038649</v>
      </c>
      <c r="AY319">
        <v>1</v>
      </c>
      <c r="AZ319">
        <v>0</v>
      </c>
      <c r="BA319">
        <v>311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CX319">
        <f>Y319*Source!I337</f>
        <v>4.3200000000000001E-3</v>
      </c>
      <c r="CY319">
        <f t="shared" si="15"/>
        <v>90.15</v>
      </c>
      <c r="CZ319">
        <f t="shared" si="16"/>
        <v>90.15</v>
      </c>
      <c r="DA319">
        <f t="shared" si="17"/>
        <v>1</v>
      </c>
      <c r="DB319">
        <v>0</v>
      </c>
    </row>
    <row r="320" spans="1:106" x14ac:dyDescent="0.2">
      <c r="A320">
        <f>ROW(Source!A338)</f>
        <v>338</v>
      </c>
      <c r="B320">
        <v>45037307</v>
      </c>
      <c r="C320">
        <v>45038107</v>
      </c>
      <c r="D320">
        <v>22652952</v>
      </c>
      <c r="E320">
        <v>22652947</v>
      </c>
      <c r="F320">
        <v>1</v>
      </c>
      <c r="G320">
        <v>22652947</v>
      </c>
      <c r="H320">
        <v>1</v>
      </c>
      <c r="I320" t="s">
        <v>617</v>
      </c>
      <c r="J320" t="s">
        <v>3</v>
      </c>
      <c r="K320" t="s">
        <v>618</v>
      </c>
      <c r="L320">
        <v>1191</v>
      </c>
      <c r="N320">
        <v>1013</v>
      </c>
      <c r="O320" t="s">
        <v>619</v>
      </c>
      <c r="P320" t="s">
        <v>619</v>
      </c>
      <c r="Q320">
        <v>1</v>
      </c>
      <c r="W320">
        <v>0</v>
      </c>
      <c r="X320">
        <v>476480486</v>
      </c>
      <c r="Y320">
        <v>205.85</v>
      </c>
      <c r="AA320">
        <v>0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1</v>
      </c>
      <c r="AJ320">
        <v>1</v>
      </c>
      <c r="AK320">
        <v>1</v>
      </c>
      <c r="AL320">
        <v>1</v>
      </c>
      <c r="AN320">
        <v>0</v>
      </c>
      <c r="AO320">
        <v>1</v>
      </c>
      <c r="AP320">
        <v>1</v>
      </c>
      <c r="AQ320">
        <v>0</v>
      </c>
      <c r="AR320">
        <v>0</v>
      </c>
      <c r="AS320" t="s">
        <v>3</v>
      </c>
      <c r="AT320">
        <v>179</v>
      </c>
      <c r="AU320" t="s">
        <v>37</v>
      </c>
      <c r="AV320">
        <v>1</v>
      </c>
      <c r="AW320">
        <v>2</v>
      </c>
      <c r="AX320">
        <v>45038635</v>
      </c>
      <c r="AY320">
        <v>1</v>
      </c>
      <c r="AZ320">
        <v>0</v>
      </c>
      <c r="BA320">
        <v>313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CX320">
        <f>Y320*Source!I338</f>
        <v>0.24701999999999996</v>
      </c>
      <c r="CY320">
        <f>AD320</f>
        <v>0</v>
      </c>
      <c r="CZ320">
        <f>AH320</f>
        <v>0</v>
      </c>
      <c r="DA320">
        <f>AL320</f>
        <v>1</v>
      </c>
      <c r="DB320">
        <v>0</v>
      </c>
    </row>
    <row r="321" spans="1:106" x14ac:dyDescent="0.2">
      <c r="A321">
        <f>ROW(Source!A338)</f>
        <v>338</v>
      </c>
      <c r="B321">
        <v>45037307</v>
      </c>
      <c r="C321">
        <v>45038107</v>
      </c>
      <c r="D321">
        <v>22725577</v>
      </c>
      <c r="E321">
        <v>1</v>
      </c>
      <c r="F321">
        <v>1</v>
      </c>
      <c r="G321">
        <v>22652947</v>
      </c>
      <c r="H321">
        <v>2</v>
      </c>
      <c r="I321" t="s">
        <v>717</v>
      </c>
      <c r="J321" t="s">
        <v>718</v>
      </c>
      <c r="K321" t="s">
        <v>719</v>
      </c>
      <c r="L321">
        <v>1367</v>
      </c>
      <c r="N321">
        <v>1011</v>
      </c>
      <c r="O321" t="s">
        <v>623</v>
      </c>
      <c r="P321" t="s">
        <v>623</v>
      </c>
      <c r="Q321">
        <v>1</v>
      </c>
      <c r="W321">
        <v>0</v>
      </c>
      <c r="X321">
        <v>-243982840</v>
      </c>
      <c r="Y321">
        <v>150</v>
      </c>
      <c r="AA321">
        <v>0</v>
      </c>
      <c r="AB321">
        <v>35.21</v>
      </c>
      <c r="AC321">
        <v>5.92</v>
      </c>
      <c r="AD321">
        <v>0</v>
      </c>
      <c r="AE321">
        <v>0</v>
      </c>
      <c r="AF321">
        <v>6.22</v>
      </c>
      <c r="AG321">
        <v>0.28999999999999998</v>
      </c>
      <c r="AH321">
        <v>0</v>
      </c>
      <c r="AI321">
        <v>1</v>
      </c>
      <c r="AJ321">
        <v>5.66</v>
      </c>
      <c r="AK321">
        <v>20.399999999999999</v>
      </c>
      <c r="AL321">
        <v>1</v>
      </c>
      <c r="AN321">
        <v>0</v>
      </c>
      <c r="AO321">
        <v>1</v>
      </c>
      <c r="AP321">
        <v>1</v>
      </c>
      <c r="AQ321">
        <v>0</v>
      </c>
      <c r="AR321">
        <v>0</v>
      </c>
      <c r="AS321" t="s">
        <v>3</v>
      </c>
      <c r="AT321">
        <v>120</v>
      </c>
      <c r="AU321" t="s">
        <v>36</v>
      </c>
      <c r="AV321">
        <v>0</v>
      </c>
      <c r="AW321">
        <v>2</v>
      </c>
      <c r="AX321">
        <v>45038636</v>
      </c>
      <c r="AY321">
        <v>1</v>
      </c>
      <c r="AZ321">
        <v>0</v>
      </c>
      <c r="BA321">
        <v>314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CX321">
        <f>Y321*Source!I338</f>
        <v>0.18</v>
      </c>
      <c r="CY321">
        <f t="shared" ref="CY321:CY326" si="18">AB321</f>
        <v>35.21</v>
      </c>
      <c r="CZ321">
        <f t="shared" ref="CZ321:CZ326" si="19">AF321</f>
        <v>6.22</v>
      </c>
      <c r="DA321">
        <f t="shared" ref="DA321:DA326" si="20">AJ321</f>
        <v>5.66</v>
      </c>
      <c r="DB321">
        <v>0</v>
      </c>
    </row>
    <row r="322" spans="1:106" x14ac:dyDescent="0.2">
      <c r="A322">
        <f>ROW(Source!A338)</f>
        <v>338</v>
      </c>
      <c r="B322">
        <v>45037307</v>
      </c>
      <c r="C322">
        <v>45038107</v>
      </c>
      <c r="D322">
        <v>22725860</v>
      </c>
      <c r="E322">
        <v>1</v>
      </c>
      <c r="F322">
        <v>1</v>
      </c>
      <c r="G322">
        <v>22652947</v>
      </c>
      <c r="H322">
        <v>2</v>
      </c>
      <c r="I322" t="s">
        <v>660</v>
      </c>
      <c r="J322" t="s">
        <v>661</v>
      </c>
      <c r="K322" t="s">
        <v>662</v>
      </c>
      <c r="L322">
        <v>1367</v>
      </c>
      <c r="N322">
        <v>1011</v>
      </c>
      <c r="O322" t="s">
        <v>623</v>
      </c>
      <c r="P322" t="s">
        <v>623</v>
      </c>
      <c r="Q322">
        <v>1</v>
      </c>
      <c r="W322">
        <v>0</v>
      </c>
      <c r="X322">
        <v>-628430174</v>
      </c>
      <c r="Y322">
        <v>1.6875</v>
      </c>
      <c r="AA322">
        <v>0</v>
      </c>
      <c r="AB322">
        <v>606.79999999999995</v>
      </c>
      <c r="AC322">
        <v>292.94</v>
      </c>
      <c r="AD322">
        <v>0</v>
      </c>
      <c r="AE322">
        <v>0</v>
      </c>
      <c r="AF322">
        <v>76.81</v>
      </c>
      <c r="AG322">
        <v>14.36</v>
      </c>
      <c r="AH322">
        <v>0</v>
      </c>
      <c r="AI322">
        <v>1</v>
      </c>
      <c r="AJ322">
        <v>7.9</v>
      </c>
      <c r="AK322">
        <v>20.399999999999999</v>
      </c>
      <c r="AL322">
        <v>1</v>
      </c>
      <c r="AN322">
        <v>0</v>
      </c>
      <c r="AO322">
        <v>1</v>
      </c>
      <c r="AP322">
        <v>1</v>
      </c>
      <c r="AQ322">
        <v>0</v>
      </c>
      <c r="AR322">
        <v>0</v>
      </c>
      <c r="AS322" t="s">
        <v>3</v>
      </c>
      <c r="AT322">
        <v>1.35</v>
      </c>
      <c r="AU322" t="s">
        <v>36</v>
      </c>
      <c r="AV322">
        <v>0</v>
      </c>
      <c r="AW322">
        <v>2</v>
      </c>
      <c r="AX322">
        <v>45038637</v>
      </c>
      <c r="AY322">
        <v>1</v>
      </c>
      <c r="AZ322">
        <v>0</v>
      </c>
      <c r="BA322">
        <v>315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CX322">
        <f>Y322*Source!I338</f>
        <v>2.0249999999999999E-3</v>
      </c>
      <c r="CY322">
        <f t="shared" si="18"/>
        <v>606.79999999999995</v>
      </c>
      <c r="CZ322">
        <f t="shared" si="19"/>
        <v>76.81</v>
      </c>
      <c r="DA322">
        <f t="shared" si="20"/>
        <v>7.9</v>
      </c>
      <c r="DB322">
        <v>0</v>
      </c>
    </row>
    <row r="323" spans="1:106" x14ac:dyDescent="0.2">
      <c r="A323">
        <f>ROW(Source!A338)</f>
        <v>338</v>
      </c>
      <c r="B323">
        <v>45037307</v>
      </c>
      <c r="C323">
        <v>45038107</v>
      </c>
      <c r="D323">
        <v>22725913</v>
      </c>
      <c r="E323">
        <v>1</v>
      </c>
      <c r="F323">
        <v>1</v>
      </c>
      <c r="G323">
        <v>22652947</v>
      </c>
      <c r="H323">
        <v>2</v>
      </c>
      <c r="I323" t="s">
        <v>756</v>
      </c>
      <c r="J323" t="s">
        <v>757</v>
      </c>
      <c r="K323" t="s">
        <v>758</v>
      </c>
      <c r="L323">
        <v>1367</v>
      </c>
      <c r="N323">
        <v>1011</v>
      </c>
      <c r="O323" t="s">
        <v>623</v>
      </c>
      <c r="P323" t="s">
        <v>623</v>
      </c>
      <c r="Q323">
        <v>1</v>
      </c>
      <c r="W323">
        <v>0</v>
      </c>
      <c r="X323">
        <v>1189541023</v>
      </c>
      <c r="Y323">
        <v>0.125</v>
      </c>
      <c r="AA323">
        <v>0</v>
      </c>
      <c r="AB323">
        <v>3.37</v>
      </c>
      <c r="AC323">
        <v>0.82</v>
      </c>
      <c r="AD323">
        <v>0</v>
      </c>
      <c r="AE323">
        <v>0</v>
      </c>
      <c r="AF323">
        <v>0.53</v>
      </c>
      <c r="AG323">
        <v>0.04</v>
      </c>
      <c r="AH323">
        <v>0</v>
      </c>
      <c r="AI323">
        <v>1</v>
      </c>
      <c r="AJ323">
        <v>6.36</v>
      </c>
      <c r="AK323">
        <v>20.399999999999999</v>
      </c>
      <c r="AL323">
        <v>1</v>
      </c>
      <c r="AN323">
        <v>0</v>
      </c>
      <c r="AO323">
        <v>1</v>
      </c>
      <c r="AP323">
        <v>1</v>
      </c>
      <c r="AQ323">
        <v>0</v>
      </c>
      <c r="AR323">
        <v>0</v>
      </c>
      <c r="AS323" t="s">
        <v>3</v>
      </c>
      <c r="AT323">
        <v>0.1</v>
      </c>
      <c r="AU323" t="s">
        <v>36</v>
      </c>
      <c r="AV323">
        <v>0</v>
      </c>
      <c r="AW323">
        <v>2</v>
      </c>
      <c r="AX323">
        <v>45038639</v>
      </c>
      <c r="AY323">
        <v>1</v>
      </c>
      <c r="AZ323">
        <v>0</v>
      </c>
      <c r="BA323">
        <v>316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CX323">
        <f>Y323*Source!I338</f>
        <v>1.4999999999999999E-4</v>
      </c>
      <c r="CY323">
        <f t="shared" si="18"/>
        <v>3.37</v>
      </c>
      <c r="CZ323">
        <f t="shared" si="19"/>
        <v>0.53</v>
      </c>
      <c r="DA323">
        <f t="shared" si="20"/>
        <v>6.36</v>
      </c>
      <c r="DB323">
        <v>0</v>
      </c>
    </row>
    <row r="324" spans="1:106" x14ac:dyDescent="0.2">
      <c r="A324">
        <f>ROW(Source!A338)</f>
        <v>338</v>
      </c>
      <c r="B324">
        <v>45037307</v>
      </c>
      <c r="C324">
        <v>45038107</v>
      </c>
      <c r="D324">
        <v>22725104</v>
      </c>
      <c r="E324">
        <v>1</v>
      </c>
      <c r="F324">
        <v>1</v>
      </c>
      <c r="G324">
        <v>22652947</v>
      </c>
      <c r="H324">
        <v>2</v>
      </c>
      <c r="I324" t="s">
        <v>759</v>
      </c>
      <c r="J324" t="s">
        <v>760</v>
      </c>
      <c r="K324" t="s">
        <v>761</v>
      </c>
      <c r="L324">
        <v>1367</v>
      </c>
      <c r="N324">
        <v>1011</v>
      </c>
      <c r="O324" t="s">
        <v>623</v>
      </c>
      <c r="P324" t="s">
        <v>623</v>
      </c>
      <c r="Q324">
        <v>1</v>
      </c>
      <c r="W324">
        <v>0</v>
      </c>
      <c r="X324">
        <v>-94137371</v>
      </c>
      <c r="Y324">
        <v>1.125</v>
      </c>
      <c r="AA324">
        <v>0</v>
      </c>
      <c r="AB324">
        <v>915.93</v>
      </c>
      <c r="AC324">
        <v>612.61</v>
      </c>
      <c r="AD324">
        <v>0</v>
      </c>
      <c r="AE324">
        <v>0</v>
      </c>
      <c r="AF324">
        <v>102.11</v>
      </c>
      <c r="AG324">
        <v>30.03</v>
      </c>
      <c r="AH324">
        <v>0</v>
      </c>
      <c r="AI324">
        <v>1</v>
      </c>
      <c r="AJ324">
        <v>8.9700000000000006</v>
      </c>
      <c r="AK324">
        <v>20.399999999999999</v>
      </c>
      <c r="AL324">
        <v>1</v>
      </c>
      <c r="AN324">
        <v>0</v>
      </c>
      <c r="AO324">
        <v>1</v>
      </c>
      <c r="AP324">
        <v>1</v>
      </c>
      <c r="AQ324">
        <v>0</v>
      </c>
      <c r="AR324">
        <v>0</v>
      </c>
      <c r="AS324" t="s">
        <v>3</v>
      </c>
      <c r="AT324">
        <v>0.9</v>
      </c>
      <c r="AU324" t="s">
        <v>36</v>
      </c>
      <c r="AV324">
        <v>0</v>
      </c>
      <c r="AW324">
        <v>2</v>
      </c>
      <c r="AX324">
        <v>45038638</v>
      </c>
      <c r="AY324">
        <v>1</v>
      </c>
      <c r="AZ324">
        <v>0</v>
      </c>
      <c r="BA324">
        <v>317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CX324">
        <f>Y324*Source!I338</f>
        <v>1.3499999999999999E-3</v>
      </c>
      <c r="CY324">
        <f t="shared" si="18"/>
        <v>915.93</v>
      </c>
      <c r="CZ324">
        <f t="shared" si="19"/>
        <v>102.11</v>
      </c>
      <c r="DA324">
        <f t="shared" si="20"/>
        <v>8.9700000000000006</v>
      </c>
      <c r="DB324">
        <v>0</v>
      </c>
    </row>
    <row r="325" spans="1:106" x14ac:dyDescent="0.2">
      <c r="A325">
        <f>ROW(Source!A338)</f>
        <v>338</v>
      </c>
      <c r="B325">
        <v>45037307</v>
      </c>
      <c r="C325">
        <v>45038107</v>
      </c>
      <c r="D325">
        <v>22725200</v>
      </c>
      <c r="E325">
        <v>1</v>
      </c>
      <c r="F325">
        <v>1</v>
      </c>
      <c r="G325">
        <v>22652947</v>
      </c>
      <c r="H325">
        <v>2</v>
      </c>
      <c r="I325" t="s">
        <v>762</v>
      </c>
      <c r="J325" t="s">
        <v>763</v>
      </c>
      <c r="K325" t="s">
        <v>764</v>
      </c>
      <c r="L325">
        <v>1367</v>
      </c>
      <c r="N325">
        <v>1011</v>
      </c>
      <c r="O325" t="s">
        <v>623</v>
      </c>
      <c r="P325" t="s">
        <v>623</v>
      </c>
      <c r="Q325">
        <v>1</v>
      </c>
      <c r="W325">
        <v>0</v>
      </c>
      <c r="X325">
        <v>482200787</v>
      </c>
      <c r="Y325">
        <v>0.3125</v>
      </c>
      <c r="AA325">
        <v>0</v>
      </c>
      <c r="AB325">
        <v>582.54</v>
      </c>
      <c r="AC325">
        <v>344.76</v>
      </c>
      <c r="AD325">
        <v>0</v>
      </c>
      <c r="AE325">
        <v>0</v>
      </c>
      <c r="AF325">
        <v>73</v>
      </c>
      <c r="AG325">
        <v>16.899999999999999</v>
      </c>
      <c r="AH325">
        <v>0</v>
      </c>
      <c r="AI325">
        <v>1</v>
      </c>
      <c r="AJ325">
        <v>7.98</v>
      </c>
      <c r="AK325">
        <v>20.399999999999999</v>
      </c>
      <c r="AL325">
        <v>1</v>
      </c>
      <c r="AN325">
        <v>0</v>
      </c>
      <c r="AO325">
        <v>1</v>
      </c>
      <c r="AP325">
        <v>1</v>
      </c>
      <c r="AQ325">
        <v>0</v>
      </c>
      <c r="AR325">
        <v>0</v>
      </c>
      <c r="AS325" t="s">
        <v>3</v>
      </c>
      <c r="AT325">
        <v>0.25</v>
      </c>
      <c r="AU325" t="s">
        <v>36</v>
      </c>
      <c r="AV325">
        <v>0</v>
      </c>
      <c r="AW325">
        <v>2</v>
      </c>
      <c r="AX325">
        <v>45038640</v>
      </c>
      <c r="AY325">
        <v>1</v>
      </c>
      <c r="AZ325">
        <v>0</v>
      </c>
      <c r="BA325">
        <v>318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CX325">
        <f>Y325*Source!I338</f>
        <v>3.7499999999999995E-4</v>
      </c>
      <c r="CY325">
        <f t="shared" si="18"/>
        <v>582.54</v>
      </c>
      <c r="CZ325">
        <f t="shared" si="19"/>
        <v>73</v>
      </c>
      <c r="DA325">
        <f t="shared" si="20"/>
        <v>7.98</v>
      </c>
      <c r="DB325">
        <v>0</v>
      </c>
    </row>
    <row r="326" spans="1:106" x14ac:dyDescent="0.2">
      <c r="A326">
        <f>ROW(Source!A338)</f>
        <v>338</v>
      </c>
      <c r="B326">
        <v>45037307</v>
      </c>
      <c r="C326">
        <v>45038107</v>
      </c>
      <c r="D326">
        <v>22725391</v>
      </c>
      <c r="E326">
        <v>1</v>
      </c>
      <c r="F326">
        <v>1</v>
      </c>
      <c r="G326">
        <v>22652947</v>
      </c>
      <c r="H326">
        <v>2</v>
      </c>
      <c r="I326" t="s">
        <v>765</v>
      </c>
      <c r="J326" t="s">
        <v>766</v>
      </c>
      <c r="K326" t="s">
        <v>767</v>
      </c>
      <c r="L326">
        <v>1367</v>
      </c>
      <c r="N326">
        <v>1011</v>
      </c>
      <c r="O326" t="s">
        <v>623</v>
      </c>
      <c r="P326" t="s">
        <v>623</v>
      </c>
      <c r="Q326">
        <v>1</v>
      </c>
      <c r="W326">
        <v>0</v>
      </c>
      <c r="X326">
        <v>1059521099</v>
      </c>
      <c r="Y326">
        <v>11.25</v>
      </c>
      <c r="AA326">
        <v>0</v>
      </c>
      <c r="AB326">
        <v>8.65</v>
      </c>
      <c r="AC326">
        <v>1.84</v>
      </c>
      <c r="AD326">
        <v>0</v>
      </c>
      <c r="AE326">
        <v>0</v>
      </c>
      <c r="AF326">
        <v>2.06</v>
      </c>
      <c r="AG326">
        <v>0.09</v>
      </c>
      <c r="AH326">
        <v>0</v>
      </c>
      <c r="AI326">
        <v>1</v>
      </c>
      <c r="AJ326">
        <v>4.2</v>
      </c>
      <c r="AK326">
        <v>20.399999999999999</v>
      </c>
      <c r="AL326">
        <v>1</v>
      </c>
      <c r="AN326">
        <v>0</v>
      </c>
      <c r="AO326">
        <v>1</v>
      </c>
      <c r="AP326">
        <v>1</v>
      </c>
      <c r="AQ326">
        <v>0</v>
      </c>
      <c r="AR326">
        <v>0</v>
      </c>
      <c r="AS326" t="s">
        <v>3</v>
      </c>
      <c r="AT326">
        <v>9</v>
      </c>
      <c r="AU326" t="s">
        <v>36</v>
      </c>
      <c r="AV326">
        <v>0</v>
      </c>
      <c r="AW326">
        <v>2</v>
      </c>
      <c r="AX326">
        <v>45038641</v>
      </c>
      <c r="AY326">
        <v>1</v>
      </c>
      <c r="AZ326">
        <v>0</v>
      </c>
      <c r="BA326">
        <v>319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CX326">
        <f>Y326*Source!I338</f>
        <v>1.3499999999999998E-2</v>
      </c>
      <c r="CY326">
        <f t="shared" si="18"/>
        <v>8.65</v>
      </c>
      <c r="CZ326">
        <f t="shared" si="19"/>
        <v>2.06</v>
      </c>
      <c r="DA326">
        <f t="shared" si="20"/>
        <v>4.2</v>
      </c>
      <c r="DB326">
        <v>0</v>
      </c>
    </row>
    <row r="327" spans="1:106" x14ac:dyDescent="0.2">
      <c r="A327">
        <f>ROW(Source!A338)</f>
        <v>338</v>
      </c>
      <c r="B327">
        <v>45037307</v>
      </c>
      <c r="C327">
        <v>45038107</v>
      </c>
      <c r="D327">
        <v>22700967</v>
      </c>
      <c r="E327">
        <v>1</v>
      </c>
      <c r="F327">
        <v>1</v>
      </c>
      <c r="G327">
        <v>22652947</v>
      </c>
      <c r="H327">
        <v>3</v>
      </c>
      <c r="I327" t="s">
        <v>273</v>
      </c>
      <c r="J327" t="s">
        <v>275</v>
      </c>
      <c r="K327" t="s">
        <v>274</v>
      </c>
      <c r="L327">
        <v>1339</v>
      </c>
      <c r="N327">
        <v>1007</v>
      </c>
      <c r="O327" t="s">
        <v>80</v>
      </c>
      <c r="P327" t="s">
        <v>80</v>
      </c>
      <c r="Q327">
        <v>1</v>
      </c>
      <c r="W327">
        <v>0</v>
      </c>
      <c r="X327">
        <v>-862991314</v>
      </c>
      <c r="Y327">
        <v>0.73</v>
      </c>
      <c r="AA327">
        <v>29.98</v>
      </c>
      <c r="AB327">
        <v>0</v>
      </c>
      <c r="AC327">
        <v>0</v>
      </c>
      <c r="AD327">
        <v>0</v>
      </c>
      <c r="AE327">
        <v>7.07</v>
      </c>
      <c r="AF327">
        <v>0</v>
      </c>
      <c r="AG327">
        <v>0</v>
      </c>
      <c r="AH327">
        <v>0</v>
      </c>
      <c r="AI327">
        <v>4.24</v>
      </c>
      <c r="AJ327">
        <v>1</v>
      </c>
      <c r="AK327">
        <v>1</v>
      </c>
      <c r="AL327">
        <v>1</v>
      </c>
      <c r="AN327">
        <v>0</v>
      </c>
      <c r="AO327">
        <v>1</v>
      </c>
      <c r="AP327">
        <v>0</v>
      </c>
      <c r="AQ327">
        <v>0</v>
      </c>
      <c r="AR327">
        <v>0</v>
      </c>
      <c r="AS327" t="s">
        <v>3</v>
      </c>
      <c r="AT327">
        <v>0.73</v>
      </c>
      <c r="AU327" t="s">
        <v>3</v>
      </c>
      <c r="AV327">
        <v>0</v>
      </c>
      <c r="AW327">
        <v>2</v>
      </c>
      <c r="AX327">
        <v>45038643</v>
      </c>
      <c r="AY327">
        <v>1</v>
      </c>
      <c r="AZ327">
        <v>0</v>
      </c>
      <c r="BA327">
        <v>321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CX327">
        <f>Y327*Source!I338</f>
        <v>8.7599999999999993E-4</v>
      </c>
      <c r="CY327">
        <f t="shared" ref="CY327:CY336" si="21">AA327</f>
        <v>29.98</v>
      </c>
      <c r="CZ327">
        <f t="shared" ref="CZ327:CZ336" si="22">AE327</f>
        <v>7.07</v>
      </c>
      <c r="DA327">
        <f t="shared" ref="DA327:DA336" si="23">AI327</f>
        <v>4.24</v>
      </c>
      <c r="DB327">
        <v>0</v>
      </c>
    </row>
    <row r="328" spans="1:106" x14ac:dyDescent="0.2">
      <c r="A328">
        <f>ROW(Source!A338)</f>
        <v>338</v>
      </c>
      <c r="B328">
        <v>45037307</v>
      </c>
      <c r="C328">
        <v>45038107</v>
      </c>
      <c r="D328">
        <v>22700980</v>
      </c>
      <c r="E328">
        <v>1</v>
      </c>
      <c r="F328">
        <v>1</v>
      </c>
      <c r="G328">
        <v>22652947</v>
      </c>
      <c r="H328">
        <v>3</v>
      </c>
      <c r="I328" t="s">
        <v>768</v>
      </c>
      <c r="J328" t="s">
        <v>769</v>
      </c>
      <c r="K328" t="s">
        <v>770</v>
      </c>
      <c r="L328">
        <v>1348</v>
      </c>
      <c r="N328">
        <v>1009</v>
      </c>
      <c r="O328" t="s">
        <v>29</v>
      </c>
      <c r="P328" t="s">
        <v>29</v>
      </c>
      <c r="Q328">
        <v>1000</v>
      </c>
      <c r="W328">
        <v>0</v>
      </c>
      <c r="X328">
        <v>563176784</v>
      </c>
      <c r="Y328">
        <v>2E-3</v>
      </c>
      <c r="AA328">
        <v>61040.49</v>
      </c>
      <c r="AB328">
        <v>0</v>
      </c>
      <c r="AC328">
        <v>0</v>
      </c>
      <c r="AD328">
        <v>0</v>
      </c>
      <c r="AE328">
        <v>6521.42</v>
      </c>
      <c r="AF328">
        <v>0</v>
      </c>
      <c r="AG328">
        <v>0</v>
      </c>
      <c r="AH328">
        <v>0</v>
      </c>
      <c r="AI328">
        <v>9.36</v>
      </c>
      <c r="AJ328">
        <v>1</v>
      </c>
      <c r="AK328">
        <v>1</v>
      </c>
      <c r="AL328">
        <v>1</v>
      </c>
      <c r="AN328">
        <v>0</v>
      </c>
      <c r="AO328">
        <v>1</v>
      </c>
      <c r="AP328">
        <v>0</v>
      </c>
      <c r="AQ328">
        <v>0</v>
      </c>
      <c r="AR328">
        <v>0</v>
      </c>
      <c r="AS328" t="s">
        <v>3</v>
      </c>
      <c r="AT328">
        <v>2E-3</v>
      </c>
      <c r="AU328" t="s">
        <v>3</v>
      </c>
      <c r="AV328">
        <v>0</v>
      </c>
      <c r="AW328">
        <v>2</v>
      </c>
      <c r="AX328">
        <v>45038644</v>
      </c>
      <c r="AY328">
        <v>1</v>
      </c>
      <c r="AZ328">
        <v>0</v>
      </c>
      <c r="BA328">
        <v>322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CX328">
        <f>Y328*Source!I338</f>
        <v>2.3999999999999999E-6</v>
      </c>
      <c r="CY328">
        <f t="shared" si="21"/>
        <v>61040.49</v>
      </c>
      <c r="CZ328">
        <f t="shared" si="22"/>
        <v>6521.42</v>
      </c>
      <c r="DA328">
        <f t="shared" si="23"/>
        <v>9.36</v>
      </c>
      <c r="DB328">
        <v>0</v>
      </c>
    </row>
    <row r="329" spans="1:106" x14ac:dyDescent="0.2">
      <c r="A329">
        <f>ROW(Source!A338)</f>
        <v>338</v>
      </c>
      <c r="B329">
        <v>45037307</v>
      </c>
      <c r="C329">
        <v>45038107</v>
      </c>
      <c r="D329">
        <v>22702279</v>
      </c>
      <c r="E329">
        <v>1</v>
      </c>
      <c r="F329">
        <v>1</v>
      </c>
      <c r="G329">
        <v>22652947</v>
      </c>
      <c r="H329">
        <v>3</v>
      </c>
      <c r="I329" t="s">
        <v>666</v>
      </c>
      <c r="J329" t="s">
        <v>667</v>
      </c>
      <c r="K329" t="s">
        <v>668</v>
      </c>
      <c r="L329">
        <v>1348</v>
      </c>
      <c r="N329">
        <v>1009</v>
      </c>
      <c r="O329" t="s">
        <v>29</v>
      </c>
      <c r="P329" t="s">
        <v>29</v>
      </c>
      <c r="Q329">
        <v>1000</v>
      </c>
      <c r="W329">
        <v>0</v>
      </c>
      <c r="X329">
        <v>1310716689</v>
      </c>
      <c r="Y329">
        <v>0.16</v>
      </c>
      <c r="AA329">
        <v>86373.64</v>
      </c>
      <c r="AB329">
        <v>0</v>
      </c>
      <c r="AC329">
        <v>0</v>
      </c>
      <c r="AD329">
        <v>0</v>
      </c>
      <c r="AE329">
        <v>7191.81</v>
      </c>
      <c r="AF329">
        <v>0</v>
      </c>
      <c r="AG329">
        <v>0</v>
      </c>
      <c r="AH329">
        <v>0</v>
      </c>
      <c r="AI329">
        <v>12.01</v>
      </c>
      <c r="AJ329">
        <v>1</v>
      </c>
      <c r="AK329">
        <v>1</v>
      </c>
      <c r="AL329">
        <v>1</v>
      </c>
      <c r="AN329">
        <v>0</v>
      </c>
      <c r="AO329">
        <v>1</v>
      </c>
      <c r="AP329">
        <v>0</v>
      </c>
      <c r="AQ329">
        <v>0</v>
      </c>
      <c r="AR329">
        <v>0</v>
      </c>
      <c r="AS329" t="s">
        <v>3</v>
      </c>
      <c r="AT329">
        <v>0.16</v>
      </c>
      <c r="AU329" t="s">
        <v>3</v>
      </c>
      <c r="AV329">
        <v>0</v>
      </c>
      <c r="AW329">
        <v>2</v>
      </c>
      <c r="AX329">
        <v>45038645</v>
      </c>
      <c r="AY329">
        <v>1</v>
      </c>
      <c r="AZ329">
        <v>0</v>
      </c>
      <c r="BA329">
        <v>323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CX329">
        <f>Y329*Source!I338</f>
        <v>1.9199999999999998E-4</v>
      </c>
      <c r="CY329">
        <f t="shared" si="21"/>
        <v>86373.64</v>
      </c>
      <c r="CZ329">
        <f t="shared" si="22"/>
        <v>7191.81</v>
      </c>
      <c r="DA329">
        <f t="shared" si="23"/>
        <v>12.01</v>
      </c>
      <c r="DB329">
        <v>0</v>
      </c>
    </row>
    <row r="330" spans="1:106" x14ac:dyDescent="0.2">
      <c r="A330">
        <f>ROW(Source!A338)</f>
        <v>338</v>
      </c>
      <c r="B330">
        <v>45037307</v>
      </c>
      <c r="C330">
        <v>45038107</v>
      </c>
      <c r="D330">
        <v>22701071</v>
      </c>
      <c r="E330">
        <v>1</v>
      </c>
      <c r="F330">
        <v>1</v>
      </c>
      <c r="G330">
        <v>22652947</v>
      </c>
      <c r="H330">
        <v>3</v>
      </c>
      <c r="I330" t="s">
        <v>771</v>
      </c>
      <c r="J330" t="s">
        <v>772</v>
      </c>
      <c r="K330" t="s">
        <v>773</v>
      </c>
      <c r="L330">
        <v>1339</v>
      </c>
      <c r="N330">
        <v>1007</v>
      </c>
      <c r="O330" t="s">
        <v>80</v>
      </c>
      <c r="P330" t="s">
        <v>80</v>
      </c>
      <c r="Q330">
        <v>1</v>
      </c>
      <c r="W330">
        <v>0</v>
      </c>
      <c r="X330">
        <v>-1939393675</v>
      </c>
      <c r="Y330">
        <v>0.04</v>
      </c>
      <c r="AA330">
        <v>5156.54</v>
      </c>
      <c r="AB330">
        <v>0</v>
      </c>
      <c r="AC330">
        <v>0</v>
      </c>
      <c r="AD330">
        <v>0</v>
      </c>
      <c r="AE330">
        <v>1828.56</v>
      </c>
      <c r="AF330">
        <v>0</v>
      </c>
      <c r="AG330">
        <v>0</v>
      </c>
      <c r="AH330">
        <v>0</v>
      </c>
      <c r="AI330">
        <v>2.82</v>
      </c>
      <c r="AJ330">
        <v>1</v>
      </c>
      <c r="AK330">
        <v>1</v>
      </c>
      <c r="AL330">
        <v>1</v>
      </c>
      <c r="AN330">
        <v>0</v>
      </c>
      <c r="AO330">
        <v>1</v>
      </c>
      <c r="AP330">
        <v>0</v>
      </c>
      <c r="AQ330">
        <v>0</v>
      </c>
      <c r="AR330">
        <v>0</v>
      </c>
      <c r="AS330" t="s">
        <v>3</v>
      </c>
      <c r="AT330">
        <v>0.04</v>
      </c>
      <c r="AU330" t="s">
        <v>3</v>
      </c>
      <c r="AV330">
        <v>0</v>
      </c>
      <c r="AW330">
        <v>2</v>
      </c>
      <c r="AX330">
        <v>45038646</v>
      </c>
      <c r="AY330">
        <v>1</v>
      </c>
      <c r="AZ330">
        <v>0</v>
      </c>
      <c r="BA330">
        <v>324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CX330">
        <f>Y330*Source!I338</f>
        <v>4.7999999999999994E-5</v>
      </c>
      <c r="CY330">
        <f t="shared" si="21"/>
        <v>5156.54</v>
      </c>
      <c r="CZ330">
        <f t="shared" si="22"/>
        <v>1828.56</v>
      </c>
      <c r="DA330">
        <f t="shared" si="23"/>
        <v>2.82</v>
      </c>
      <c r="DB330">
        <v>0</v>
      </c>
    </row>
    <row r="331" spans="1:106" x14ac:dyDescent="0.2">
      <c r="A331">
        <f>ROW(Source!A338)</f>
        <v>338</v>
      </c>
      <c r="B331">
        <v>45037307</v>
      </c>
      <c r="C331">
        <v>45038107</v>
      </c>
      <c r="D331">
        <v>22701098</v>
      </c>
      <c r="E331">
        <v>1</v>
      </c>
      <c r="F331">
        <v>1</v>
      </c>
      <c r="G331">
        <v>22652947</v>
      </c>
      <c r="H331">
        <v>3</v>
      </c>
      <c r="I331" t="s">
        <v>774</v>
      </c>
      <c r="J331" t="s">
        <v>775</v>
      </c>
      <c r="K331" t="s">
        <v>776</v>
      </c>
      <c r="L331">
        <v>1348</v>
      </c>
      <c r="N331">
        <v>1009</v>
      </c>
      <c r="O331" t="s">
        <v>29</v>
      </c>
      <c r="P331" t="s">
        <v>29</v>
      </c>
      <c r="Q331">
        <v>1000</v>
      </c>
      <c r="W331">
        <v>0</v>
      </c>
      <c r="X331">
        <v>-1753839253</v>
      </c>
      <c r="Y331">
        <v>0.01</v>
      </c>
      <c r="AA331">
        <v>3214.84</v>
      </c>
      <c r="AB331">
        <v>0</v>
      </c>
      <c r="AC331">
        <v>0</v>
      </c>
      <c r="AD331">
        <v>0</v>
      </c>
      <c r="AE331">
        <v>1260.72</v>
      </c>
      <c r="AF331">
        <v>0</v>
      </c>
      <c r="AG331">
        <v>0</v>
      </c>
      <c r="AH331">
        <v>0</v>
      </c>
      <c r="AI331">
        <v>2.5499999999999998</v>
      </c>
      <c r="AJ331">
        <v>1</v>
      </c>
      <c r="AK331">
        <v>1</v>
      </c>
      <c r="AL331">
        <v>1</v>
      </c>
      <c r="AN331">
        <v>0</v>
      </c>
      <c r="AO331">
        <v>1</v>
      </c>
      <c r="AP331">
        <v>0</v>
      </c>
      <c r="AQ331">
        <v>0</v>
      </c>
      <c r="AR331">
        <v>0</v>
      </c>
      <c r="AS331" t="s">
        <v>3</v>
      </c>
      <c r="AT331">
        <v>0.01</v>
      </c>
      <c r="AU331" t="s">
        <v>3</v>
      </c>
      <c r="AV331">
        <v>0</v>
      </c>
      <c r="AW331">
        <v>2</v>
      </c>
      <c r="AX331">
        <v>45038647</v>
      </c>
      <c r="AY331">
        <v>1</v>
      </c>
      <c r="AZ331">
        <v>0</v>
      </c>
      <c r="BA331">
        <v>325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CX331">
        <f>Y331*Source!I338</f>
        <v>1.1999999999999999E-5</v>
      </c>
      <c r="CY331">
        <f t="shared" si="21"/>
        <v>3214.84</v>
      </c>
      <c r="CZ331">
        <f t="shared" si="22"/>
        <v>1260.72</v>
      </c>
      <c r="DA331">
        <f t="shared" si="23"/>
        <v>2.5499999999999998</v>
      </c>
      <c r="DB331">
        <v>0</v>
      </c>
    </row>
    <row r="332" spans="1:106" x14ac:dyDescent="0.2">
      <c r="A332">
        <f>ROW(Source!A338)</f>
        <v>338</v>
      </c>
      <c r="B332">
        <v>45037307</v>
      </c>
      <c r="C332">
        <v>45038107</v>
      </c>
      <c r="D332">
        <v>22701450</v>
      </c>
      <c r="E332">
        <v>1</v>
      </c>
      <c r="F332">
        <v>1</v>
      </c>
      <c r="G332">
        <v>22652947</v>
      </c>
      <c r="H332">
        <v>3</v>
      </c>
      <c r="I332" t="s">
        <v>753</v>
      </c>
      <c r="J332" t="s">
        <v>754</v>
      </c>
      <c r="K332" t="s">
        <v>755</v>
      </c>
      <c r="L332">
        <v>1327</v>
      </c>
      <c r="N332">
        <v>1005</v>
      </c>
      <c r="O332" t="s">
        <v>101</v>
      </c>
      <c r="P332" t="s">
        <v>101</v>
      </c>
      <c r="Q332">
        <v>1</v>
      </c>
      <c r="W332">
        <v>0</v>
      </c>
      <c r="X332">
        <v>-1476054991</v>
      </c>
      <c r="Y332">
        <v>30</v>
      </c>
      <c r="AA332">
        <v>21.28</v>
      </c>
      <c r="AB332">
        <v>0</v>
      </c>
      <c r="AC332">
        <v>0</v>
      </c>
      <c r="AD332">
        <v>0</v>
      </c>
      <c r="AE332">
        <v>7.39</v>
      </c>
      <c r="AF332">
        <v>0</v>
      </c>
      <c r="AG332">
        <v>0</v>
      </c>
      <c r="AH332">
        <v>0</v>
      </c>
      <c r="AI332">
        <v>2.88</v>
      </c>
      <c r="AJ332">
        <v>1</v>
      </c>
      <c r="AK332">
        <v>1</v>
      </c>
      <c r="AL332">
        <v>1</v>
      </c>
      <c r="AN332">
        <v>0</v>
      </c>
      <c r="AO332">
        <v>1</v>
      </c>
      <c r="AP332">
        <v>0</v>
      </c>
      <c r="AQ332">
        <v>0</v>
      </c>
      <c r="AR332">
        <v>0</v>
      </c>
      <c r="AS332" t="s">
        <v>3</v>
      </c>
      <c r="AT332">
        <v>30</v>
      </c>
      <c r="AU332" t="s">
        <v>3</v>
      </c>
      <c r="AV332">
        <v>0</v>
      </c>
      <c r="AW332">
        <v>2</v>
      </c>
      <c r="AX332">
        <v>45038648</v>
      </c>
      <c r="AY332">
        <v>1</v>
      </c>
      <c r="AZ332">
        <v>0</v>
      </c>
      <c r="BA332">
        <v>326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CX332">
        <f>Y332*Source!I338</f>
        <v>3.5999999999999997E-2</v>
      </c>
      <c r="CY332">
        <f t="shared" si="21"/>
        <v>21.28</v>
      </c>
      <c r="CZ332">
        <f t="shared" si="22"/>
        <v>7.39</v>
      </c>
      <c r="DA332">
        <f t="shared" si="23"/>
        <v>2.88</v>
      </c>
      <c r="DB332">
        <v>0</v>
      </c>
    </row>
    <row r="333" spans="1:106" x14ac:dyDescent="0.2">
      <c r="A333">
        <f>ROW(Source!A338)</f>
        <v>338</v>
      </c>
      <c r="B333">
        <v>45037307</v>
      </c>
      <c r="C333">
        <v>45038107</v>
      </c>
      <c r="D333">
        <v>22719344</v>
      </c>
      <c r="E333">
        <v>1</v>
      </c>
      <c r="F333">
        <v>1</v>
      </c>
      <c r="G333">
        <v>22652947</v>
      </c>
      <c r="H333">
        <v>3</v>
      </c>
      <c r="I333" t="s">
        <v>421</v>
      </c>
      <c r="J333" t="s">
        <v>423</v>
      </c>
      <c r="K333" t="s">
        <v>422</v>
      </c>
      <c r="L333">
        <v>1339</v>
      </c>
      <c r="N333">
        <v>1007</v>
      </c>
      <c r="O333" t="s">
        <v>80</v>
      </c>
      <c r="P333" t="s">
        <v>80</v>
      </c>
      <c r="Q333">
        <v>1</v>
      </c>
      <c r="W333">
        <v>0</v>
      </c>
      <c r="X333">
        <v>1796330771</v>
      </c>
      <c r="Y333">
        <v>101.5</v>
      </c>
      <c r="AA333">
        <v>3861.38</v>
      </c>
      <c r="AB333">
        <v>0</v>
      </c>
      <c r="AC333">
        <v>0</v>
      </c>
      <c r="AD333">
        <v>0</v>
      </c>
      <c r="AE333">
        <v>711.12</v>
      </c>
      <c r="AF333">
        <v>0</v>
      </c>
      <c r="AG333">
        <v>0</v>
      </c>
      <c r="AH333">
        <v>0</v>
      </c>
      <c r="AI333">
        <v>5.43</v>
      </c>
      <c r="AJ333">
        <v>1</v>
      </c>
      <c r="AK333">
        <v>1</v>
      </c>
      <c r="AL333">
        <v>1</v>
      </c>
      <c r="AN333">
        <v>0</v>
      </c>
      <c r="AO333">
        <v>0</v>
      </c>
      <c r="AP333">
        <v>0</v>
      </c>
      <c r="AQ333">
        <v>0</v>
      </c>
      <c r="AR333">
        <v>0</v>
      </c>
      <c r="AS333" t="s">
        <v>3</v>
      </c>
      <c r="AT333">
        <v>101.5</v>
      </c>
      <c r="AU333" t="s">
        <v>3</v>
      </c>
      <c r="AV333">
        <v>0</v>
      </c>
      <c r="AW333">
        <v>1</v>
      </c>
      <c r="AX333">
        <v>-1</v>
      </c>
      <c r="AY333">
        <v>0</v>
      </c>
      <c r="AZ333">
        <v>0</v>
      </c>
      <c r="BA333" t="s">
        <v>3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CX333">
        <f>Y333*Source!I338</f>
        <v>0.12179999999999999</v>
      </c>
      <c r="CY333">
        <f t="shared" si="21"/>
        <v>3861.38</v>
      </c>
      <c r="CZ333">
        <f t="shared" si="22"/>
        <v>711.12</v>
      </c>
      <c r="DA333">
        <f t="shared" si="23"/>
        <v>5.43</v>
      </c>
      <c r="DB333">
        <v>0</v>
      </c>
    </row>
    <row r="334" spans="1:106" x14ac:dyDescent="0.2">
      <c r="A334">
        <f>ROW(Source!A338)</f>
        <v>338</v>
      </c>
      <c r="B334">
        <v>45037307</v>
      </c>
      <c r="C334">
        <v>45038107</v>
      </c>
      <c r="D334">
        <v>22719706</v>
      </c>
      <c r="E334">
        <v>1</v>
      </c>
      <c r="F334">
        <v>1</v>
      </c>
      <c r="G334">
        <v>22652947</v>
      </c>
      <c r="H334">
        <v>3</v>
      </c>
      <c r="I334" t="s">
        <v>413</v>
      </c>
      <c r="J334" t="s">
        <v>415</v>
      </c>
      <c r="K334" t="s">
        <v>414</v>
      </c>
      <c r="L334">
        <v>1348</v>
      </c>
      <c r="N334">
        <v>1009</v>
      </c>
      <c r="O334" t="s">
        <v>29</v>
      </c>
      <c r="P334" t="s">
        <v>29</v>
      </c>
      <c r="Q334">
        <v>1000</v>
      </c>
      <c r="W334">
        <v>0</v>
      </c>
      <c r="X334">
        <v>29731103</v>
      </c>
      <c r="Y334">
        <v>1.6666669999999999</v>
      </c>
      <c r="AA334">
        <v>34687.03</v>
      </c>
      <c r="AB334">
        <v>0</v>
      </c>
      <c r="AC334">
        <v>0</v>
      </c>
      <c r="AD334">
        <v>0</v>
      </c>
      <c r="AE334">
        <v>5752.41</v>
      </c>
      <c r="AF334">
        <v>0</v>
      </c>
      <c r="AG334">
        <v>0</v>
      </c>
      <c r="AH334">
        <v>0</v>
      </c>
      <c r="AI334">
        <v>6.03</v>
      </c>
      <c r="AJ334">
        <v>1</v>
      </c>
      <c r="AK334">
        <v>1</v>
      </c>
      <c r="AL334">
        <v>1</v>
      </c>
      <c r="AN334">
        <v>0</v>
      </c>
      <c r="AO334">
        <v>0</v>
      </c>
      <c r="AP334">
        <v>0</v>
      </c>
      <c r="AQ334">
        <v>0</v>
      </c>
      <c r="AR334">
        <v>0</v>
      </c>
      <c r="AS334" t="s">
        <v>3</v>
      </c>
      <c r="AT334">
        <v>1.6666669999999999</v>
      </c>
      <c r="AU334" t="s">
        <v>3</v>
      </c>
      <c r="AV334">
        <v>0</v>
      </c>
      <c r="AW334">
        <v>1</v>
      </c>
      <c r="AX334">
        <v>-1</v>
      </c>
      <c r="AY334">
        <v>0</v>
      </c>
      <c r="AZ334">
        <v>0</v>
      </c>
      <c r="BA334" t="s">
        <v>3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CX334">
        <f>Y334*Source!I338</f>
        <v>2.0000003999999997E-3</v>
      </c>
      <c r="CY334">
        <f t="shared" si="21"/>
        <v>34687.03</v>
      </c>
      <c r="CZ334">
        <f t="shared" si="22"/>
        <v>5752.41</v>
      </c>
      <c r="DA334">
        <f t="shared" si="23"/>
        <v>6.03</v>
      </c>
      <c r="DB334">
        <v>0</v>
      </c>
    </row>
    <row r="335" spans="1:106" x14ac:dyDescent="0.2">
      <c r="A335">
        <f>ROW(Source!A338)</f>
        <v>338</v>
      </c>
      <c r="B335">
        <v>45037307</v>
      </c>
      <c r="C335">
        <v>45038107</v>
      </c>
      <c r="D335">
        <v>22719708</v>
      </c>
      <c r="E335">
        <v>1</v>
      </c>
      <c r="F335">
        <v>1</v>
      </c>
      <c r="G335">
        <v>22652947</v>
      </c>
      <c r="H335">
        <v>3</v>
      </c>
      <c r="I335" t="s">
        <v>417</v>
      </c>
      <c r="J335" t="s">
        <v>419</v>
      </c>
      <c r="K335" t="s">
        <v>418</v>
      </c>
      <c r="L335">
        <v>1348</v>
      </c>
      <c r="N335">
        <v>1009</v>
      </c>
      <c r="O335" t="s">
        <v>29</v>
      </c>
      <c r="P335" t="s">
        <v>29</v>
      </c>
      <c r="Q335">
        <v>1000</v>
      </c>
      <c r="W335">
        <v>0</v>
      </c>
      <c r="X335">
        <v>1786208556</v>
      </c>
      <c r="Y335">
        <v>3.3333330000000001</v>
      </c>
      <c r="AA335">
        <v>34687.03</v>
      </c>
      <c r="AB335">
        <v>0</v>
      </c>
      <c r="AC335">
        <v>0</v>
      </c>
      <c r="AD335">
        <v>0</v>
      </c>
      <c r="AE335">
        <v>5752.41</v>
      </c>
      <c r="AF335">
        <v>0</v>
      </c>
      <c r="AG335">
        <v>0</v>
      </c>
      <c r="AH335">
        <v>0</v>
      </c>
      <c r="AI335">
        <v>6.03</v>
      </c>
      <c r="AJ335">
        <v>1</v>
      </c>
      <c r="AK335">
        <v>1</v>
      </c>
      <c r="AL335">
        <v>1</v>
      </c>
      <c r="AN335">
        <v>0</v>
      </c>
      <c r="AO335">
        <v>0</v>
      </c>
      <c r="AP335">
        <v>0</v>
      </c>
      <c r="AQ335">
        <v>0</v>
      </c>
      <c r="AR335">
        <v>0</v>
      </c>
      <c r="AS335" t="s">
        <v>3</v>
      </c>
      <c r="AT335">
        <v>3.3333330000000001</v>
      </c>
      <c r="AU335" t="s">
        <v>3</v>
      </c>
      <c r="AV335">
        <v>0</v>
      </c>
      <c r="AW335">
        <v>1</v>
      </c>
      <c r="AX335">
        <v>-1</v>
      </c>
      <c r="AY335">
        <v>0</v>
      </c>
      <c r="AZ335">
        <v>0</v>
      </c>
      <c r="BA335" t="s">
        <v>3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CX335">
        <f>Y335*Source!I338</f>
        <v>3.9999995999999999E-3</v>
      </c>
      <c r="CY335">
        <f t="shared" si="21"/>
        <v>34687.03</v>
      </c>
      <c r="CZ335">
        <f t="shared" si="22"/>
        <v>5752.41</v>
      </c>
      <c r="DA335">
        <f t="shared" si="23"/>
        <v>6.03</v>
      </c>
      <c r="DB335">
        <v>0</v>
      </c>
    </row>
    <row r="336" spans="1:106" x14ac:dyDescent="0.2">
      <c r="A336">
        <f>ROW(Source!A338)</f>
        <v>338</v>
      </c>
      <c r="B336">
        <v>45037307</v>
      </c>
      <c r="C336">
        <v>45038107</v>
      </c>
      <c r="D336">
        <v>22724788</v>
      </c>
      <c r="E336">
        <v>1</v>
      </c>
      <c r="F336">
        <v>1</v>
      </c>
      <c r="G336">
        <v>22652947</v>
      </c>
      <c r="H336">
        <v>3</v>
      </c>
      <c r="I336" t="s">
        <v>777</v>
      </c>
      <c r="J336" t="s">
        <v>778</v>
      </c>
      <c r="K336" t="s">
        <v>779</v>
      </c>
      <c r="L336">
        <v>1327</v>
      </c>
      <c r="N336">
        <v>1005</v>
      </c>
      <c r="O336" t="s">
        <v>101</v>
      </c>
      <c r="P336" t="s">
        <v>101</v>
      </c>
      <c r="Q336">
        <v>1</v>
      </c>
      <c r="W336">
        <v>0</v>
      </c>
      <c r="X336">
        <v>-153668504</v>
      </c>
      <c r="Y336">
        <v>3.6</v>
      </c>
      <c r="AA336">
        <v>445.34</v>
      </c>
      <c r="AB336">
        <v>0</v>
      </c>
      <c r="AC336">
        <v>0</v>
      </c>
      <c r="AD336">
        <v>0</v>
      </c>
      <c r="AE336">
        <v>90.15</v>
      </c>
      <c r="AF336">
        <v>0</v>
      </c>
      <c r="AG336">
        <v>0</v>
      </c>
      <c r="AH336">
        <v>0</v>
      </c>
      <c r="AI336">
        <v>4.9400000000000004</v>
      </c>
      <c r="AJ336">
        <v>1</v>
      </c>
      <c r="AK336">
        <v>1</v>
      </c>
      <c r="AL336">
        <v>1</v>
      </c>
      <c r="AN336">
        <v>0</v>
      </c>
      <c r="AO336">
        <v>1</v>
      </c>
      <c r="AP336">
        <v>0</v>
      </c>
      <c r="AQ336">
        <v>0</v>
      </c>
      <c r="AR336">
        <v>0</v>
      </c>
      <c r="AS336" t="s">
        <v>3</v>
      </c>
      <c r="AT336">
        <v>3.6</v>
      </c>
      <c r="AU336" t="s">
        <v>3</v>
      </c>
      <c r="AV336">
        <v>0</v>
      </c>
      <c r="AW336">
        <v>2</v>
      </c>
      <c r="AX336">
        <v>45038649</v>
      </c>
      <c r="AY336">
        <v>1</v>
      </c>
      <c r="AZ336">
        <v>0</v>
      </c>
      <c r="BA336">
        <v>327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CX336">
        <f>Y336*Source!I338</f>
        <v>4.3200000000000001E-3</v>
      </c>
      <c r="CY336">
        <f t="shared" si="21"/>
        <v>445.34</v>
      </c>
      <c r="CZ336">
        <f t="shared" si="22"/>
        <v>90.15</v>
      </c>
      <c r="DA336">
        <f t="shared" si="23"/>
        <v>4.9400000000000004</v>
      </c>
      <c r="DB336">
        <v>0</v>
      </c>
    </row>
    <row r="337" spans="1:106" x14ac:dyDescent="0.2">
      <c r="A337">
        <f>ROW(Source!A345)</f>
        <v>345</v>
      </c>
      <c r="B337">
        <v>45037306</v>
      </c>
      <c r="C337">
        <v>45038144</v>
      </c>
      <c r="D337">
        <v>22652952</v>
      </c>
      <c r="E337">
        <v>22652947</v>
      </c>
      <c r="F337">
        <v>1</v>
      </c>
      <c r="G337">
        <v>22652947</v>
      </c>
      <c r="H337">
        <v>1</v>
      </c>
      <c r="I337" t="s">
        <v>617</v>
      </c>
      <c r="J337" t="s">
        <v>3</v>
      </c>
      <c r="K337" t="s">
        <v>618</v>
      </c>
      <c r="L337">
        <v>1191</v>
      </c>
      <c r="N337">
        <v>1013</v>
      </c>
      <c r="O337" t="s">
        <v>619</v>
      </c>
      <c r="P337" t="s">
        <v>619</v>
      </c>
      <c r="Q337">
        <v>1</v>
      </c>
      <c r="W337">
        <v>0</v>
      </c>
      <c r="X337">
        <v>476480486</v>
      </c>
      <c r="Y337">
        <v>41.284999999999997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1</v>
      </c>
      <c r="AJ337">
        <v>1</v>
      </c>
      <c r="AK337">
        <v>1</v>
      </c>
      <c r="AL337">
        <v>1</v>
      </c>
      <c r="AN337">
        <v>0</v>
      </c>
      <c r="AO337">
        <v>1</v>
      </c>
      <c r="AP337">
        <v>1</v>
      </c>
      <c r="AQ337">
        <v>0</v>
      </c>
      <c r="AR337">
        <v>0</v>
      </c>
      <c r="AS337" t="s">
        <v>3</v>
      </c>
      <c r="AT337">
        <v>35.9</v>
      </c>
      <c r="AU337" t="s">
        <v>37</v>
      </c>
      <c r="AV337">
        <v>1</v>
      </c>
      <c r="AW337">
        <v>2</v>
      </c>
      <c r="AX337">
        <v>45038651</v>
      </c>
      <c r="AY337">
        <v>1</v>
      </c>
      <c r="AZ337">
        <v>0</v>
      </c>
      <c r="BA337">
        <v>329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CX337">
        <f>Y337*Source!I345</f>
        <v>11.14695</v>
      </c>
      <c r="CY337">
        <f>AD337</f>
        <v>0</v>
      </c>
      <c r="CZ337">
        <f>AH337</f>
        <v>0</v>
      </c>
      <c r="DA337">
        <f>AL337</f>
        <v>1</v>
      </c>
      <c r="DB337">
        <v>0</v>
      </c>
    </row>
    <row r="338" spans="1:106" x14ac:dyDescent="0.2">
      <c r="A338">
        <f>ROW(Source!A345)</f>
        <v>345</v>
      </c>
      <c r="B338">
        <v>45037306</v>
      </c>
      <c r="C338">
        <v>45038144</v>
      </c>
      <c r="D338">
        <v>22725583</v>
      </c>
      <c r="E338">
        <v>1</v>
      </c>
      <c r="F338">
        <v>1</v>
      </c>
      <c r="G338">
        <v>22652947</v>
      </c>
      <c r="H338">
        <v>2</v>
      </c>
      <c r="I338" t="s">
        <v>669</v>
      </c>
      <c r="J338" t="s">
        <v>670</v>
      </c>
      <c r="K338" t="s">
        <v>671</v>
      </c>
      <c r="L338">
        <v>1367</v>
      </c>
      <c r="N338">
        <v>1011</v>
      </c>
      <c r="O338" t="s">
        <v>623</v>
      </c>
      <c r="P338" t="s">
        <v>623</v>
      </c>
      <c r="Q338">
        <v>1</v>
      </c>
      <c r="W338">
        <v>0</v>
      </c>
      <c r="X338">
        <v>-1260721122</v>
      </c>
      <c r="Y338">
        <v>0.42500000000000004</v>
      </c>
      <c r="AA338">
        <v>0</v>
      </c>
      <c r="AB338">
        <v>6.39</v>
      </c>
      <c r="AC338">
        <v>0.32</v>
      </c>
      <c r="AD338">
        <v>0</v>
      </c>
      <c r="AE338">
        <v>0</v>
      </c>
      <c r="AF338">
        <v>6.39</v>
      </c>
      <c r="AG338">
        <v>0.32</v>
      </c>
      <c r="AH338">
        <v>0</v>
      </c>
      <c r="AI338">
        <v>1</v>
      </c>
      <c r="AJ338">
        <v>1</v>
      </c>
      <c r="AK338">
        <v>1</v>
      </c>
      <c r="AL338">
        <v>1</v>
      </c>
      <c r="AN338">
        <v>0</v>
      </c>
      <c r="AO338">
        <v>1</v>
      </c>
      <c r="AP338">
        <v>1</v>
      </c>
      <c r="AQ338">
        <v>0</v>
      </c>
      <c r="AR338">
        <v>0</v>
      </c>
      <c r="AS338" t="s">
        <v>3</v>
      </c>
      <c r="AT338">
        <v>0.34</v>
      </c>
      <c r="AU338" t="s">
        <v>36</v>
      </c>
      <c r="AV338">
        <v>0</v>
      </c>
      <c r="AW338">
        <v>2</v>
      </c>
      <c r="AX338">
        <v>45038652</v>
      </c>
      <c r="AY338">
        <v>1</v>
      </c>
      <c r="AZ338">
        <v>0</v>
      </c>
      <c r="BA338">
        <v>330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CX338">
        <f>Y338*Source!I345</f>
        <v>0.11475000000000002</v>
      </c>
      <c r="CY338">
        <f>AB338</f>
        <v>6.39</v>
      </c>
      <c r="CZ338">
        <f>AF338</f>
        <v>6.39</v>
      </c>
      <c r="DA338">
        <f>AJ338</f>
        <v>1</v>
      </c>
      <c r="DB338">
        <v>0</v>
      </c>
    </row>
    <row r="339" spans="1:106" x14ac:dyDescent="0.2">
      <c r="A339">
        <f>ROW(Source!A345)</f>
        <v>345</v>
      </c>
      <c r="B339">
        <v>45037306</v>
      </c>
      <c r="C339">
        <v>45038144</v>
      </c>
      <c r="D339">
        <v>22725932</v>
      </c>
      <c r="E339">
        <v>1</v>
      </c>
      <c r="F339">
        <v>1</v>
      </c>
      <c r="G339">
        <v>22652947</v>
      </c>
      <c r="H339">
        <v>2</v>
      </c>
      <c r="I339" t="s">
        <v>672</v>
      </c>
      <c r="J339" t="s">
        <v>673</v>
      </c>
      <c r="K339" t="s">
        <v>674</v>
      </c>
      <c r="L339">
        <v>1367</v>
      </c>
      <c r="N339">
        <v>1011</v>
      </c>
      <c r="O339" t="s">
        <v>623</v>
      </c>
      <c r="P339" t="s">
        <v>623</v>
      </c>
      <c r="Q339">
        <v>1</v>
      </c>
      <c r="W339">
        <v>0</v>
      </c>
      <c r="X339">
        <v>-840546339</v>
      </c>
      <c r="Y339">
        <v>7.7</v>
      </c>
      <c r="AA339">
        <v>0</v>
      </c>
      <c r="AB339">
        <v>2.58</v>
      </c>
      <c r="AC339">
        <v>0.04</v>
      </c>
      <c r="AD339">
        <v>0</v>
      </c>
      <c r="AE339">
        <v>0</v>
      </c>
      <c r="AF339">
        <v>2.58</v>
      </c>
      <c r="AG339">
        <v>0.04</v>
      </c>
      <c r="AH339">
        <v>0</v>
      </c>
      <c r="AI339">
        <v>1</v>
      </c>
      <c r="AJ339">
        <v>1</v>
      </c>
      <c r="AK339">
        <v>1</v>
      </c>
      <c r="AL339">
        <v>1</v>
      </c>
      <c r="AN339">
        <v>0</v>
      </c>
      <c r="AO339">
        <v>1</v>
      </c>
      <c r="AP339">
        <v>1</v>
      </c>
      <c r="AQ339">
        <v>0</v>
      </c>
      <c r="AR339">
        <v>0</v>
      </c>
      <c r="AS339" t="s">
        <v>3</v>
      </c>
      <c r="AT339">
        <v>6.16</v>
      </c>
      <c r="AU339" t="s">
        <v>36</v>
      </c>
      <c r="AV339">
        <v>0</v>
      </c>
      <c r="AW339">
        <v>2</v>
      </c>
      <c r="AX339">
        <v>45038654</v>
      </c>
      <c r="AY339">
        <v>1</v>
      </c>
      <c r="AZ339">
        <v>0</v>
      </c>
      <c r="BA339">
        <v>331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CX339">
        <f>Y339*Source!I345</f>
        <v>2.0790000000000002</v>
      </c>
      <c r="CY339">
        <f>AB339</f>
        <v>2.58</v>
      </c>
      <c r="CZ339">
        <f>AF339</f>
        <v>2.58</v>
      </c>
      <c r="DA339">
        <f>AJ339</f>
        <v>1</v>
      </c>
      <c r="DB339">
        <v>0</v>
      </c>
    </row>
    <row r="340" spans="1:106" x14ac:dyDescent="0.2">
      <c r="A340">
        <f>ROW(Source!A345)</f>
        <v>345</v>
      </c>
      <c r="B340">
        <v>45037306</v>
      </c>
      <c r="C340">
        <v>45038144</v>
      </c>
      <c r="D340">
        <v>22725104</v>
      </c>
      <c r="E340">
        <v>1</v>
      </c>
      <c r="F340">
        <v>1</v>
      </c>
      <c r="G340">
        <v>22652947</v>
      </c>
      <c r="H340">
        <v>2</v>
      </c>
      <c r="I340" t="s">
        <v>759</v>
      </c>
      <c r="J340" t="s">
        <v>760</v>
      </c>
      <c r="K340" t="s">
        <v>761</v>
      </c>
      <c r="L340">
        <v>1367</v>
      </c>
      <c r="N340">
        <v>1011</v>
      </c>
      <c r="O340" t="s">
        <v>623</v>
      </c>
      <c r="P340" t="s">
        <v>623</v>
      </c>
      <c r="Q340">
        <v>1</v>
      </c>
      <c r="W340">
        <v>0</v>
      </c>
      <c r="X340">
        <v>-94137371</v>
      </c>
      <c r="Y340">
        <v>5.1624999999999996</v>
      </c>
      <c r="AA340">
        <v>0</v>
      </c>
      <c r="AB340">
        <v>102.11</v>
      </c>
      <c r="AC340">
        <v>30.03</v>
      </c>
      <c r="AD340">
        <v>0</v>
      </c>
      <c r="AE340">
        <v>0</v>
      </c>
      <c r="AF340">
        <v>102.11</v>
      </c>
      <c r="AG340">
        <v>30.03</v>
      </c>
      <c r="AH340">
        <v>0</v>
      </c>
      <c r="AI340">
        <v>1</v>
      </c>
      <c r="AJ340">
        <v>1</v>
      </c>
      <c r="AK340">
        <v>1</v>
      </c>
      <c r="AL340">
        <v>1</v>
      </c>
      <c r="AN340">
        <v>0</v>
      </c>
      <c r="AO340">
        <v>1</v>
      </c>
      <c r="AP340">
        <v>1</v>
      </c>
      <c r="AQ340">
        <v>0</v>
      </c>
      <c r="AR340">
        <v>0</v>
      </c>
      <c r="AS340" t="s">
        <v>3</v>
      </c>
      <c r="AT340">
        <v>4.13</v>
      </c>
      <c r="AU340" t="s">
        <v>36</v>
      </c>
      <c r="AV340">
        <v>0</v>
      </c>
      <c r="AW340">
        <v>2</v>
      </c>
      <c r="AX340">
        <v>45038653</v>
      </c>
      <c r="AY340">
        <v>1</v>
      </c>
      <c r="AZ340">
        <v>0</v>
      </c>
      <c r="BA340">
        <v>332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CX340">
        <f>Y340*Source!I345</f>
        <v>1.393875</v>
      </c>
      <c r="CY340">
        <f>AB340</f>
        <v>102.11</v>
      </c>
      <c r="CZ340">
        <f>AF340</f>
        <v>102.11</v>
      </c>
      <c r="DA340">
        <f>AJ340</f>
        <v>1</v>
      </c>
      <c r="DB340">
        <v>0</v>
      </c>
    </row>
    <row r="341" spans="1:106" x14ac:dyDescent="0.2">
      <c r="A341">
        <f>ROW(Source!A345)</f>
        <v>345</v>
      </c>
      <c r="B341">
        <v>45037306</v>
      </c>
      <c r="C341">
        <v>45038144</v>
      </c>
      <c r="D341">
        <v>22725226</v>
      </c>
      <c r="E341">
        <v>1</v>
      </c>
      <c r="F341">
        <v>1</v>
      </c>
      <c r="G341">
        <v>22652947</v>
      </c>
      <c r="H341">
        <v>2</v>
      </c>
      <c r="I341" t="s">
        <v>780</v>
      </c>
      <c r="J341" t="s">
        <v>781</v>
      </c>
      <c r="K341" t="s">
        <v>782</v>
      </c>
      <c r="L341">
        <v>1367</v>
      </c>
      <c r="N341">
        <v>1011</v>
      </c>
      <c r="O341" t="s">
        <v>623</v>
      </c>
      <c r="P341" t="s">
        <v>623</v>
      </c>
      <c r="Q341">
        <v>1</v>
      </c>
      <c r="W341">
        <v>0</v>
      </c>
      <c r="X341">
        <v>-1295289413</v>
      </c>
      <c r="Y341">
        <v>3.9624999999999999</v>
      </c>
      <c r="AA341">
        <v>0</v>
      </c>
      <c r="AB341">
        <v>0.8</v>
      </c>
      <c r="AC341">
        <v>0.09</v>
      </c>
      <c r="AD341">
        <v>0</v>
      </c>
      <c r="AE341">
        <v>0</v>
      </c>
      <c r="AF341">
        <v>0.8</v>
      </c>
      <c r="AG341">
        <v>0.09</v>
      </c>
      <c r="AH341">
        <v>0</v>
      </c>
      <c r="AI341">
        <v>1</v>
      </c>
      <c r="AJ341">
        <v>1</v>
      </c>
      <c r="AK341">
        <v>1</v>
      </c>
      <c r="AL341">
        <v>1</v>
      </c>
      <c r="AN341">
        <v>0</v>
      </c>
      <c r="AO341">
        <v>1</v>
      </c>
      <c r="AP341">
        <v>1</v>
      </c>
      <c r="AQ341">
        <v>0</v>
      </c>
      <c r="AR341">
        <v>0</v>
      </c>
      <c r="AS341" t="s">
        <v>3</v>
      </c>
      <c r="AT341">
        <v>3.17</v>
      </c>
      <c r="AU341" t="s">
        <v>36</v>
      </c>
      <c r="AV341">
        <v>0</v>
      </c>
      <c r="AW341">
        <v>2</v>
      </c>
      <c r="AX341">
        <v>45038655</v>
      </c>
      <c r="AY341">
        <v>1</v>
      </c>
      <c r="AZ341">
        <v>0</v>
      </c>
      <c r="BA341">
        <v>333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CX341">
        <f>Y341*Source!I345</f>
        <v>1.0698750000000001</v>
      </c>
      <c r="CY341">
        <f>AB341</f>
        <v>0.8</v>
      </c>
      <c r="CZ341">
        <f>AF341</f>
        <v>0.8</v>
      </c>
      <c r="DA341">
        <f>AJ341</f>
        <v>1</v>
      </c>
      <c r="DB341">
        <v>0</v>
      </c>
    </row>
    <row r="342" spans="1:106" x14ac:dyDescent="0.2">
      <c r="A342">
        <f>ROW(Source!A345)</f>
        <v>345</v>
      </c>
      <c r="B342">
        <v>45037306</v>
      </c>
      <c r="C342">
        <v>45038144</v>
      </c>
      <c r="D342">
        <v>22653672</v>
      </c>
      <c r="E342">
        <v>22652947</v>
      </c>
      <c r="F342">
        <v>1</v>
      </c>
      <c r="G342">
        <v>22652947</v>
      </c>
      <c r="H342">
        <v>2</v>
      </c>
      <c r="I342" t="s">
        <v>630</v>
      </c>
      <c r="J342" t="s">
        <v>3</v>
      </c>
      <c r="K342" t="s">
        <v>631</v>
      </c>
      <c r="L342">
        <v>1344</v>
      </c>
      <c r="N342">
        <v>1008</v>
      </c>
      <c r="O342" t="s">
        <v>632</v>
      </c>
      <c r="P342" t="s">
        <v>632</v>
      </c>
      <c r="Q342">
        <v>1</v>
      </c>
      <c r="W342">
        <v>0</v>
      </c>
      <c r="X342">
        <v>-1180195794</v>
      </c>
      <c r="Y342">
        <v>46.8125</v>
      </c>
      <c r="AA342">
        <v>0</v>
      </c>
      <c r="AB342">
        <v>1</v>
      </c>
      <c r="AC342">
        <v>0</v>
      </c>
      <c r="AD342">
        <v>0</v>
      </c>
      <c r="AE342">
        <v>0</v>
      </c>
      <c r="AF342">
        <v>1</v>
      </c>
      <c r="AG342">
        <v>0</v>
      </c>
      <c r="AH342">
        <v>0</v>
      </c>
      <c r="AI342">
        <v>1</v>
      </c>
      <c r="AJ342">
        <v>1</v>
      </c>
      <c r="AK342">
        <v>1</v>
      </c>
      <c r="AL342">
        <v>1</v>
      </c>
      <c r="AN342">
        <v>0</v>
      </c>
      <c r="AO342">
        <v>1</v>
      </c>
      <c r="AP342">
        <v>1</v>
      </c>
      <c r="AQ342">
        <v>0</v>
      </c>
      <c r="AR342">
        <v>0</v>
      </c>
      <c r="AS342" t="s">
        <v>3</v>
      </c>
      <c r="AT342">
        <v>37.450000000000003</v>
      </c>
      <c r="AU342" t="s">
        <v>36</v>
      </c>
      <c r="AV342">
        <v>0</v>
      </c>
      <c r="AW342">
        <v>2</v>
      </c>
      <c r="AX342">
        <v>45038656</v>
      </c>
      <c r="AY342">
        <v>1</v>
      </c>
      <c r="AZ342">
        <v>0</v>
      </c>
      <c r="BA342">
        <v>334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CX342">
        <f>Y342*Source!I345</f>
        <v>12.639375000000001</v>
      </c>
      <c r="CY342">
        <f>AB342</f>
        <v>1</v>
      </c>
      <c r="CZ342">
        <f>AF342</f>
        <v>1</v>
      </c>
      <c r="DA342">
        <f>AJ342</f>
        <v>1</v>
      </c>
      <c r="DB342">
        <v>0</v>
      </c>
    </row>
    <row r="343" spans="1:106" x14ac:dyDescent="0.2">
      <c r="A343">
        <f>ROW(Source!A345)</f>
        <v>345</v>
      </c>
      <c r="B343">
        <v>45037306</v>
      </c>
      <c r="C343">
        <v>45038144</v>
      </c>
      <c r="D343">
        <v>22701835</v>
      </c>
      <c r="E343">
        <v>1</v>
      </c>
      <c r="F343">
        <v>1</v>
      </c>
      <c r="G343">
        <v>22652947</v>
      </c>
      <c r="H343">
        <v>3</v>
      </c>
      <c r="I343" t="s">
        <v>441</v>
      </c>
      <c r="J343" t="s">
        <v>443</v>
      </c>
      <c r="K343" t="s">
        <v>442</v>
      </c>
      <c r="L343">
        <v>1348</v>
      </c>
      <c r="N343">
        <v>1009</v>
      </c>
      <c r="O343" t="s">
        <v>29</v>
      </c>
      <c r="P343" t="s">
        <v>29</v>
      </c>
      <c r="Q343">
        <v>1000</v>
      </c>
      <c r="W343">
        <v>0</v>
      </c>
      <c r="X343">
        <v>-1406854911</v>
      </c>
      <c r="Y343">
        <v>7.4074000000000001E-2</v>
      </c>
      <c r="AA343">
        <v>7075.07</v>
      </c>
      <c r="AB343">
        <v>0</v>
      </c>
      <c r="AC343">
        <v>0</v>
      </c>
      <c r="AD343">
        <v>0</v>
      </c>
      <c r="AE343">
        <v>7075.07</v>
      </c>
      <c r="AF343">
        <v>0</v>
      </c>
      <c r="AG343">
        <v>0</v>
      </c>
      <c r="AH343">
        <v>0</v>
      </c>
      <c r="AI343">
        <v>1</v>
      </c>
      <c r="AJ343">
        <v>1</v>
      </c>
      <c r="AK343">
        <v>1</v>
      </c>
      <c r="AL343">
        <v>1</v>
      </c>
      <c r="AN343">
        <v>0</v>
      </c>
      <c r="AO343">
        <v>0</v>
      </c>
      <c r="AP343">
        <v>0</v>
      </c>
      <c r="AQ343">
        <v>0</v>
      </c>
      <c r="AR343">
        <v>0</v>
      </c>
      <c r="AS343" t="s">
        <v>3</v>
      </c>
      <c r="AT343">
        <v>7.4074000000000001E-2</v>
      </c>
      <c r="AU343" t="s">
        <v>3</v>
      </c>
      <c r="AV343">
        <v>0</v>
      </c>
      <c r="AW343">
        <v>1</v>
      </c>
      <c r="AX343">
        <v>-1</v>
      </c>
      <c r="AY343">
        <v>0</v>
      </c>
      <c r="AZ343">
        <v>0</v>
      </c>
      <c r="BA343" t="s">
        <v>3</v>
      </c>
      <c r="BB343">
        <v>0</v>
      </c>
      <c r="BC343">
        <v>0</v>
      </c>
      <c r="BD343">
        <v>0</v>
      </c>
      <c r="BE343">
        <v>0</v>
      </c>
      <c r="BF343">
        <v>0</v>
      </c>
      <c r="BG343">
        <v>0</v>
      </c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BP343">
        <v>0</v>
      </c>
      <c r="BQ343">
        <v>0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CX343">
        <f>Y343*Source!I345</f>
        <v>1.9999980000000001E-2</v>
      </c>
      <c r="CY343">
        <f t="shared" ref="CY343:CY350" si="24">AA343</f>
        <v>7075.07</v>
      </c>
      <c r="CZ343">
        <f t="shared" ref="CZ343:CZ350" si="25">AE343</f>
        <v>7075.07</v>
      </c>
      <c r="DA343">
        <f t="shared" ref="DA343:DA350" si="26">AI343</f>
        <v>1</v>
      </c>
      <c r="DB343">
        <v>0</v>
      </c>
    </row>
    <row r="344" spans="1:106" x14ac:dyDescent="0.2">
      <c r="A344">
        <f>ROW(Source!A345)</f>
        <v>345</v>
      </c>
      <c r="B344">
        <v>45037306</v>
      </c>
      <c r="C344">
        <v>45038144</v>
      </c>
      <c r="D344">
        <v>22701843</v>
      </c>
      <c r="E344">
        <v>1</v>
      </c>
      <c r="F344">
        <v>1</v>
      </c>
      <c r="G344">
        <v>22652947</v>
      </c>
      <c r="H344">
        <v>3</v>
      </c>
      <c r="I344" t="s">
        <v>437</v>
      </c>
      <c r="J344" t="s">
        <v>439</v>
      </c>
      <c r="K344" t="s">
        <v>438</v>
      </c>
      <c r="L344">
        <v>1348</v>
      </c>
      <c r="N344">
        <v>1009</v>
      </c>
      <c r="O344" t="s">
        <v>29</v>
      </c>
      <c r="P344" t="s">
        <v>29</v>
      </c>
      <c r="Q344">
        <v>1000</v>
      </c>
      <c r="W344">
        <v>0</v>
      </c>
      <c r="X344">
        <v>-776206429</v>
      </c>
      <c r="Y344">
        <v>0.296296</v>
      </c>
      <c r="AA344">
        <v>8914.6</v>
      </c>
      <c r="AB344">
        <v>0</v>
      </c>
      <c r="AC344">
        <v>0</v>
      </c>
      <c r="AD344">
        <v>0</v>
      </c>
      <c r="AE344">
        <v>8914.6</v>
      </c>
      <c r="AF344">
        <v>0</v>
      </c>
      <c r="AG344">
        <v>0</v>
      </c>
      <c r="AH344">
        <v>0</v>
      </c>
      <c r="AI344">
        <v>1</v>
      </c>
      <c r="AJ344">
        <v>1</v>
      </c>
      <c r="AK344">
        <v>1</v>
      </c>
      <c r="AL344">
        <v>1</v>
      </c>
      <c r="AN344">
        <v>0</v>
      </c>
      <c r="AO344">
        <v>0</v>
      </c>
      <c r="AP344">
        <v>0</v>
      </c>
      <c r="AQ344">
        <v>0</v>
      </c>
      <c r="AR344">
        <v>0</v>
      </c>
      <c r="AS344" t="s">
        <v>3</v>
      </c>
      <c r="AT344">
        <v>0.296296</v>
      </c>
      <c r="AU344" t="s">
        <v>3</v>
      </c>
      <c r="AV344">
        <v>0</v>
      </c>
      <c r="AW344">
        <v>1</v>
      </c>
      <c r="AX344">
        <v>-1</v>
      </c>
      <c r="AY344">
        <v>0</v>
      </c>
      <c r="AZ344">
        <v>0</v>
      </c>
      <c r="BA344" t="s">
        <v>3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CX344">
        <f>Y344*Source!I345</f>
        <v>7.9999920000000002E-2</v>
      </c>
      <c r="CY344">
        <f t="shared" si="24"/>
        <v>8914.6</v>
      </c>
      <c r="CZ344">
        <f t="shared" si="25"/>
        <v>8914.6</v>
      </c>
      <c r="DA344">
        <f t="shared" si="26"/>
        <v>1</v>
      </c>
      <c r="DB344">
        <v>0</v>
      </c>
    </row>
    <row r="345" spans="1:106" x14ac:dyDescent="0.2">
      <c r="A345">
        <f>ROW(Source!A345)</f>
        <v>345</v>
      </c>
      <c r="B345">
        <v>45037306</v>
      </c>
      <c r="C345">
        <v>45038144</v>
      </c>
      <c r="D345">
        <v>22702279</v>
      </c>
      <c r="E345">
        <v>1</v>
      </c>
      <c r="F345">
        <v>1</v>
      </c>
      <c r="G345">
        <v>22652947</v>
      </c>
      <c r="H345">
        <v>3</v>
      </c>
      <c r="I345" t="s">
        <v>666</v>
      </c>
      <c r="J345" t="s">
        <v>667</v>
      </c>
      <c r="K345" t="s">
        <v>668</v>
      </c>
      <c r="L345">
        <v>1348</v>
      </c>
      <c r="N345">
        <v>1009</v>
      </c>
      <c r="O345" t="s">
        <v>29</v>
      </c>
      <c r="P345" t="s">
        <v>29</v>
      </c>
      <c r="Q345">
        <v>1000</v>
      </c>
      <c r="W345">
        <v>0</v>
      </c>
      <c r="X345">
        <v>1310716689</v>
      </c>
      <c r="Y345">
        <v>4.0000000000000001E-3</v>
      </c>
      <c r="AA345">
        <v>7191.81</v>
      </c>
      <c r="AB345">
        <v>0</v>
      </c>
      <c r="AC345">
        <v>0</v>
      </c>
      <c r="AD345">
        <v>0</v>
      </c>
      <c r="AE345">
        <v>7191.81</v>
      </c>
      <c r="AF345">
        <v>0</v>
      </c>
      <c r="AG345">
        <v>0</v>
      </c>
      <c r="AH345">
        <v>0</v>
      </c>
      <c r="AI345">
        <v>1</v>
      </c>
      <c r="AJ345">
        <v>1</v>
      </c>
      <c r="AK345">
        <v>1</v>
      </c>
      <c r="AL345">
        <v>1</v>
      </c>
      <c r="AN345">
        <v>0</v>
      </c>
      <c r="AO345">
        <v>1</v>
      </c>
      <c r="AP345">
        <v>0</v>
      </c>
      <c r="AQ345">
        <v>0</v>
      </c>
      <c r="AR345">
        <v>0</v>
      </c>
      <c r="AS345" t="s">
        <v>3</v>
      </c>
      <c r="AT345">
        <v>4.0000000000000001E-3</v>
      </c>
      <c r="AU345" t="s">
        <v>3</v>
      </c>
      <c r="AV345">
        <v>0</v>
      </c>
      <c r="AW345">
        <v>2</v>
      </c>
      <c r="AX345">
        <v>45038657</v>
      </c>
      <c r="AY345">
        <v>1</v>
      </c>
      <c r="AZ345">
        <v>0</v>
      </c>
      <c r="BA345">
        <v>335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CX345">
        <f>Y345*Source!I345</f>
        <v>1.08E-3</v>
      </c>
      <c r="CY345">
        <f t="shared" si="24"/>
        <v>7191.81</v>
      </c>
      <c r="CZ345">
        <f t="shared" si="25"/>
        <v>7191.81</v>
      </c>
      <c r="DA345">
        <f t="shared" si="26"/>
        <v>1</v>
      </c>
      <c r="DB345">
        <v>0</v>
      </c>
    </row>
    <row r="346" spans="1:106" x14ac:dyDescent="0.2">
      <c r="A346">
        <f>ROW(Source!A345)</f>
        <v>345</v>
      </c>
      <c r="B346">
        <v>45037306</v>
      </c>
      <c r="C346">
        <v>45038144</v>
      </c>
      <c r="D346">
        <v>22702904</v>
      </c>
      <c r="E346">
        <v>1</v>
      </c>
      <c r="F346">
        <v>1</v>
      </c>
      <c r="G346">
        <v>22652947</v>
      </c>
      <c r="H346">
        <v>3</v>
      </c>
      <c r="I346" t="s">
        <v>433</v>
      </c>
      <c r="J346" t="s">
        <v>435</v>
      </c>
      <c r="K346" t="s">
        <v>434</v>
      </c>
      <c r="L346">
        <v>1348</v>
      </c>
      <c r="N346">
        <v>1009</v>
      </c>
      <c r="O346" t="s">
        <v>29</v>
      </c>
      <c r="P346" t="s">
        <v>29</v>
      </c>
      <c r="Q346">
        <v>1000</v>
      </c>
      <c r="W346">
        <v>0</v>
      </c>
      <c r="X346">
        <v>1654847958</v>
      </c>
      <c r="Y346">
        <v>0.33333299999999999</v>
      </c>
      <c r="AA346">
        <v>11355</v>
      </c>
      <c r="AB346">
        <v>0</v>
      </c>
      <c r="AC346">
        <v>0</v>
      </c>
      <c r="AD346">
        <v>0</v>
      </c>
      <c r="AE346">
        <v>11355</v>
      </c>
      <c r="AF346">
        <v>0</v>
      </c>
      <c r="AG346">
        <v>0</v>
      </c>
      <c r="AH346">
        <v>0</v>
      </c>
      <c r="AI346">
        <v>1</v>
      </c>
      <c r="AJ346">
        <v>1</v>
      </c>
      <c r="AK346">
        <v>1</v>
      </c>
      <c r="AL346">
        <v>1</v>
      </c>
      <c r="AN346">
        <v>0</v>
      </c>
      <c r="AO346">
        <v>0</v>
      </c>
      <c r="AP346">
        <v>0</v>
      </c>
      <c r="AQ346">
        <v>0</v>
      </c>
      <c r="AR346">
        <v>0</v>
      </c>
      <c r="AS346" t="s">
        <v>3</v>
      </c>
      <c r="AT346">
        <v>0.33333299999999999</v>
      </c>
      <c r="AU346" t="s">
        <v>3</v>
      </c>
      <c r="AV346">
        <v>0</v>
      </c>
      <c r="AW346">
        <v>1</v>
      </c>
      <c r="AX346">
        <v>-1</v>
      </c>
      <c r="AY346">
        <v>0</v>
      </c>
      <c r="AZ346">
        <v>0</v>
      </c>
      <c r="BA346" t="s">
        <v>3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CX346">
        <f>Y346*Source!I345</f>
        <v>8.9999910000000002E-2</v>
      </c>
      <c r="CY346">
        <f t="shared" si="24"/>
        <v>11355</v>
      </c>
      <c r="CZ346">
        <f t="shared" si="25"/>
        <v>11355</v>
      </c>
      <c r="DA346">
        <f t="shared" si="26"/>
        <v>1</v>
      </c>
      <c r="DB346">
        <v>0</v>
      </c>
    </row>
    <row r="347" spans="1:106" x14ac:dyDescent="0.2">
      <c r="A347">
        <f>ROW(Source!A345)</f>
        <v>345</v>
      </c>
      <c r="B347">
        <v>45037306</v>
      </c>
      <c r="C347">
        <v>45038144</v>
      </c>
      <c r="D347">
        <v>22700916</v>
      </c>
      <c r="E347">
        <v>1</v>
      </c>
      <c r="F347">
        <v>1</v>
      </c>
      <c r="G347">
        <v>22652947</v>
      </c>
      <c r="H347">
        <v>3</v>
      </c>
      <c r="I347" t="s">
        <v>429</v>
      </c>
      <c r="J347" t="s">
        <v>431</v>
      </c>
      <c r="K347" t="s">
        <v>430</v>
      </c>
      <c r="L347">
        <v>1348</v>
      </c>
      <c r="N347">
        <v>1009</v>
      </c>
      <c r="O347" t="s">
        <v>29</v>
      </c>
      <c r="P347" t="s">
        <v>29</v>
      </c>
      <c r="Q347">
        <v>1000</v>
      </c>
      <c r="W347">
        <v>0</v>
      </c>
      <c r="X347">
        <v>1013095188</v>
      </c>
      <c r="Y347">
        <v>8.4228999999999998E-2</v>
      </c>
      <c r="AA347">
        <v>22533.279999999999</v>
      </c>
      <c r="AB347">
        <v>0</v>
      </c>
      <c r="AC347">
        <v>0</v>
      </c>
      <c r="AD347">
        <v>0</v>
      </c>
      <c r="AE347">
        <v>22533.279999999999</v>
      </c>
      <c r="AF347">
        <v>0</v>
      </c>
      <c r="AG347">
        <v>0</v>
      </c>
      <c r="AH347">
        <v>0</v>
      </c>
      <c r="AI347">
        <v>1</v>
      </c>
      <c r="AJ347">
        <v>1</v>
      </c>
      <c r="AK347">
        <v>1</v>
      </c>
      <c r="AL347">
        <v>1</v>
      </c>
      <c r="AN347">
        <v>0</v>
      </c>
      <c r="AO347">
        <v>0</v>
      </c>
      <c r="AP347">
        <v>0</v>
      </c>
      <c r="AQ347">
        <v>0</v>
      </c>
      <c r="AR347">
        <v>0</v>
      </c>
      <c r="AS347" t="s">
        <v>3</v>
      </c>
      <c r="AT347">
        <v>8.4228999999999998E-2</v>
      </c>
      <c r="AU347" t="s">
        <v>3</v>
      </c>
      <c r="AV347">
        <v>0</v>
      </c>
      <c r="AW347">
        <v>1</v>
      </c>
      <c r="AX347">
        <v>-1</v>
      </c>
      <c r="AY347">
        <v>0</v>
      </c>
      <c r="AZ347">
        <v>0</v>
      </c>
      <c r="BA347" t="s">
        <v>3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CX347">
        <f>Y347*Source!I345</f>
        <v>2.2741830000000001E-2</v>
      </c>
      <c r="CY347">
        <f t="shared" si="24"/>
        <v>22533.279999999999</v>
      </c>
      <c r="CZ347">
        <f t="shared" si="25"/>
        <v>22533.279999999999</v>
      </c>
      <c r="DA347">
        <f t="shared" si="26"/>
        <v>1</v>
      </c>
      <c r="DB347">
        <v>0</v>
      </c>
    </row>
    <row r="348" spans="1:106" x14ac:dyDescent="0.2">
      <c r="A348">
        <f>ROW(Source!A345)</f>
        <v>345</v>
      </c>
      <c r="B348">
        <v>45037306</v>
      </c>
      <c r="C348">
        <v>45038144</v>
      </c>
      <c r="D348">
        <v>22722409</v>
      </c>
      <c r="E348">
        <v>1</v>
      </c>
      <c r="F348">
        <v>1</v>
      </c>
      <c r="G348">
        <v>22652947</v>
      </c>
      <c r="H348">
        <v>3</v>
      </c>
      <c r="I348" t="s">
        <v>445</v>
      </c>
      <c r="J348" t="s">
        <v>447</v>
      </c>
      <c r="K348" t="s">
        <v>446</v>
      </c>
      <c r="L348">
        <v>1348</v>
      </c>
      <c r="N348">
        <v>1009</v>
      </c>
      <c r="O348" t="s">
        <v>29</v>
      </c>
      <c r="P348" t="s">
        <v>29</v>
      </c>
      <c r="Q348">
        <v>1000</v>
      </c>
      <c r="W348">
        <v>0</v>
      </c>
      <c r="X348">
        <v>-390362327</v>
      </c>
      <c r="Y348">
        <v>0.296296</v>
      </c>
      <c r="AA348">
        <v>17021.419999999998</v>
      </c>
      <c r="AB348">
        <v>0</v>
      </c>
      <c r="AC348">
        <v>0</v>
      </c>
      <c r="AD348">
        <v>0</v>
      </c>
      <c r="AE348">
        <v>17021.419999999998</v>
      </c>
      <c r="AF348">
        <v>0</v>
      </c>
      <c r="AG348">
        <v>0</v>
      </c>
      <c r="AH348">
        <v>0</v>
      </c>
      <c r="AI348">
        <v>1</v>
      </c>
      <c r="AJ348">
        <v>1</v>
      </c>
      <c r="AK348">
        <v>1</v>
      </c>
      <c r="AL348">
        <v>1</v>
      </c>
      <c r="AN348">
        <v>0</v>
      </c>
      <c r="AO348">
        <v>0</v>
      </c>
      <c r="AP348">
        <v>0</v>
      </c>
      <c r="AQ348">
        <v>0</v>
      </c>
      <c r="AR348">
        <v>0</v>
      </c>
      <c r="AS348" t="s">
        <v>3</v>
      </c>
      <c r="AT348">
        <v>0.296296</v>
      </c>
      <c r="AU348" t="s">
        <v>3</v>
      </c>
      <c r="AV348">
        <v>0</v>
      </c>
      <c r="AW348">
        <v>1</v>
      </c>
      <c r="AX348">
        <v>-1</v>
      </c>
      <c r="AY348">
        <v>0</v>
      </c>
      <c r="AZ348">
        <v>0</v>
      </c>
      <c r="BA348" t="s">
        <v>3</v>
      </c>
      <c r="BB348">
        <v>0</v>
      </c>
      <c r="BC348">
        <v>0</v>
      </c>
      <c r="BD348">
        <v>0</v>
      </c>
      <c r="BE348">
        <v>0</v>
      </c>
      <c r="BF348">
        <v>0</v>
      </c>
      <c r="BG348">
        <v>0</v>
      </c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BP348">
        <v>0</v>
      </c>
      <c r="BQ348">
        <v>0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CX348">
        <f>Y348*Source!I345</f>
        <v>7.9999920000000002E-2</v>
      </c>
      <c r="CY348">
        <f t="shared" si="24"/>
        <v>17021.419999999998</v>
      </c>
      <c r="CZ348">
        <f t="shared" si="25"/>
        <v>17021.419999999998</v>
      </c>
      <c r="DA348">
        <f t="shared" si="26"/>
        <v>1</v>
      </c>
      <c r="DB348">
        <v>0</v>
      </c>
    </row>
    <row r="349" spans="1:106" x14ac:dyDescent="0.2">
      <c r="A349">
        <f>ROW(Source!A345)</f>
        <v>345</v>
      </c>
      <c r="B349">
        <v>45037306</v>
      </c>
      <c r="C349">
        <v>45038144</v>
      </c>
      <c r="D349">
        <v>22722464</v>
      </c>
      <c r="E349">
        <v>1</v>
      </c>
      <c r="F349">
        <v>1</v>
      </c>
      <c r="G349">
        <v>22652947</v>
      </c>
      <c r="H349">
        <v>3</v>
      </c>
      <c r="I349" t="s">
        <v>783</v>
      </c>
      <c r="J349" t="s">
        <v>784</v>
      </c>
      <c r="K349" t="s">
        <v>785</v>
      </c>
      <c r="L349">
        <v>1348</v>
      </c>
      <c r="N349">
        <v>1009</v>
      </c>
      <c r="O349" t="s">
        <v>29</v>
      </c>
      <c r="P349" t="s">
        <v>29</v>
      </c>
      <c r="Q349">
        <v>1000</v>
      </c>
      <c r="W349">
        <v>0</v>
      </c>
      <c r="X349">
        <v>-2026157207</v>
      </c>
      <c r="Y349">
        <v>1E-3</v>
      </c>
      <c r="AA349">
        <v>12654.07</v>
      </c>
      <c r="AB349">
        <v>0</v>
      </c>
      <c r="AC349">
        <v>0</v>
      </c>
      <c r="AD349">
        <v>0</v>
      </c>
      <c r="AE349">
        <v>12654.07</v>
      </c>
      <c r="AF349">
        <v>0</v>
      </c>
      <c r="AG349">
        <v>0</v>
      </c>
      <c r="AH349">
        <v>0</v>
      </c>
      <c r="AI349">
        <v>1</v>
      </c>
      <c r="AJ349">
        <v>1</v>
      </c>
      <c r="AK349">
        <v>1</v>
      </c>
      <c r="AL349">
        <v>1</v>
      </c>
      <c r="AN349">
        <v>0</v>
      </c>
      <c r="AO349">
        <v>1</v>
      </c>
      <c r="AP349">
        <v>0</v>
      </c>
      <c r="AQ349">
        <v>0</v>
      </c>
      <c r="AR349">
        <v>0</v>
      </c>
      <c r="AS349" t="s">
        <v>3</v>
      </c>
      <c r="AT349">
        <v>1E-3</v>
      </c>
      <c r="AU349" t="s">
        <v>3</v>
      </c>
      <c r="AV349">
        <v>0</v>
      </c>
      <c r="AW349">
        <v>2</v>
      </c>
      <c r="AX349">
        <v>45038658</v>
      </c>
      <c r="AY349">
        <v>1</v>
      </c>
      <c r="AZ349">
        <v>0</v>
      </c>
      <c r="BA349">
        <v>336</v>
      </c>
      <c r="BB349">
        <v>0</v>
      </c>
      <c r="BC349">
        <v>0</v>
      </c>
      <c r="BD349">
        <v>0</v>
      </c>
      <c r="BE349">
        <v>0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CX349">
        <f>Y349*Source!I345</f>
        <v>2.7E-4</v>
      </c>
      <c r="CY349">
        <f t="shared" si="24"/>
        <v>12654.07</v>
      </c>
      <c r="CZ349">
        <f t="shared" si="25"/>
        <v>12654.07</v>
      </c>
      <c r="DA349">
        <f t="shared" si="26"/>
        <v>1</v>
      </c>
      <c r="DB349">
        <v>0</v>
      </c>
    </row>
    <row r="350" spans="1:106" x14ac:dyDescent="0.2">
      <c r="A350">
        <f>ROW(Source!A345)</f>
        <v>345</v>
      </c>
      <c r="B350">
        <v>45037306</v>
      </c>
      <c r="C350">
        <v>45038144</v>
      </c>
      <c r="D350">
        <v>22674651</v>
      </c>
      <c r="E350">
        <v>22652947</v>
      </c>
      <c r="F350">
        <v>1</v>
      </c>
      <c r="G350">
        <v>22652947</v>
      </c>
      <c r="H350">
        <v>3</v>
      </c>
      <c r="I350" t="s">
        <v>675</v>
      </c>
      <c r="J350" t="s">
        <v>3</v>
      </c>
      <c r="K350" t="s">
        <v>676</v>
      </c>
      <c r="L350">
        <v>1344</v>
      </c>
      <c r="N350">
        <v>1008</v>
      </c>
      <c r="O350" t="s">
        <v>632</v>
      </c>
      <c r="P350" t="s">
        <v>632</v>
      </c>
      <c r="Q350">
        <v>1</v>
      </c>
      <c r="W350">
        <v>0</v>
      </c>
      <c r="X350">
        <v>-94250534</v>
      </c>
      <c r="Y350">
        <v>39.479999999999997</v>
      </c>
      <c r="AA350">
        <v>1</v>
      </c>
      <c r="AB350">
        <v>0</v>
      </c>
      <c r="AC350">
        <v>0</v>
      </c>
      <c r="AD350">
        <v>0</v>
      </c>
      <c r="AE350">
        <v>1</v>
      </c>
      <c r="AF350">
        <v>0</v>
      </c>
      <c r="AG350">
        <v>0</v>
      </c>
      <c r="AH350">
        <v>0</v>
      </c>
      <c r="AI350">
        <v>1</v>
      </c>
      <c r="AJ350">
        <v>1</v>
      </c>
      <c r="AK350">
        <v>1</v>
      </c>
      <c r="AL350">
        <v>1</v>
      </c>
      <c r="AN350">
        <v>0</v>
      </c>
      <c r="AO350">
        <v>1</v>
      </c>
      <c r="AP350">
        <v>0</v>
      </c>
      <c r="AQ350">
        <v>0</v>
      </c>
      <c r="AR350">
        <v>0</v>
      </c>
      <c r="AS350" t="s">
        <v>3</v>
      </c>
      <c r="AT350">
        <v>39.479999999999997</v>
      </c>
      <c r="AU350" t="s">
        <v>3</v>
      </c>
      <c r="AV350">
        <v>0</v>
      </c>
      <c r="AW350">
        <v>2</v>
      </c>
      <c r="AX350">
        <v>45038661</v>
      </c>
      <c r="AY350">
        <v>1</v>
      </c>
      <c r="AZ350">
        <v>0</v>
      </c>
      <c r="BA350">
        <v>339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CX350">
        <f>Y350*Source!I345</f>
        <v>10.659599999999999</v>
      </c>
      <c r="CY350">
        <f t="shared" si="24"/>
        <v>1</v>
      </c>
      <c r="CZ350">
        <f t="shared" si="25"/>
        <v>1</v>
      </c>
      <c r="DA350">
        <f t="shared" si="26"/>
        <v>1</v>
      </c>
      <c r="DB350">
        <v>0</v>
      </c>
    </row>
    <row r="351" spans="1:106" x14ac:dyDescent="0.2">
      <c r="A351">
        <f>ROW(Source!A346)</f>
        <v>346</v>
      </c>
      <c r="B351">
        <v>45037307</v>
      </c>
      <c r="C351">
        <v>45038144</v>
      </c>
      <c r="D351">
        <v>22652952</v>
      </c>
      <c r="E351">
        <v>22652947</v>
      </c>
      <c r="F351">
        <v>1</v>
      </c>
      <c r="G351">
        <v>22652947</v>
      </c>
      <c r="H351">
        <v>1</v>
      </c>
      <c r="I351" t="s">
        <v>617</v>
      </c>
      <c r="J351" t="s">
        <v>3</v>
      </c>
      <c r="K351" t="s">
        <v>618</v>
      </c>
      <c r="L351">
        <v>1191</v>
      </c>
      <c r="N351">
        <v>1013</v>
      </c>
      <c r="O351" t="s">
        <v>619</v>
      </c>
      <c r="P351" t="s">
        <v>619</v>
      </c>
      <c r="Q351">
        <v>1</v>
      </c>
      <c r="W351">
        <v>0</v>
      </c>
      <c r="X351">
        <v>476480486</v>
      </c>
      <c r="Y351">
        <v>41.284999999999997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1</v>
      </c>
      <c r="AJ351">
        <v>1</v>
      </c>
      <c r="AK351">
        <v>1</v>
      </c>
      <c r="AL351">
        <v>1</v>
      </c>
      <c r="AN351">
        <v>0</v>
      </c>
      <c r="AO351">
        <v>1</v>
      </c>
      <c r="AP351">
        <v>1</v>
      </c>
      <c r="AQ351">
        <v>0</v>
      </c>
      <c r="AR351">
        <v>0</v>
      </c>
      <c r="AS351" t="s">
        <v>3</v>
      </c>
      <c r="AT351">
        <v>35.9</v>
      </c>
      <c r="AU351" t="s">
        <v>37</v>
      </c>
      <c r="AV351">
        <v>1</v>
      </c>
      <c r="AW351">
        <v>2</v>
      </c>
      <c r="AX351">
        <v>45038651</v>
      </c>
      <c r="AY351">
        <v>1</v>
      </c>
      <c r="AZ351">
        <v>0</v>
      </c>
      <c r="BA351">
        <v>340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CX351">
        <f>Y351*Source!I346</f>
        <v>11.14695</v>
      </c>
      <c r="CY351">
        <f>AD351</f>
        <v>0</v>
      </c>
      <c r="CZ351">
        <f>AH351</f>
        <v>0</v>
      </c>
      <c r="DA351">
        <f>AL351</f>
        <v>1</v>
      </c>
      <c r="DB351">
        <v>0</v>
      </c>
    </row>
    <row r="352" spans="1:106" x14ac:dyDescent="0.2">
      <c r="A352">
        <f>ROW(Source!A346)</f>
        <v>346</v>
      </c>
      <c r="B352">
        <v>45037307</v>
      </c>
      <c r="C352">
        <v>45038144</v>
      </c>
      <c r="D352">
        <v>22725583</v>
      </c>
      <c r="E352">
        <v>1</v>
      </c>
      <c r="F352">
        <v>1</v>
      </c>
      <c r="G352">
        <v>22652947</v>
      </c>
      <c r="H352">
        <v>2</v>
      </c>
      <c r="I352" t="s">
        <v>669</v>
      </c>
      <c r="J352" t="s">
        <v>670</v>
      </c>
      <c r="K352" t="s">
        <v>671</v>
      </c>
      <c r="L352">
        <v>1367</v>
      </c>
      <c r="N352">
        <v>1011</v>
      </c>
      <c r="O352" t="s">
        <v>623</v>
      </c>
      <c r="P352" t="s">
        <v>623</v>
      </c>
      <c r="Q352">
        <v>1</v>
      </c>
      <c r="W352">
        <v>0</v>
      </c>
      <c r="X352">
        <v>-1260721122</v>
      </c>
      <c r="Y352">
        <v>0.42500000000000004</v>
      </c>
      <c r="AA352">
        <v>0</v>
      </c>
      <c r="AB352">
        <v>46.33</v>
      </c>
      <c r="AC352">
        <v>6.53</v>
      </c>
      <c r="AD352">
        <v>0</v>
      </c>
      <c r="AE352">
        <v>0</v>
      </c>
      <c r="AF352">
        <v>6.39</v>
      </c>
      <c r="AG352">
        <v>0.32</v>
      </c>
      <c r="AH352">
        <v>0</v>
      </c>
      <c r="AI352">
        <v>1</v>
      </c>
      <c r="AJ352">
        <v>7.25</v>
      </c>
      <c r="AK352">
        <v>20.399999999999999</v>
      </c>
      <c r="AL352">
        <v>1</v>
      </c>
      <c r="AN352">
        <v>0</v>
      </c>
      <c r="AO352">
        <v>1</v>
      </c>
      <c r="AP352">
        <v>1</v>
      </c>
      <c r="AQ352">
        <v>0</v>
      </c>
      <c r="AR352">
        <v>0</v>
      </c>
      <c r="AS352" t="s">
        <v>3</v>
      </c>
      <c r="AT352">
        <v>0.34</v>
      </c>
      <c r="AU352" t="s">
        <v>36</v>
      </c>
      <c r="AV352">
        <v>0</v>
      </c>
      <c r="AW352">
        <v>2</v>
      </c>
      <c r="AX352">
        <v>45038652</v>
      </c>
      <c r="AY352">
        <v>1</v>
      </c>
      <c r="AZ352">
        <v>0</v>
      </c>
      <c r="BA352">
        <v>341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CX352">
        <f>Y352*Source!I346</f>
        <v>0.11475000000000002</v>
      </c>
      <c r="CY352">
        <f>AB352</f>
        <v>46.33</v>
      </c>
      <c r="CZ352">
        <f>AF352</f>
        <v>6.39</v>
      </c>
      <c r="DA352">
        <f>AJ352</f>
        <v>7.25</v>
      </c>
      <c r="DB352">
        <v>0</v>
      </c>
    </row>
    <row r="353" spans="1:106" x14ac:dyDescent="0.2">
      <c r="A353">
        <f>ROW(Source!A346)</f>
        <v>346</v>
      </c>
      <c r="B353">
        <v>45037307</v>
      </c>
      <c r="C353">
        <v>45038144</v>
      </c>
      <c r="D353">
        <v>22725932</v>
      </c>
      <c r="E353">
        <v>1</v>
      </c>
      <c r="F353">
        <v>1</v>
      </c>
      <c r="G353">
        <v>22652947</v>
      </c>
      <c r="H353">
        <v>2</v>
      </c>
      <c r="I353" t="s">
        <v>672</v>
      </c>
      <c r="J353" t="s">
        <v>673</v>
      </c>
      <c r="K353" t="s">
        <v>674</v>
      </c>
      <c r="L353">
        <v>1367</v>
      </c>
      <c r="N353">
        <v>1011</v>
      </c>
      <c r="O353" t="s">
        <v>623</v>
      </c>
      <c r="P353" t="s">
        <v>623</v>
      </c>
      <c r="Q353">
        <v>1</v>
      </c>
      <c r="W353">
        <v>0</v>
      </c>
      <c r="X353">
        <v>-840546339</v>
      </c>
      <c r="Y353">
        <v>7.7</v>
      </c>
      <c r="AA353">
        <v>0</v>
      </c>
      <c r="AB353">
        <v>25.67</v>
      </c>
      <c r="AC353">
        <v>0.82</v>
      </c>
      <c r="AD353">
        <v>0</v>
      </c>
      <c r="AE353">
        <v>0</v>
      </c>
      <c r="AF353">
        <v>2.58</v>
      </c>
      <c r="AG353">
        <v>0.04</v>
      </c>
      <c r="AH353">
        <v>0</v>
      </c>
      <c r="AI353">
        <v>1</v>
      </c>
      <c r="AJ353">
        <v>9.9499999999999993</v>
      </c>
      <c r="AK353">
        <v>20.399999999999999</v>
      </c>
      <c r="AL353">
        <v>1</v>
      </c>
      <c r="AN353">
        <v>0</v>
      </c>
      <c r="AO353">
        <v>1</v>
      </c>
      <c r="AP353">
        <v>1</v>
      </c>
      <c r="AQ353">
        <v>0</v>
      </c>
      <c r="AR353">
        <v>0</v>
      </c>
      <c r="AS353" t="s">
        <v>3</v>
      </c>
      <c r="AT353">
        <v>6.16</v>
      </c>
      <c r="AU353" t="s">
        <v>36</v>
      </c>
      <c r="AV353">
        <v>0</v>
      </c>
      <c r="AW353">
        <v>2</v>
      </c>
      <c r="AX353">
        <v>45038654</v>
      </c>
      <c r="AY353">
        <v>1</v>
      </c>
      <c r="AZ353">
        <v>0</v>
      </c>
      <c r="BA353">
        <v>342</v>
      </c>
      <c r="BB353">
        <v>0</v>
      </c>
      <c r="BC353">
        <v>0</v>
      </c>
      <c r="BD353">
        <v>0</v>
      </c>
      <c r="BE353">
        <v>0</v>
      </c>
      <c r="BF353">
        <v>0</v>
      </c>
      <c r="BG353">
        <v>0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0</v>
      </c>
      <c r="BQ353">
        <v>0</v>
      </c>
      <c r="BR353">
        <v>0</v>
      </c>
      <c r="BS353">
        <v>0</v>
      </c>
      <c r="BT353">
        <v>0</v>
      </c>
      <c r="BU353">
        <v>0</v>
      </c>
      <c r="BV353">
        <v>0</v>
      </c>
      <c r="BW353">
        <v>0</v>
      </c>
      <c r="CX353">
        <f>Y353*Source!I346</f>
        <v>2.0790000000000002</v>
      </c>
      <c r="CY353">
        <f>AB353</f>
        <v>25.67</v>
      </c>
      <c r="CZ353">
        <f>AF353</f>
        <v>2.58</v>
      </c>
      <c r="DA353">
        <f>AJ353</f>
        <v>9.9499999999999993</v>
      </c>
      <c r="DB353">
        <v>0</v>
      </c>
    </row>
    <row r="354" spans="1:106" x14ac:dyDescent="0.2">
      <c r="A354">
        <f>ROW(Source!A346)</f>
        <v>346</v>
      </c>
      <c r="B354">
        <v>45037307</v>
      </c>
      <c r="C354">
        <v>45038144</v>
      </c>
      <c r="D354">
        <v>22725104</v>
      </c>
      <c r="E354">
        <v>1</v>
      </c>
      <c r="F354">
        <v>1</v>
      </c>
      <c r="G354">
        <v>22652947</v>
      </c>
      <c r="H354">
        <v>2</v>
      </c>
      <c r="I354" t="s">
        <v>759</v>
      </c>
      <c r="J354" t="s">
        <v>760</v>
      </c>
      <c r="K354" t="s">
        <v>761</v>
      </c>
      <c r="L354">
        <v>1367</v>
      </c>
      <c r="N354">
        <v>1011</v>
      </c>
      <c r="O354" t="s">
        <v>623</v>
      </c>
      <c r="P354" t="s">
        <v>623</v>
      </c>
      <c r="Q354">
        <v>1</v>
      </c>
      <c r="W354">
        <v>0</v>
      </c>
      <c r="X354">
        <v>-94137371</v>
      </c>
      <c r="Y354">
        <v>5.1624999999999996</v>
      </c>
      <c r="AA354">
        <v>0</v>
      </c>
      <c r="AB354">
        <v>915.93</v>
      </c>
      <c r="AC354">
        <v>612.61</v>
      </c>
      <c r="AD354">
        <v>0</v>
      </c>
      <c r="AE354">
        <v>0</v>
      </c>
      <c r="AF354">
        <v>102.11</v>
      </c>
      <c r="AG354">
        <v>30.03</v>
      </c>
      <c r="AH354">
        <v>0</v>
      </c>
      <c r="AI354">
        <v>1</v>
      </c>
      <c r="AJ354">
        <v>8.9700000000000006</v>
      </c>
      <c r="AK354">
        <v>20.399999999999999</v>
      </c>
      <c r="AL354">
        <v>1</v>
      </c>
      <c r="AN354">
        <v>0</v>
      </c>
      <c r="AO354">
        <v>1</v>
      </c>
      <c r="AP354">
        <v>1</v>
      </c>
      <c r="AQ354">
        <v>0</v>
      </c>
      <c r="AR354">
        <v>0</v>
      </c>
      <c r="AS354" t="s">
        <v>3</v>
      </c>
      <c r="AT354">
        <v>4.13</v>
      </c>
      <c r="AU354" t="s">
        <v>36</v>
      </c>
      <c r="AV354">
        <v>0</v>
      </c>
      <c r="AW354">
        <v>2</v>
      </c>
      <c r="AX354">
        <v>45038653</v>
      </c>
      <c r="AY354">
        <v>1</v>
      </c>
      <c r="AZ354">
        <v>0</v>
      </c>
      <c r="BA354">
        <v>343</v>
      </c>
      <c r="BB354">
        <v>0</v>
      </c>
      <c r="BC354">
        <v>0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P354">
        <v>0</v>
      </c>
      <c r="BQ354">
        <v>0</v>
      </c>
      <c r="BR354">
        <v>0</v>
      </c>
      <c r="BS354">
        <v>0</v>
      </c>
      <c r="BT354">
        <v>0</v>
      </c>
      <c r="BU354">
        <v>0</v>
      </c>
      <c r="BV354">
        <v>0</v>
      </c>
      <c r="BW354">
        <v>0</v>
      </c>
      <c r="CX354">
        <f>Y354*Source!I346</f>
        <v>1.393875</v>
      </c>
      <c r="CY354">
        <f>AB354</f>
        <v>915.93</v>
      </c>
      <c r="CZ354">
        <f>AF354</f>
        <v>102.11</v>
      </c>
      <c r="DA354">
        <f>AJ354</f>
        <v>8.9700000000000006</v>
      </c>
      <c r="DB354">
        <v>0</v>
      </c>
    </row>
    <row r="355" spans="1:106" x14ac:dyDescent="0.2">
      <c r="A355">
        <f>ROW(Source!A346)</f>
        <v>346</v>
      </c>
      <c r="B355">
        <v>45037307</v>
      </c>
      <c r="C355">
        <v>45038144</v>
      </c>
      <c r="D355">
        <v>22725226</v>
      </c>
      <c r="E355">
        <v>1</v>
      </c>
      <c r="F355">
        <v>1</v>
      </c>
      <c r="G355">
        <v>22652947</v>
      </c>
      <c r="H355">
        <v>2</v>
      </c>
      <c r="I355" t="s">
        <v>780</v>
      </c>
      <c r="J355" t="s">
        <v>781</v>
      </c>
      <c r="K355" t="s">
        <v>782</v>
      </c>
      <c r="L355">
        <v>1367</v>
      </c>
      <c r="N355">
        <v>1011</v>
      </c>
      <c r="O355" t="s">
        <v>623</v>
      </c>
      <c r="P355" t="s">
        <v>623</v>
      </c>
      <c r="Q355">
        <v>1</v>
      </c>
      <c r="W355">
        <v>0</v>
      </c>
      <c r="X355">
        <v>-1295289413</v>
      </c>
      <c r="Y355">
        <v>3.9624999999999999</v>
      </c>
      <c r="AA355">
        <v>0</v>
      </c>
      <c r="AB355">
        <v>4.3600000000000003</v>
      </c>
      <c r="AC355">
        <v>1.84</v>
      </c>
      <c r="AD355">
        <v>0</v>
      </c>
      <c r="AE355">
        <v>0</v>
      </c>
      <c r="AF355">
        <v>0.8</v>
      </c>
      <c r="AG355">
        <v>0.09</v>
      </c>
      <c r="AH355">
        <v>0</v>
      </c>
      <c r="AI355">
        <v>1</v>
      </c>
      <c r="AJ355">
        <v>5.45</v>
      </c>
      <c r="AK355">
        <v>20.399999999999999</v>
      </c>
      <c r="AL355">
        <v>1</v>
      </c>
      <c r="AN355">
        <v>0</v>
      </c>
      <c r="AO355">
        <v>1</v>
      </c>
      <c r="AP355">
        <v>1</v>
      </c>
      <c r="AQ355">
        <v>0</v>
      </c>
      <c r="AR355">
        <v>0</v>
      </c>
      <c r="AS355" t="s">
        <v>3</v>
      </c>
      <c r="AT355">
        <v>3.17</v>
      </c>
      <c r="AU355" t="s">
        <v>36</v>
      </c>
      <c r="AV355">
        <v>0</v>
      </c>
      <c r="AW355">
        <v>2</v>
      </c>
      <c r="AX355">
        <v>45038655</v>
      </c>
      <c r="AY355">
        <v>1</v>
      </c>
      <c r="AZ355">
        <v>0</v>
      </c>
      <c r="BA355">
        <v>344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CX355">
        <f>Y355*Source!I346</f>
        <v>1.0698750000000001</v>
      </c>
      <c r="CY355">
        <f>AB355</f>
        <v>4.3600000000000003</v>
      </c>
      <c r="CZ355">
        <f>AF355</f>
        <v>0.8</v>
      </c>
      <c r="DA355">
        <f>AJ355</f>
        <v>5.45</v>
      </c>
      <c r="DB355">
        <v>0</v>
      </c>
    </row>
    <row r="356" spans="1:106" x14ac:dyDescent="0.2">
      <c r="A356">
        <f>ROW(Source!A346)</f>
        <v>346</v>
      </c>
      <c r="B356">
        <v>45037307</v>
      </c>
      <c r="C356">
        <v>45038144</v>
      </c>
      <c r="D356">
        <v>22653672</v>
      </c>
      <c r="E356">
        <v>22652947</v>
      </c>
      <c r="F356">
        <v>1</v>
      </c>
      <c r="G356">
        <v>22652947</v>
      </c>
      <c r="H356">
        <v>2</v>
      </c>
      <c r="I356" t="s">
        <v>630</v>
      </c>
      <c r="J356" t="s">
        <v>3</v>
      </c>
      <c r="K356" t="s">
        <v>631</v>
      </c>
      <c r="L356">
        <v>1344</v>
      </c>
      <c r="N356">
        <v>1008</v>
      </c>
      <c r="O356" t="s">
        <v>632</v>
      </c>
      <c r="P356" t="s">
        <v>632</v>
      </c>
      <c r="Q356">
        <v>1</v>
      </c>
      <c r="W356">
        <v>0</v>
      </c>
      <c r="X356">
        <v>-1180195794</v>
      </c>
      <c r="Y356">
        <v>46.8125</v>
      </c>
      <c r="AA356">
        <v>0</v>
      </c>
      <c r="AB356">
        <v>1</v>
      </c>
      <c r="AC356">
        <v>0</v>
      </c>
      <c r="AD356">
        <v>0</v>
      </c>
      <c r="AE356">
        <v>0</v>
      </c>
      <c r="AF356">
        <v>1</v>
      </c>
      <c r="AG356">
        <v>0</v>
      </c>
      <c r="AH356">
        <v>0</v>
      </c>
      <c r="AI356">
        <v>1</v>
      </c>
      <c r="AJ356">
        <v>1</v>
      </c>
      <c r="AK356">
        <v>1</v>
      </c>
      <c r="AL356">
        <v>1</v>
      </c>
      <c r="AN356">
        <v>0</v>
      </c>
      <c r="AO356">
        <v>1</v>
      </c>
      <c r="AP356">
        <v>1</v>
      </c>
      <c r="AQ356">
        <v>0</v>
      </c>
      <c r="AR356">
        <v>0</v>
      </c>
      <c r="AS356" t="s">
        <v>3</v>
      </c>
      <c r="AT356">
        <v>37.450000000000003</v>
      </c>
      <c r="AU356" t="s">
        <v>36</v>
      </c>
      <c r="AV356">
        <v>0</v>
      </c>
      <c r="AW356">
        <v>2</v>
      </c>
      <c r="AX356">
        <v>45038656</v>
      </c>
      <c r="AY356">
        <v>1</v>
      </c>
      <c r="AZ356">
        <v>0</v>
      </c>
      <c r="BA356">
        <v>345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CX356">
        <f>Y356*Source!I346</f>
        <v>12.639375000000001</v>
      </c>
      <c r="CY356">
        <f>AB356</f>
        <v>1</v>
      </c>
      <c r="CZ356">
        <f>AF356</f>
        <v>1</v>
      </c>
      <c r="DA356">
        <f>AJ356</f>
        <v>1</v>
      </c>
      <c r="DB356">
        <v>0</v>
      </c>
    </row>
    <row r="357" spans="1:106" x14ac:dyDescent="0.2">
      <c r="A357">
        <f>ROW(Source!A346)</f>
        <v>346</v>
      </c>
      <c r="B357">
        <v>45037307</v>
      </c>
      <c r="C357">
        <v>45038144</v>
      </c>
      <c r="D357">
        <v>22701835</v>
      </c>
      <c r="E357">
        <v>1</v>
      </c>
      <c r="F357">
        <v>1</v>
      </c>
      <c r="G357">
        <v>22652947</v>
      </c>
      <c r="H357">
        <v>3</v>
      </c>
      <c r="I357" t="s">
        <v>441</v>
      </c>
      <c r="J357" t="s">
        <v>443</v>
      </c>
      <c r="K357" t="s">
        <v>442</v>
      </c>
      <c r="L357">
        <v>1348</v>
      </c>
      <c r="N357">
        <v>1009</v>
      </c>
      <c r="O357" t="s">
        <v>29</v>
      </c>
      <c r="P357" t="s">
        <v>29</v>
      </c>
      <c r="Q357">
        <v>1000</v>
      </c>
      <c r="W357">
        <v>0</v>
      </c>
      <c r="X357">
        <v>-1406854911</v>
      </c>
      <c r="Y357">
        <v>7.4074000000000001E-2</v>
      </c>
      <c r="AA357">
        <v>39691.14</v>
      </c>
      <c r="AB357">
        <v>0</v>
      </c>
      <c r="AC357">
        <v>0</v>
      </c>
      <c r="AD357">
        <v>0</v>
      </c>
      <c r="AE357">
        <v>7075.07</v>
      </c>
      <c r="AF357">
        <v>0</v>
      </c>
      <c r="AG357">
        <v>0</v>
      </c>
      <c r="AH357">
        <v>0</v>
      </c>
      <c r="AI357">
        <v>5.61</v>
      </c>
      <c r="AJ357">
        <v>1</v>
      </c>
      <c r="AK357">
        <v>1</v>
      </c>
      <c r="AL357">
        <v>1</v>
      </c>
      <c r="AN357">
        <v>0</v>
      </c>
      <c r="AO357">
        <v>0</v>
      </c>
      <c r="AP357">
        <v>0</v>
      </c>
      <c r="AQ357">
        <v>0</v>
      </c>
      <c r="AR357">
        <v>0</v>
      </c>
      <c r="AS357" t="s">
        <v>3</v>
      </c>
      <c r="AT357">
        <v>7.4074000000000001E-2</v>
      </c>
      <c r="AU357" t="s">
        <v>3</v>
      </c>
      <c r="AV357">
        <v>0</v>
      </c>
      <c r="AW357">
        <v>1</v>
      </c>
      <c r="AX357">
        <v>-1</v>
      </c>
      <c r="AY357">
        <v>0</v>
      </c>
      <c r="AZ357">
        <v>0</v>
      </c>
      <c r="BA357" t="s">
        <v>3</v>
      </c>
      <c r="BB357">
        <v>0</v>
      </c>
      <c r="BC357">
        <v>0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0</v>
      </c>
      <c r="BS357">
        <v>0</v>
      </c>
      <c r="BT357">
        <v>0</v>
      </c>
      <c r="BU357">
        <v>0</v>
      </c>
      <c r="BV357">
        <v>0</v>
      </c>
      <c r="BW357">
        <v>0</v>
      </c>
      <c r="CX357">
        <f>Y357*Source!I346</f>
        <v>1.9999980000000001E-2</v>
      </c>
      <c r="CY357">
        <f t="shared" ref="CY357:CY364" si="27">AA357</f>
        <v>39691.14</v>
      </c>
      <c r="CZ357">
        <f t="shared" ref="CZ357:CZ364" si="28">AE357</f>
        <v>7075.07</v>
      </c>
      <c r="DA357">
        <f t="shared" ref="DA357:DA364" si="29">AI357</f>
        <v>5.61</v>
      </c>
      <c r="DB357">
        <v>0</v>
      </c>
    </row>
    <row r="358" spans="1:106" x14ac:dyDescent="0.2">
      <c r="A358">
        <f>ROW(Source!A346)</f>
        <v>346</v>
      </c>
      <c r="B358">
        <v>45037307</v>
      </c>
      <c r="C358">
        <v>45038144</v>
      </c>
      <c r="D358">
        <v>22701843</v>
      </c>
      <c r="E358">
        <v>1</v>
      </c>
      <c r="F358">
        <v>1</v>
      </c>
      <c r="G358">
        <v>22652947</v>
      </c>
      <c r="H358">
        <v>3</v>
      </c>
      <c r="I358" t="s">
        <v>437</v>
      </c>
      <c r="J358" t="s">
        <v>439</v>
      </c>
      <c r="K358" t="s">
        <v>438</v>
      </c>
      <c r="L358">
        <v>1348</v>
      </c>
      <c r="N358">
        <v>1009</v>
      </c>
      <c r="O358" t="s">
        <v>29</v>
      </c>
      <c r="P358" t="s">
        <v>29</v>
      </c>
      <c r="Q358">
        <v>1000</v>
      </c>
      <c r="W358">
        <v>0</v>
      </c>
      <c r="X358">
        <v>-776206429</v>
      </c>
      <c r="Y358">
        <v>0.296296</v>
      </c>
      <c r="AA358">
        <v>24426</v>
      </c>
      <c r="AB358">
        <v>0</v>
      </c>
      <c r="AC358">
        <v>0</v>
      </c>
      <c r="AD358">
        <v>0</v>
      </c>
      <c r="AE358">
        <v>8914.6</v>
      </c>
      <c r="AF358">
        <v>0</v>
      </c>
      <c r="AG358">
        <v>0</v>
      </c>
      <c r="AH358">
        <v>0</v>
      </c>
      <c r="AI358">
        <v>2.74</v>
      </c>
      <c r="AJ358">
        <v>1</v>
      </c>
      <c r="AK358">
        <v>1</v>
      </c>
      <c r="AL358">
        <v>1</v>
      </c>
      <c r="AN358">
        <v>0</v>
      </c>
      <c r="AO358">
        <v>0</v>
      </c>
      <c r="AP358">
        <v>0</v>
      </c>
      <c r="AQ358">
        <v>0</v>
      </c>
      <c r="AR358">
        <v>0</v>
      </c>
      <c r="AS358" t="s">
        <v>3</v>
      </c>
      <c r="AT358">
        <v>0.296296</v>
      </c>
      <c r="AU358" t="s">
        <v>3</v>
      </c>
      <c r="AV358">
        <v>0</v>
      </c>
      <c r="AW358">
        <v>1</v>
      </c>
      <c r="AX358">
        <v>-1</v>
      </c>
      <c r="AY358">
        <v>0</v>
      </c>
      <c r="AZ358">
        <v>0</v>
      </c>
      <c r="BA358" t="s">
        <v>3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CX358">
        <f>Y358*Source!I346</f>
        <v>7.9999920000000002E-2</v>
      </c>
      <c r="CY358">
        <f t="shared" si="27"/>
        <v>24426</v>
      </c>
      <c r="CZ358">
        <f t="shared" si="28"/>
        <v>8914.6</v>
      </c>
      <c r="DA358">
        <f t="shared" si="29"/>
        <v>2.74</v>
      </c>
      <c r="DB358">
        <v>0</v>
      </c>
    </row>
    <row r="359" spans="1:106" x14ac:dyDescent="0.2">
      <c r="A359">
        <f>ROW(Source!A346)</f>
        <v>346</v>
      </c>
      <c r="B359">
        <v>45037307</v>
      </c>
      <c r="C359">
        <v>45038144</v>
      </c>
      <c r="D359">
        <v>22702279</v>
      </c>
      <c r="E359">
        <v>1</v>
      </c>
      <c r="F359">
        <v>1</v>
      </c>
      <c r="G359">
        <v>22652947</v>
      </c>
      <c r="H359">
        <v>3</v>
      </c>
      <c r="I359" t="s">
        <v>666</v>
      </c>
      <c r="J359" t="s">
        <v>667</v>
      </c>
      <c r="K359" t="s">
        <v>668</v>
      </c>
      <c r="L359">
        <v>1348</v>
      </c>
      <c r="N359">
        <v>1009</v>
      </c>
      <c r="O359" t="s">
        <v>29</v>
      </c>
      <c r="P359" t="s">
        <v>29</v>
      </c>
      <c r="Q359">
        <v>1000</v>
      </c>
      <c r="W359">
        <v>0</v>
      </c>
      <c r="X359">
        <v>1310716689</v>
      </c>
      <c r="Y359">
        <v>4.0000000000000001E-3</v>
      </c>
      <c r="AA359">
        <v>86373.64</v>
      </c>
      <c r="AB359">
        <v>0</v>
      </c>
      <c r="AC359">
        <v>0</v>
      </c>
      <c r="AD359">
        <v>0</v>
      </c>
      <c r="AE359">
        <v>7191.81</v>
      </c>
      <c r="AF359">
        <v>0</v>
      </c>
      <c r="AG359">
        <v>0</v>
      </c>
      <c r="AH359">
        <v>0</v>
      </c>
      <c r="AI359">
        <v>12.01</v>
      </c>
      <c r="AJ359">
        <v>1</v>
      </c>
      <c r="AK359">
        <v>1</v>
      </c>
      <c r="AL359">
        <v>1</v>
      </c>
      <c r="AN359">
        <v>0</v>
      </c>
      <c r="AO359">
        <v>1</v>
      </c>
      <c r="AP359">
        <v>0</v>
      </c>
      <c r="AQ359">
        <v>0</v>
      </c>
      <c r="AR359">
        <v>0</v>
      </c>
      <c r="AS359" t="s">
        <v>3</v>
      </c>
      <c r="AT359">
        <v>4.0000000000000001E-3</v>
      </c>
      <c r="AU359" t="s">
        <v>3</v>
      </c>
      <c r="AV359">
        <v>0</v>
      </c>
      <c r="AW359">
        <v>2</v>
      </c>
      <c r="AX359">
        <v>45038657</v>
      </c>
      <c r="AY359">
        <v>1</v>
      </c>
      <c r="AZ359">
        <v>0</v>
      </c>
      <c r="BA359">
        <v>346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0</v>
      </c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0</v>
      </c>
      <c r="BW359">
        <v>0</v>
      </c>
      <c r="CX359">
        <f>Y359*Source!I346</f>
        <v>1.08E-3</v>
      </c>
      <c r="CY359">
        <f t="shared" si="27"/>
        <v>86373.64</v>
      </c>
      <c r="CZ359">
        <f t="shared" si="28"/>
        <v>7191.81</v>
      </c>
      <c r="DA359">
        <f t="shared" si="29"/>
        <v>12.01</v>
      </c>
      <c r="DB359">
        <v>0</v>
      </c>
    </row>
    <row r="360" spans="1:106" x14ac:dyDescent="0.2">
      <c r="A360">
        <f>ROW(Source!A346)</f>
        <v>346</v>
      </c>
      <c r="B360">
        <v>45037307</v>
      </c>
      <c r="C360">
        <v>45038144</v>
      </c>
      <c r="D360">
        <v>22702904</v>
      </c>
      <c r="E360">
        <v>1</v>
      </c>
      <c r="F360">
        <v>1</v>
      </c>
      <c r="G360">
        <v>22652947</v>
      </c>
      <c r="H360">
        <v>3</v>
      </c>
      <c r="I360" t="s">
        <v>433</v>
      </c>
      <c r="J360" t="s">
        <v>435</v>
      </c>
      <c r="K360" t="s">
        <v>434</v>
      </c>
      <c r="L360">
        <v>1348</v>
      </c>
      <c r="N360">
        <v>1009</v>
      </c>
      <c r="O360" t="s">
        <v>29</v>
      </c>
      <c r="P360" t="s">
        <v>29</v>
      </c>
      <c r="Q360">
        <v>1000</v>
      </c>
      <c r="W360">
        <v>0</v>
      </c>
      <c r="X360">
        <v>1654847958</v>
      </c>
      <c r="Y360">
        <v>0.33333299999999999</v>
      </c>
      <c r="AA360">
        <v>35427.599999999999</v>
      </c>
      <c r="AB360">
        <v>0</v>
      </c>
      <c r="AC360">
        <v>0</v>
      </c>
      <c r="AD360">
        <v>0</v>
      </c>
      <c r="AE360">
        <v>11355</v>
      </c>
      <c r="AF360">
        <v>0</v>
      </c>
      <c r="AG360">
        <v>0</v>
      </c>
      <c r="AH360">
        <v>0</v>
      </c>
      <c r="AI360">
        <v>3.12</v>
      </c>
      <c r="AJ360">
        <v>1</v>
      </c>
      <c r="AK360">
        <v>1</v>
      </c>
      <c r="AL360">
        <v>1</v>
      </c>
      <c r="AN360">
        <v>0</v>
      </c>
      <c r="AO360">
        <v>0</v>
      </c>
      <c r="AP360">
        <v>0</v>
      </c>
      <c r="AQ360">
        <v>0</v>
      </c>
      <c r="AR360">
        <v>0</v>
      </c>
      <c r="AS360" t="s">
        <v>3</v>
      </c>
      <c r="AT360">
        <v>0.33333299999999999</v>
      </c>
      <c r="AU360" t="s">
        <v>3</v>
      </c>
      <c r="AV360">
        <v>0</v>
      </c>
      <c r="AW360">
        <v>1</v>
      </c>
      <c r="AX360">
        <v>-1</v>
      </c>
      <c r="AY360">
        <v>0</v>
      </c>
      <c r="AZ360">
        <v>0</v>
      </c>
      <c r="BA360" t="s">
        <v>3</v>
      </c>
      <c r="BB360">
        <v>0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0</v>
      </c>
      <c r="BQ360">
        <v>0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CX360">
        <f>Y360*Source!I346</f>
        <v>8.9999910000000002E-2</v>
      </c>
      <c r="CY360">
        <f t="shared" si="27"/>
        <v>35427.599999999999</v>
      </c>
      <c r="CZ360">
        <f t="shared" si="28"/>
        <v>11355</v>
      </c>
      <c r="DA360">
        <f t="shared" si="29"/>
        <v>3.12</v>
      </c>
      <c r="DB360">
        <v>0</v>
      </c>
    </row>
    <row r="361" spans="1:106" x14ac:dyDescent="0.2">
      <c r="A361">
        <f>ROW(Source!A346)</f>
        <v>346</v>
      </c>
      <c r="B361">
        <v>45037307</v>
      </c>
      <c r="C361">
        <v>45038144</v>
      </c>
      <c r="D361">
        <v>22700916</v>
      </c>
      <c r="E361">
        <v>1</v>
      </c>
      <c r="F361">
        <v>1</v>
      </c>
      <c r="G361">
        <v>22652947</v>
      </c>
      <c r="H361">
        <v>3</v>
      </c>
      <c r="I361" t="s">
        <v>429</v>
      </c>
      <c r="J361" t="s">
        <v>431</v>
      </c>
      <c r="K361" t="s">
        <v>430</v>
      </c>
      <c r="L361">
        <v>1348</v>
      </c>
      <c r="N361">
        <v>1009</v>
      </c>
      <c r="O361" t="s">
        <v>29</v>
      </c>
      <c r="P361" t="s">
        <v>29</v>
      </c>
      <c r="Q361">
        <v>1000</v>
      </c>
      <c r="W361">
        <v>0</v>
      </c>
      <c r="X361">
        <v>1013095188</v>
      </c>
      <c r="Y361">
        <v>8.4228999999999998E-2</v>
      </c>
      <c r="AA361">
        <v>93738.44</v>
      </c>
      <c r="AB361">
        <v>0</v>
      </c>
      <c r="AC361">
        <v>0</v>
      </c>
      <c r="AD361">
        <v>0</v>
      </c>
      <c r="AE361">
        <v>22533.279999999999</v>
      </c>
      <c r="AF361">
        <v>0</v>
      </c>
      <c r="AG361">
        <v>0</v>
      </c>
      <c r="AH361">
        <v>0</v>
      </c>
      <c r="AI361">
        <v>4.16</v>
      </c>
      <c r="AJ361">
        <v>1</v>
      </c>
      <c r="AK361">
        <v>1</v>
      </c>
      <c r="AL361">
        <v>1</v>
      </c>
      <c r="AN361">
        <v>0</v>
      </c>
      <c r="AO361">
        <v>0</v>
      </c>
      <c r="AP361">
        <v>0</v>
      </c>
      <c r="AQ361">
        <v>0</v>
      </c>
      <c r="AR361">
        <v>0</v>
      </c>
      <c r="AS361" t="s">
        <v>3</v>
      </c>
      <c r="AT361">
        <v>8.4228999999999998E-2</v>
      </c>
      <c r="AU361" t="s">
        <v>3</v>
      </c>
      <c r="AV361">
        <v>0</v>
      </c>
      <c r="AW361">
        <v>1</v>
      </c>
      <c r="AX361">
        <v>-1</v>
      </c>
      <c r="AY361">
        <v>0</v>
      </c>
      <c r="AZ361">
        <v>0</v>
      </c>
      <c r="BA361" t="s">
        <v>3</v>
      </c>
      <c r="BB361">
        <v>0</v>
      </c>
      <c r="BC361">
        <v>0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P361">
        <v>0</v>
      </c>
      <c r="BQ361">
        <v>0</v>
      </c>
      <c r="BR361">
        <v>0</v>
      </c>
      <c r="BS361">
        <v>0</v>
      </c>
      <c r="BT361">
        <v>0</v>
      </c>
      <c r="BU361">
        <v>0</v>
      </c>
      <c r="BV361">
        <v>0</v>
      </c>
      <c r="BW361">
        <v>0</v>
      </c>
      <c r="CX361">
        <f>Y361*Source!I346</f>
        <v>2.2741830000000001E-2</v>
      </c>
      <c r="CY361">
        <f t="shared" si="27"/>
        <v>93738.44</v>
      </c>
      <c r="CZ361">
        <f t="shared" si="28"/>
        <v>22533.279999999999</v>
      </c>
      <c r="DA361">
        <f t="shared" si="29"/>
        <v>4.16</v>
      </c>
      <c r="DB361">
        <v>0</v>
      </c>
    </row>
    <row r="362" spans="1:106" x14ac:dyDescent="0.2">
      <c r="A362">
        <f>ROW(Source!A346)</f>
        <v>346</v>
      </c>
      <c r="B362">
        <v>45037307</v>
      </c>
      <c r="C362">
        <v>45038144</v>
      </c>
      <c r="D362">
        <v>22722409</v>
      </c>
      <c r="E362">
        <v>1</v>
      </c>
      <c r="F362">
        <v>1</v>
      </c>
      <c r="G362">
        <v>22652947</v>
      </c>
      <c r="H362">
        <v>3</v>
      </c>
      <c r="I362" t="s">
        <v>445</v>
      </c>
      <c r="J362" t="s">
        <v>447</v>
      </c>
      <c r="K362" t="s">
        <v>446</v>
      </c>
      <c r="L362">
        <v>1348</v>
      </c>
      <c r="N362">
        <v>1009</v>
      </c>
      <c r="O362" t="s">
        <v>29</v>
      </c>
      <c r="P362" t="s">
        <v>29</v>
      </c>
      <c r="Q362">
        <v>1000</v>
      </c>
      <c r="W362">
        <v>0</v>
      </c>
      <c r="X362">
        <v>-390362327</v>
      </c>
      <c r="Y362">
        <v>0.296296</v>
      </c>
      <c r="AA362">
        <v>87490.1</v>
      </c>
      <c r="AB362">
        <v>0</v>
      </c>
      <c r="AC362">
        <v>0</v>
      </c>
      <c r="AD362">
        <v>0</v>
      </c>
      <c r="AE362">
        <v>17021.419999999998</v>
      </c>
      <c r="AF362">
        <v>0</v>
      </c>
      <c r="AG362">
        <v>0</v>
      </c>
      <c r="AH362">
        <v>0</v>
      </c>
      <c r="AI362">
        <v>5.14</v>
      </c>
      <c r="AJ362">
        <v>1</v>
      </c>
      <c r="AK362">
        <v>1</v>
      </c>
      <c r="AL362">
        <v>1</v>
      </c>
      <c r="AN362">
        <v>0</v>
      </c>
      <c r="AO362">
        <v>0</v>
      </c>
      <c r="AP362">
        <v>0</v>
      </c>
      <c r="AQ362">
        <v>0</v>
      </c>
      <c r="AR362">
        <v>0</v>
      </c>
      <c r="AS362" t="s">
        <v>3</v>
      </c>
      <c r="AT362">
        <v>0.296296</v>
      </c>
      <c r="AU362" t="s">
        <v>3</v>
      </c>
      <c r="AV362">
        <v>0</v>
      </c>
      <c r="AW362">
        <v>1</v>
      </c>
      <c r="AX362">
        <v>-1</v>
      </c>
      <c r="AY362">
        <v>0</v>
      </c>
      <c r="AZ362">
        <v>0</v>
      </c>
      <c r="BA362" t="s">
        <v>3</v>
      </c>
      <c r="BB362">
        <v>0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0</v>
      </c>
      <c r="BQ362">
        <v>0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CX362">
        <f>Y362*Source!I346</f>
        <v>7.9999920000000002E-2</v>
      </c>
      <c r="CY362">
        <f t="shared" si="27"/>
        <v>87490.1</v>
      </c>
      <c r="CZ362">
        <f t="shared" si="28"/>
        <v>17021.419999999998</v>
      </c>
      <c r="DA362">
        <f t="shared" si="29"/>
        <v>5.14</v>
      </c>
      <c r="DB362">
        <v>0</v>
      </c>
    </row>
    <row r="363" spans="1:106" x14ac:dyDescent="0.2">
      <c r="A363">
        <f>ROW(Source!A346)</f>
        <v>346</v>
      </c>
      <c r="B363">
        <v>45037307</v>
      </c>
      <c r="C363">
        <v>45038144</v>
      </c>
      <c r="D363">
        <v>22722464</v>
      </c>
      <c r="E363">
        <v>1</v>
      </c>
      <c r="F363">
        <v>1</v>
      </c>
      <c r="G363">
        <v>22652947</v>
      </c>
      <c r="H363">
        <v>3</v>
      </c>
      <c r="I363" t="s">
        <v>783</v>
      </c>
      <c r="J363" t="s">
        <v>784</v>
      </c>
      <c r="K363" t="s">
        <v>785</v>
      </c>
      <c r="L363">
        <v>1348</v>
      </c>
      <c r="N363">
        <v>1009</v>
      </c>
      <c r="O363" t="s">
        <v>29</v>
      </c>
      <c r="P363" t="s">
        <v>29</v>
      </c>
      <c r="Q363">
        <v>1000</v>
      </c>
      <c r="W363">
        <v>0</v>
      </c>
      <c r="X363">
        <v>-2026157207</v>
      </c>
      <c r="Y363">
        <v>1E-3</v>
      </c>
      <c r="AA363">
        <v>65674.62</v>
      </c>
      <c r="AB363">
        <v>0</v>
      </c>
      <c r="AC363">
        <v>0</v>
      </c>
      <c r="AD363">
        <v>0</v>
      </c>
      <c r="AE363">
        <v>12654.07</v>
      </c>
      <c r="AF363">
        <v>0</v>
      </c>
      <c r="AG363">
        <v>0</v>
      </c>
      <c r="AH363">
        <v>0</v>
      </c>
      <c r="AI363">
        <v>5.19</v>
      </c>
      <c r="AJ363">
        <v>1</v>
      </c>
      <c r="AK363">
        <v>1</v>
      </c>
      <c r="AL363">
        <v>1</v>
      </c>
      <c r="AN363">
        <v>0</v>
      </c>
      <c r="AO363">
        <v>1</v>
      </c>
      <c r="AP363">
        <v>0</v>
      </c>
      <c r="AQ363">
        <v>0</v>
      </c>
      <c r="AR363">
        <v>0</v>
      </c>
      <c r="AS363" t="s">
        <v>3</v>
      </c>
      <c r="AT363">
        <v>1E-3</v>
      </c>
      <c r="AU363" t="s">
        <v>3</v>
      </c>
      <c r="AV363">
        <v>0</v>
      </c>
      <c r="AW363">
        <v>2</v>
      </c>
      <c r="AX363">
        <v>45038658</v>
      </c>
      <c r="AY363">
        <v>1</v>
      </c>
      <c r="AZ363">
        <v>0</v>
      </c>
      <c r="BA363">
        <v>347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CX363">
        <f>Y363*Source!I346</f>
        <v>2.7E-4</v>
      </c>
      <c r="CY363">
        <f t="shared" si="27"/>
        <v>65674.62</v>
      </c>
      <c r="CZ363">
        <f t="shared" si="28"/>
        <v>12654.07</v>
      </c>
      <c r="DA363">
        <f t="shared" si="29"/>
        <v>5.19</v>
      </c>
      <c r="DB363">
        <v>0</v>
      </c>
    </row>
    <row r="364" spans="1:106" x14ac:dyDescent="0.2">
      <c r="A364">
        <f>ROW(Source!A346)</f>
        <v>346</v>
      </c>
      <c r="B364">
        <v>45037307</v>
      </c>
      <c r="C364">
        <v>45038144</v>
      </c>
      <c r="D364">
        <v>22674651</v>
      </c>
      <c r="E364">
        <v>22652947</v>
      </c>
      <c r="F364">
        <v>1</v>
      </c>
      <c r="G364">
        <v>22652947</v>
      </c>
      <c r="H364">
        <v>3</v>
      </c>
      <c r="I364" t="s">
        <v>675</v>
      </c>
      <c r="J364" t="s">
        <v>3</v>
      </c>
      <c r="K364" t="s">
        <v>676</v>
      </c>
      <c r="L364">
        <v>1344</v>
      </c>
      <c r="N364">
        <v>1008</v>
      </c>
      <c r="O364" t="s">
        <v>632</v>
      </c>
      <c r="P364" t="s">
        <v>632</v>
      </c>
      <c r="Q364">
        <v>1</v>
      </c>
      <c r="W364">
        <v>0</v>
      </c>
      <c r="X364">
        <v>-94250534</v>
      </c>
      <c r="Y364">
        <v>39.479999999999997</v>
      </c>
      <c r="AA364">
        <v>1</v>
      </c>
      <c r="AB364">
        <v>0</v>
      </c>
      <c r="AC364">
        <v>0</v>
      </c>
      <c r="AD364">
        <v>0</v>
      </c>
      <c r="AE364">
        <v>1</v>
      </c>
      <c r="AF364">
        <v>0</v>
      </c>
      <c r="AG364">
        <v>0</v>
      </c>
      <c r="AH364">
        <v>0</v>
      </c>
      <c r="AI364">
        <v>1</v>
      </c>
      <c r="AJ364">
        <v>1</v>
      </c>
      <c r="AK364">
        <v>1</v>
      </c>
      <c r="AL364">
        <v>1</v>
      </c>
      <c r="AN364">
        <v>0</v>
      </c>
      <c r="AO364">
        <v>1</v>
      </c>
      <c r="AP364">
        <v>0</v>
      </c>
      <c r="AQ364">
        <v>0</v>
      </c>
      <c r="AR364">
        <v>0</v>
      </c>
      <c r="AS364" t="s">
        <v>3</v>
      </c>
      <c r="AT364">
        <v>39.479999999999997</v>
      </c>
      <c r="AU364" t="s">
        <v>3</v>
      </c>
      <c r="AV364">
        <v>0</v>
      </c>
      <c r="AW364">
        <v>2</v>
      </c>
      <c r="AX364">
        <v>45038661</v>
      </c>
      <c r="AY364">
        <v>1</v>
      </c>
      <c r="AZ364">
        <v>0</v>
      </c>
      <c r="BA364">
        <v>350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CX364">
        <f>Y364*Source!I346</f>
        <v>10.659599999999999</v>
      </c>
      <c r="CY364">
        <f t="shared" si="27"/>
        <v>1</v>
      </c>
      <c r="CZ364">
        <f t="shared" si="28"/>
        <v>1</v>
      </c>
      <c r="DA364">
        <f t="shared" si="29"/>
        <v>1</v>
      </c>
      <c r="DB364">
        <v>0</v>
      </c>
    </row>
    <row r="365" spans="1:106" x14ac:dyDescent="0.2">
      <c r="A365">
        <f>ROW(Source!A391)</f>
        <v>391</v>
      </c>
      <c r="B365">
        <v>45037306</v>
      </c>
      <c r="C365">
        <v>45038229</v>
      </c>
      <c r="D365">
        <v>22652952</v>
      </c>
      <c r="E365">
        <v>22652947</v>
      </c>
      <c r="F365">
        <v>1</v>
      </c>
      <c r="G365">
        <v>22652947</v>
      </c>
      <c r="H365">
        <v>1</v>
      </c>
      <c r="I365" t="s">
        <v>617</v>
      </c>
      <c r="J365" t="s">
        <v>3</v>
      </c>
      <c r="K365" t="s">
        <v>618</v>
      </c>
      <c r="L365">
        <v>1191</v>
      </c>
      <c r="N365">
        <v>1013</v>
      </c>
      <c r="O365" t="s">
        <v>619</v>
      </c>
      <c r="P365" t="s">
        <v>619</v>
      </c>
      <c r="Q365">
        <v>1</v>
      </c>
      <c r="W365">
        <v>0</v>
      </c>
      <c r="X365">
        <v>476480486</v>
      </c>
      <c r="Y365">
        <v>1.1499999999999999</v>
      </c>
      <c r="AA365">
        <v>0</v>
      </c>
      <c r="AB365">
        <v>0</v>
      </c>
      <c r="AC365">
        <v>0</v>
      </c>
      <c r="AD365">
        <v>0</v>
      </c>
      <c r="AE365">
        <v>0</v>
      </c>
      <c r="AF365">
        <v>0</v>
      </c>
      <c r="AG365">
        <v>0</v>
      </c>
      <c r="AH365">
        <v>0</v>
      </c>
      <c r="AI365">
        <v>1</v>
      </c>
      <c r="AJ365">
        <v>1</v>
      </c>
      <c r="AK365">
        <v>1</v>
      </c>
      <c r="AL365">
        <v>1</v>
      </c>
      <c r="AN365">
        <v>0</v>
      </c>
      <c r="AO365">
        <v>1</v>
      </c>
      <c r="AP365">
        <v>1</v>
      </c>
      <c r="AQ365">
        <v>0</v>
      </c>
      <c r="AR365">
        <v>0</v>
      </c>
      <c r="AS365" t="s">
        <v>3</v>
      </c>
      <c r="AT365">
        <v>1</v>
      </c>
      <c r="AU365" t="s">
        <v>37</v>
      </c>
      <c r="AV365">
        <v>1</v>
      </c>
      <c r="AW365">
        <v>2</v>
      </c>
      <c r="AX365">
        <v>45038662</v>
      </c>
      <c r="AY365">
        <v>1</v>
      </c>
      <c r="AZ365">
        <v>0</v>
      </c>
      <c r="BA365">
        <v>351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CX365">
        <f>Y365*Source!I391</f>
        <v>2.2999999999999998</v>
      </c>
      <c r="CY365">
        <f>AD365</f>
        <v>0</v>
      </c>
      <c r="CZ365">
        <f>AH365</f>
        <v>0</v>
      </c>
      <c r="DA365">
        <f>AL365</f>
        <v>1</v>
      </c>
      <c r="DB365">
        <v>0</v>
      </c>
    </row>
    <row r="366" spans="1:106" x14ac:dyDescent="0.2">
      <c r="A366">
        <f>ROW(Source!A391)</f>
        <v>391</v>
      </c>
      <c r="B366">
        <v>45037306</v>
      </c>
      <c r="C366">
        <v>45038229</v>
      </c>
      <c r="D366">
        <v>22674638</v>
      </c>
      <c r="E366">
        <v>22652947</v>
      </c>
      <c r="F366">
        <v>1</v>
      </c>
      <c r="G366">
        <v>22652947</v>
      </c>
      <c r="H366">
        <v>3</v>
      </c>
      <c r="I366" t="s">
        <v>786</v>
      </c>
      <c r="J366" t="s">
        <v>3</v>
      </c>
      <c r="K366" t="s">
        <v>787</v>
      </c>
      <c r="L366">
        <v>1348</v>
      </c>
      <c r="N366">
        <v>1009</v>
      </c>
      <c r="O366" t="s">
        <v>29</v>
      </c>
      <c r="P366" t="s">
        <v>29</v>
      </c>
      <c r="Q366">
        <v>1000</v>
      </c>
      <c r="W366">
        <v>0</v>
      </c>
      <c r="X366">
        <v>-783086922</v>
      </c>
      <c r="Y366">
        <v>1E-3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1</v>
      </c>
      <c r="AJ366">
        <v>1</v>
      </c>
      <c r="AK366">
        <v>1</v>
      </c>
      <c r="AL366">
        <v>1</v>
      </c>
      <c r="AN366">
        <v>0</v>
      </c>
      <c r="AO366">
        <v>1</v>
      </c>
      <c r="AP366">
        <v>0</v>
      </c>
      <c r="AQ366">
        <v>0</v>
      </c>
      <c r="AR366">
        <v>0</v>
      </c>
      <c r="AS366" t="s">
        <v>3</v>
      </c>
      <c r="AT366">
        <v>1E-3</v>
      </c>
      <c r="AU366" t="s">
        <v>3</v>
      </c>
      <c r="AV366">
        <v>0</v>
      </c>
      <c r="AW366">
        <v>2</v>
      </c>
      <c r="AX366">
        <v>45038663</v>
      </c>
      <c r="AY366">
        <v>1</v>
      </c>
      <c r="AZ366">
        <v>0</v>
      </c>
      <c r="BA366">
        <v>352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CX366">
        <f>Y366*Source!I391</f>
        <v>2E-3</v>
      </c>
      <c r="CY366">
        <f>AA366</f>
        <v>0</v>
      </c>
      <c r="CZ366">
        <f>AE366</f>
        <v>0</v>
      </c>
      <c r="DA366">
        <f>AI366</f>
        <v>1</v>
      </c>
      <c r="DB366">
        <v>0</v>
      </c>
    </row>
    <row r="367" spans="1:106" x14ac:dyDescent="0.2">
      <c r="A367">
        <f>ROW(Source!A392)</f>
        <v>392</v>
      </c>
      <c r="B367">
        <v>45037307</v>
      </c>
      <c r="C367">
        <v>45038229</v>
      </c>
      <c r="D367">
        <v>22652952</v>
      </c>
      <c r="E367">
        <v>22652947</v>
      </c>
      <c r="F367">
        <v>1</v>
      </c>
      <c r="G367">
        <v>22652947</v>
      </c>
      <c r="H367">
        <v>1</v>
      </c>
      <c r="I367" t="s">
        <v>617</v>
      </c>
      <c r="J367" t="s">
        <v>3</v>
      </c>
      <c r="K367" t="s">
        <v>618</v>
      </c>
      <c r="L367">
        <v>1191</v>
      </c>
      <c r="N367">
        <v>1013</v>
      </c>
      <c r="O367" t="s">
        <v>619</v>
      </c>
      <c r="P367" t="s">
        <v>619</v>
      </c>
      <c r="Q367">
        <v>1</v>
      </c>
      <c r="W367">
        <v>0</v>
      </c>
      <c r="X367">
        <v>476480486</v>
      </c>
      <c r="Y367">
        <v>1.1499999999999999</v>
      </c>
      <c r="AA367">
        <v>0</v>
      </c>
      <c r="AB367">
        <v>0</v>
      </c>
      <c r="AC367">
        <v>0</v>
      </c>
      <c r="AD367">
        <v>0</v>
      </c>
      <c r="AE367">
        <v>0</v>
      </c>
      <c r="AF367">
        <v>0</v>
      </c>
      <c r="AG367">
        <v>0</v>
      </c>
      <c r="AH367">
        <v>0</v>
      </c>
      <c r="AI367">
        <v>1</v>
      </c>
      <c r="AJ367">
        <v>1</v>
      </c>
      <c r="AK367">
        <v>1</v>
      </c>
      <c r="AL367">
        <v>1</v>
      </c>
      <c r="AN367">
        <v>0</v>
      </c>
      <c r="AO367">
        <v>1</v>
      </c>
      <c r="AP367">
        <v>1</v>
      </c>
      <c r="AQ367">
        <v>0</v>
      </c>
      <c r="AR367">
        <v>0</v>
      </c>
      <c r="AS367" t="s">
        <v>3</v>
      </c>
      <c r="AT367">
        <v>1</v>
      </c>
      <c r="AU367" t="s">
        <v>37</v>
      </c>
      <c r="AV367">
        <v>1</v>
      </c>
      <c r="AW367">
        <v>2</v>
      </c>
      <c r="AX367">
        <v>45038662</v>
      </c>
      <c r="AY367">
        <v>1</v>
      </c>
      <c r="AZ367">
        <v>0</v>
      </c>
      <c r="BA367">
        <v>353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CX367">
        <f>Y367*Source!I392</f>
        <v>2.2999999999999998</v>
      </c>
      <c r="CY367">
        <f>AD367</f>
        <v>0</v>
      </c>
      <c r="CZ367">
        <f>AH367</f>
        <v>0</v>
      </c>
      <c r="DA367">
        <f>AL367</f>
        <v>1</v>
      </c>
      <c r="DB367">
        <v>0</v>
      </c>
    </row>
    <row r="368" spans="1:106" x14ac:dyDescent="0.2">
      <c r="A368">
        <f>ROW(Source!A392)</f>
        <v>392</v>
      </c>
      <c r="B368">
        <v>45037307</v>
      </c>
      <c r="C368">
        <v>45038229</v>
      </c>
      <c r="D368">
        <v>22674638</v>
      </c>
      <c r="E368">
        <v>22652947</v>
      </c>
      <c r="F368">
        <v>1</v>
      </c>
      <c r="G368">
        <v>22652947</v>
      </c>
      <c r="H368">
        <v>3</v>
      </c>
      <c r="I368" t="s">
        <v>786</v>
      </c>
      <c r="J368" t="s">
        <v>3</v>
      </c>
      <c r="K368" t="s">
        <v>787</v>
      </c>
      <c r="L368">
        <v>1348</v>
      </c>
      <c r="N368">
        <v>1009</v>
      </c>
      <c r="O368" t="s">
        <v>29</v>
      </c>
      <c r="P368" t="s">
        <v>29</v>
      </c>
      <c r="Q368">
        <v>1000</v>
      </c>
      <c r="W368">
        <v>0</v>
      </c>
      <c r="X368">
        <v>-783086922</v>
      </c>
      <c r="Y368">
        <v>1E-3</v>
      </c>
      <c r="AA368">
        <v>0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AI368">
        <v>1</v>
      </c>
      <c r="AJ368">
        <v>1</v>
      </c>
      <c r="AK368">
        <v>1</v>
      </c>
      <c r="AL368">
        <v>1</v>
      </c>
      <c r="AN368">
        <v>0</v>
      </c>
      <c r="AO368">
        <v>1</v>
      </c>
      <c r="AP368">
        <v>0</v>
      </c>
      <c r="AQ368">
        <v>0</v>
      </c>
      <c r="AR368">
        <v>0</v>
      </c>
      <c r="AS368" t="s">
        <v>3</v>
      </c>
      <c r="AT368">
        <v>1E-3</v>
      </c>
      <c r="AU368" t="s">
        <v>3</v>
      </c>
      <c r="AV368">
        <v>0</v>
      </c>
      <c r="AW368">
        <v>2</v>
      </c>
      <c r="AX368">
        <v>45038663</v>
      </c>
      <c r="AY368">
        <v>1</v>
      </c>
      <c r="AZ368">
        <v>0</v>
      </c>
      <c r="BA368">
        <v>354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CX368">
        <f>Y368*Source!I392</f>
        <v>2E-3</v>
      </c>
      <c r="CY368">
        <f>AA368</f>
        <v>0</v>
      </c>
      <c r="CZ368">
        <f>AE368</f>
        <v>0</v>
      </c>
      <c r="DA368">
        <f>AI368</f>
        <v>1</v>
      </c>
      <c r="DB368">
        <v>0</v>
      </c>
    </row>
    <row r="369" spans="1:106" x14ac:dyDescent="0.2">
      <c r="A369">
        <f>ROW(Source!A393)</f>
        <v>393</v>
      </c>
      <c r="B369">
        <v>45037306</v>
      </c>
      <c r="C369">
        <v>45038234</v>
      </c>
      <c r="D369">
        <v>22652952</v>
      </c>
      <c r="E369">
        <v>22652947</v>
      </c>
      <c r="F369">
        <v>1</v>
      </c>
      <c r="G369">
        <v>22652947</v>
      </c>
      <c r="H369">
        <v>1</v>
      </c>
      <c r="I369" t="s">
        <v>617</v>
      </c>
      <c r="J369" t="s">
        <v>3</v>
      </c>
      <c r="K369" t="s">
        <v>618</v>
      </c>
      <c r="L369">
        <v>1191</v>
      </c>
      <c r="N369">
        <v>1013</v>
      </c>
      <c r="O369" t="s">
        <v>619</v>
      </c>
      <c r="P369" t="s">
        <v>619</v>
      </c>
      <c r="Q369">
        <v>1</v>
      </c>
      <c r="W369">
        <v>0</v>
      </c>
      <c r="X369">
        <v>476480486</v>
      </c>
      <c r="Y369">
        <v>2.2999999999999998</v>
      </c>
      <c r="AA369">
        <v>0</v>
      </c>
      <c r="AB369">
        <v>0</v>
      </c>
      <c r="AC369">
        <v>0</v>
      </c>
      <c r="AD369">
        <v>0</v>
      </c>
      <c r="AE369">
        <v>0</v>
      </c>
      <c r="AF369">
        <v>0</v>
      </c>
      <c r="AG369">
        <v>0</v>
      </c>
      <c r="AH369">
        <v>0</v>
      </c>
      <c r="AI369">
        <v>1</v>
      </c>
      <c r="AJ369">
        <v>1</v>
      </c>
      <c r="AK369">
        <v>1</v>
      </c>
      <c r="AL369">
        <v>1</v>
      </c>
      <c r="AN369">
        <v>0</v>
      </c>
      <c r="AO369">
        <v>1</v>
      </c>
      <c r="AP369">
        <v>1</v>
      </c>
      <c r="AQ369">
        <v>0</v>
      </c>
      <c r="AR369">
        <v>0</v>
      </c>
      <c r="AS369" t="s">
        <v>3</v>
      </c>
      <c r="AT369">
        <v>2</v>
      </c>
      <c r="AU369" t="s">
        <v>37</v>
      </c>
      <c r="AV369">
        <v>1</v>
      </c>
      <c r="AW369">
        <v>2</v>
      </c>
      <c r="AX369">
        <v>45038664</v>
      </c>
      <c r="AY369">
        <v>1</v>
      </c>
      <c r="AZ369">
        <v>0</v>
      </c>
      <c r="BA369">
        <v>355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CX369">
        <f>Y369*Source!I393</f>
        <v>2.2999999999999998</v>
      </c>
      <c r="CY369">
        <f t="shared" ref="CY369:CY375" si="30">AD369</f>
        <v>0</v>
      </c>
      <c r="CZ369">
        <f t="shared" ref="CZ369:CZ375" si="31">AH369</f>
        <v>0</v>
      </c>
      <c r="DA369">
        <f t="shared" ref="DA369:DA375" si="32">AL369</f>
        <v>1</v>
      </c>
      <c r="DB369">
        <v>0</v>
      </c>
    </row>
    <row r="370" spans="1:106" x14ac:dyDescent="0.2">
      <c r="A370">
        <f>ROW(Source!A394)</f>
        <v>394</v>
      </c>
      <c r="B370">
        <v>45037307</v>
      </c>
      <c r="C370">
        <v>45038234</v>
      </c>
      <c r="D370">
        <v>22652952</v>
      </c>
      <c r="E370">
        <v>22652947</v>
      </c>
      <c r="F370">
        <v>1</v>
      </c>
      <c r="G370">
        <v>22652947</v>
      </c>
      <c r="H370">
        <v>1</v>
      </c>
      <c r="I370" t="s">
        <v>617</v>
      </c>
      <c r="J370" t="s">
        <v>3</v>
      </c>
      <c r="K370" t="s">
        <v>618</v>
      </c>
      <c r="L370">
        <v>1191</v>
      </c>
      <c r="N370">
        <v>1013</v>
      </c>
      <c r="O370" t="s">
        <v>619</v>
      </c>
      <c r="P370" t="s">
        <v>619</v>
      </c>
      <c r="Q370">
        <v>1</v>
      </c>
      <c r="W370">
        <v>0</v>
      </c>
      <c r="X370">
        <v>476480486</v>
      </c>
      <c r="Y370">
        <v>2.2999999999999998</v>
      </c>
      <c r="AA370">
        <v>0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AI370">
        <v>1</v>
      </c>
      <c r="AJ370">
        <v>1</v>
      </c>
      <c r="AK370">
        <v>1</v>
      </c>
      <c r="AL370">
        <v>1</v>
      </c>
      <c r="AN370">
        <v>0</v>
      </c>
      <c r="AO370">
        <v>1</v>
      </c>
      <c r="AP370">
        <v>1</v>
      </c>
      <c r="AQ370">
        <v>0</v>
      </c>
      <c r="AR370">
        <v>0</v>
      </c>
      <c r="AS370" t="s">
        <v>3</v>
      </c>
      <c r="AT370">
        <v>2</v>
      </c>
      <c r="AU370" t="s">
        <v>37</v>
      </c>
      <c r="AV370">
        <v>1</v>
      </c>
      <c r="AW370">
        <v>2</v>
      </c>
      <c r="AX370">
        <v>45038664</v>
      </c>
      <c r="AY370">
        <v>1</v>
      </c>
      <c r="AZ370">
        <v>0</v>
      </c>
      <c r="BA370">
        <v>356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CX370">
        <f>Y370*Source!I394</f>
        <v>2.2999999999999998</v>
      </c>
      <c r="CY370">
        <f t="shared" si="30"/>
        <v>0</v>
      </c>
      <c r="CZ370">
        <f t="shared" si="31"/>
        <v>0</v>
      </c>
      <c r="DA370">
        <f t="shared" si="32"/>
        <v>1</v>
      </c>
      <c r="DB370">
        <v>0</v>
      </c>
    </row>
    <row r="371" spans="1:106" x14ac:dyDescent="0.2">
      <c r="A371">
        <f>ROW(Source!A395)</f>
        <v>395</v>
      </c>
      <c r="B371">
        <v>45037306</v>
      </c>
      <c r="C371">
        <v>45038237</v>
      </c>
      <c r="D371">
        <v>22652952</v>
      </c>
      <c r="E371">
        <v>22652947</v>
      </c>
      <c r="F371">
        <v>1</v>
      </c>
      <c r="G371">
        <v>22652947</v>
      </c>
      <c r="H371">
        <v>1</v>
      </c>
      <c r="I371" t="s">
        <v>617</v>
      </c>
      <c r="J371" t="s">
        <v>3</v>
      </c>
      <c r="K371" t="s">
        <v>618</v>
      </c>
      <c r="L371">
        <v>1191</v>
      </c>
      <c r="N371">
        <v>1013</v>
      </c>
      <c r="O371" t="s">
        <v>619</v>
      </c>
      <c r="P371" t="s">
        <v>619</v>
      </c>
      <c r="Q371">
        <v>1</v>
      </c>
      <c r="W371">
        <v>0</v>
      </c>
      <c r="X371">
        <v>476480486</v>
      </c>
      <c r="Y371">
        <v>97.370499999999993</v>
      </c>
      <c r="AA371">
        <v>0</v>
      </c>
      <c r="AB371">
        <v>0</v>
      </c>
      <c r="AC371">
        <v>0</v>
      </c>
      <c r="AD371">
        <v>0</v>
      </c>
      <c r="AE371">
        <v>0</v>
      </c>
      <c r="AF371">
        <v>0</v>
      </c>
      <c r="AG371">
        <v>0</v>
      </c>
      <c r="AH371">
        <v>0</v>
      </c>
      <c r="AI371">
        <v>1</v>
      </c>
      <c r="AJ371">
        <v>1</v>
      </c>
      <c r="AK371">
        <v>1</v>
      </c>
      <c r="AL371">
        <v>1</v>
      </c>
      <c r="AN371">
        <v>0</v>
      </c>
      <c r="AO371">
        <v>1</v>
      </c>
      <c r="AP371">
        <v>1</v>
      </c>
      <c r="AQ371">
        <v>0</v>
      </c>
      <c r="AR371">
        <v>0</v>
      </c>
      <c r="AS371" t="s">
        <v>3</v>
      </c>
      <c r="AT371">
        <v>84.67</v>
      </c>
      <c r="AU371" t="s">
        <v>37</v>
      </c>
      <c r="AV371">
        <v>1</v>
      </c>
      <c r="AW371">
        <v>2</v>
      </c>
      <c r="AX371">
        <v>45038665</v>
      </c>
      <c r="AY371">
        <v>1</v>
      </c>
      <c r="AZ371">
        <v>0</v>
      </c>
      <c r="BA371">
        <v>357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CX371">
        <f>Y371*Source!I395</f>
        <v>0.97370499999999993</v>
      </c>
      <c r="CY371">
        <f t="shared" si="30"/>
        <v>0</v>
      </c>
      <c r="CZ371">
        <f t="shared" si="31"/>
        <v>0</v>
      </c>
      <c r="DA371">
        <f t="shared" si="32"/>
        <v>1</v>
      </c>
      <c r="DB371">
        <v>0</v>
      </c>
    </row>
    <row r="372" spans="1:106" x14ac:dyDescent="0.2">
      <c r="A372">
        <f>ROW(Source!A396)</f>
        <v>396</v>
      </c>
      <c r="B372">
        <v>45037307</v>
      </c>
      <c r="C372">
        <v>45038237</v>
      </c>
      <c r="D372">
        <v>22652952</v>
      </c>
      <c r="E372">
        <v>22652947</v>
      </c>
      <c r="F372">
        <v>1</v>
      </c>
      <c r="G372">
        <v>22652947</v>
      </c>
      <c r="H372">
        <v>1</v>
      </c>
      <c r="I372" t="s">
        <v>617</v>
      </c>
      <c r="J372" t="s">
        <v>3</v>
      </c>
      <c r="K372" t="s">
        <v>618</v>
      </c>
      <c r="L372">
        <v>1191</v>
      </c>
      <c r="N372">
        <v>1013</v>
      </c>
      <c r="O372" t="s">
        <v>619</v>
      </c>
      <c r="P372" t="s">
        <v>619</v>
      </c>
      <c r="Q372">
        <v>1</v>
      </c>
      <c r="W372">
        <v>0</v>
      </c>
      <c r="X372">
        <v>476480486</v>
      </c>
      <c r="Y372">
        <v>97.370499999999993</v>
      </c>
      <c r="AA372">
        <v>0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AI372">
        <v>1</v>
      </c>
      <c r="AJ372">
        <v>1</v>
      </c>
      <c r="AK372">
        <v>1</v>
      </c>
      <c r="AL372">
        <v>1</v>
      </c>
      <c r="AN372">
        <v>0</v>
      </c>
      <c r="AO372">
        <v>1</v>
      </c>
      <c r="AP372">
        <v>1</v>
      </c>
      <c r="AQ372">
        <v>0</v>
      </c>
      <c r="AR372">
        <v>0</v>
      </c>
      <c r="AS372" t="s">
        <v>3</v>
      </c>
      <c r="AT372">
        <v>84.67</v>
      </c>
      <c r="AU372" t="s">
        <v>37</v>
      </c>
      <c r="AV372">
        <v>1</v>
      </c>
      <c r="AW372">
        <v>2</v>
      </c>
      <c r="AX372">
        <v>45038665</v>
      </c>
      <c r="AY372">
        <v>1</v>
      </c>
      <c r="AZ372">
        <v>0</v>
      </c>
      <c r="BA372">
        <v>358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CX372">
        <f>Y372*Source!I396</f>
        <v>0.97370499999999993</v>
      </c>
      <c r="CY372">
        <f t="shared" si="30"/>
        <v>0</v>
      </c>
      <c r="CZ372">
        <f t="shared" si="31"/>
        <v>0</v>
      </c>
      <c r="DA372">
        <f t="shared" si="32"/>
        <v>1</v>
      </c>
      <c r="DB372">
        <v>0</v>
      </c>
    </row>
    <row r="373" spans="1:106" x14ac:dyDescent="0.2">
      <c r="A373">
        <f>ROW(Source!A397)</f>
        <v>397</v>
      </c>
      <c r="B373">
        <v>45037306</v>
      </c>
      <c r="C373">
        <v>45038240</v>
      </c>
      <c r="D373">
        <v>22652952</v>
      </c>
      <c r="E373">
        <v>22652947</v>
      </c>
      <c r="F373">
        <v>1</v>
      </c>
      <c r="G373">
        <v>22652947</v>
      </c>
      <c r="H373">
        <v>1</v>
      </c>
      <c r="I373" t="s">
        <v>617</v>
      </c>
      <c r="J373" t="s">
        <v>3</v>
      </c>
      <c r="K373" t="s">
        <v>618</v>
      </c>
      <c r="L373">
        <v>1191</v>
      </c>
      <c r="N373">
        <v>1013</v>
      </c>
      <c r="O373" t="s">
        <v>619</v>
      </c>
      <c r="P373" t="s">
        <v>619</v>
      </c>
      <c r="Q373">
        <v>1</v>
      </c>
      <c r="W373">
        <v>0</v>
      </c>
      <c r="X373">
        <v>476480486</v>
      </c>
      <c r="Y373">
        <v>0.59799999999999998</v>
      </c>
      <c r="AA373">
        <v>0</v>
      </c>
      <c r="AB373">
        <v>0</v>
      </c>
      <c r="AC373">
        <v>0</v>
      </c>
      <c r="AD373">
        <v>0</v>
      </c>
      <c r="AE373">
        <v>0</v>
      </c>
      <c r="AF373">
        <v>0</v>
      </c>
      <c r="AG373">
        <v>0</v>
      </c>
      <c r="AH373">
        <v>0</v>
      </c>
      <c r="AI373">
        <v>1</v>
      </c>
      <c r="AJ373">
        <v>1</v>
      </c>
      <c r="AK373">
        <v>1</v>
      </c>
      <c r="AL373">
        <v>1</v>
      </c>
      <c r="AN373">
        <v>0</v>
      </c>
      <c r="AO373">
        <v>1</v>
      </c>
      <c r="AP373">
        <v>1</v>
      </c>
      <c r="AQ373">
        <v>0</v>
      </c>
      <c r="AR373">
        <v>0</v>
      </c>
      <c r="AS373" t="s">
        <v>3</v>
      </c>
      <c r="AT373">
        <v>0.52</v>
      </c>
      <c r="AU373" t="s">
        <v>37</v>
      </c>
      <c r="AV373">
        <v>1</v>
      </c>
      <c r="AW373">
        <v>2</v>
      </c>
      <c r="AX373">
        <v>45038666</v>
      </c>
      <c r="AY373">
        <v>1</v>
      </c>
      <c r="AZ373">
        <v>0</v>
      </c>
      <c r="BA373">
        <v>359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CX373">
        <f>Y373*Source!I397</f>
        <v>0.59799999999999998</v>
      </c>
      <c r="CY373">
        <f t="shared" si="30"/>
        <v>0</v>
      </c>
      <c r="CZ373">
        <f t="shared" si="31"/>
        <v>0</v>
      </c>
      <c r="DA373">
        <f t="shared" si="32"/>
        <v>1</v>
      </c>
      <c r="DB373">
        <v>0</v>
      </c>
    </row>
    <row r="374" spans="1:106" x14ac:dyDescent="0.2">
      <c r="A374">
        <f>ROW(Source!A398)</f>
        <v>398</v>
      </c>
      <c r="B374">
        <v>45037307</v>
      </c>
      <c r="C374">
        <v>45038240</v>
      </c>
      <c r="D374">
        <v>22652952</v>
      </c>
      <c r="E374">
        <v>22652947</v>
      </c>
      <c r="F374">
        <v>1</v>
      </c>
      <c r="G374">
        <v>22652947</v>
      </c>
      <c r="H374">
        <v>1</v>
      </c>
      <c r="I374" t="s">
        <v>617</v>
      </c>
      <c r="J374" t="s">
        <v>3</v>
      </c>
      <c r="K374" t="s">
        <v>618</v>
      </c>
      <c r="L374">
        <v>1191</v>
      </c>
      <c r="N374">
        <v>1013</v>
      </c>
      <c r="O374" t="s">
        <v>619</v>
      </c>
      <c r="P374" t="s">
        <v>619</v>
      </c>
      <c r="Q374">
        <v>1</v>
      </c>
      <c r="W374">
        <v>0</v>
      </c>
      <c r="X374">
        <v>476480486</v>
      </c>
      <c r="Y374">
        <v>0.59799999999999998</v>
      </c>
      <c r="AA374">
        <v>0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AI374">
        <v>1</v>
      </c>
      <c r="AJ374">
        <v>1</v>
      </c>
      <c r="AK374">
        <v>1</v>
      </c>
      <c r="AL374">
        <v>1</v>
      </c>
      <c r="AN374">
        <v>0</v>
      </c>
      <c r="AO374">
        <v>1</v>
      </c>
      <c r="AP374">
        <v>1</v>
      </c>
      <c r="AQ374">
        <v>0</v>
      </c>
      <c r="AR374">
        <v>0</v>
      </c>
      <c r="AS374" t="s">
        <v>3</v>
      </c>
      <c r="AT374">
        <v>0.52</v>
      </c>
      <c r="AU374" t="s">
        <v>37</v>
      </c>
      <c r="AV374">
        <v>1</v>
      </c>
      <c r="AW374">
        <v>2</v>
      </c>
      <c r="AX374">
        <v>45038666</v>
      </c>
      <c r="AY374">
        <v>1</v>
      </c>
      <c r="AZ374">
        <v>0</v>
      </c>
      <c r="BA374">
        <v>360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CX374">
        <f>Y374*Source!I398</f>
        <v>0.59799999999999998</v>
      </c>
      <c r="CY374">
        <f t="shared" si="30"/>
        <v>0</v>
      </c>
      <c r="CZ374">
        <f t="shared" si="31"/>
        <v>0</v>
      </c>
      <c r="DA374">
        <f t="shared" si="32"/>
        <v>1</v>
      </c>
      <c r="DB374">
        <v>0</v>
      </c>
    </row>
    <row r="375" spans="1:106" x14ac:dyDescent="0.2">
      <c r="A375">
        <f>ROW(Source!A399)</f>
        <v>399</v>
      </c>
      <c r="B375">
        <v>45037306</v>
      </c>
      <c r="C375">
        <v>45038243</v>
      </c>
      <c r="D375">
        <v>22652952</v>
      </c>
      <c r="E375">
        <v>22652947</v>
      </c>
      <c r="F375">
        <v>1</v>
      </c>
      <c r="G375">
        <v>22652947</v>
      </c>
      <c r="H375">
        <v>1</v>
      </c>
      <c r="I375" t="s">
        <v>617</v>
      </c>
      <c r="J375" t="s">
        <v>3</v>
      </c>
      <c r="K375" t="s">
        <v>618</v>
      </c>
      <c r="L375">
        <v>1191</v>
      </c>
      <c r="N375">
        <v>1013</v>
      </c>
      <c r="O375" t="s">
        <v>619</v>
      </c>
      <c r="P375" t="s">
        <v>619</v>
      </c>
      <c r="Q375">
        <v>1</v>
      </c>
      <c r="W375">
        <v>0</v>
      </c>
      <c r="X375">
        <v>476480486</v>
      </c>
      <c r="Y375">
        <v>9.4299999999999979</v>
      </c>
      <c r="AA375">
        <v>0</v>
      </c>
      <c r="AB375">
        <v>0</v>
      </c>
      <c r="AC375">
        <v>0</v>
      </c>
      <c r="AD375">
        <v>0</v>
      </c>
      <c r="AE375">
        <v>0</v>
      </c>
      <c r="AF375">
        <v>0</v>
      </c>
      <c r="AG375">
        <v>0</v>
      </c>
      <c r="AH375">
        <v>0</v>
      </c>
      <c r="AI375">
        <v>1</v>
      </c>
      <c r="AJ375">
        <v>1</v>
      </c>
      <c r="AK375">
        <v>1</v>
      </c>
      <c r="AL375">
        <v>1</v>
      </c>
      <c r="AN375">
        <v>0</v>
      </c>
      <c r="AO375">
        <v>1</v>
      </c>
      <c r="AP375">
        <v>1</v>
      </c>
      <c r="AQ375">
        <v>0</v>
      </c>
      <c r="AR375">
        <v>0</v>
      </c>
      <c r="AS375" t="s">
        <v>3</v>
      </c>
      <c r="AT375">
        <v>8.1999999999999993</v>
      </c>
      <c r="AU375" t="s">
        <v>37</v>
      </c>
      <c r="AV375">
        <v>1</v>
      </c>
      <c r="AW375">
        <v>2</v>
      </c>
      <c r="AX375">
        <v>45038667</v>
      </c>
      <c r="AY375">
        <v>1</v>
      </c>
      <c r="AZ375">
        <v>0</v>
      </c>
      <c r="BA375">
        <v>361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CX375">
        <f>Y375*Source!I399</f>
        <v>9.4299999999999979</v>
      </c>
      <c r="CY375">
        <f t="shared" si="30"/>
        <v>0</v>
      </c>
      <c r="CZ375">
        <f t="shared" si="31"/>
        <v>0</v>
      </c>
      <c r="DA375">
        <f t="shared" si="32"/>
        <v>1</v>
      </c>
      <c r="DB375">
        <v>0</v>
      </c>
    </row>
    <row r="376" spans="1:106" x14ac:dyDescent="0.2">
      <c r="A376">
        <f>ROW(Source!A399)</f>
        <v>399</v>
      </c>
      <c r="B376">
        <v>45037306</v>
      </c>
      <c r="C376">
        <v>45038243</v>
      </c>
      <c r="D376">
        <v>0</v>
      </c>
      <c r="E376">
        <v>22652947</v>
      </c>
      <c r="F376">
        <v>1</v>
      </c>
      <c r="G376">
        <v>22652947</v>
      </c>
      <c r="H376">
        <v>3</v>
      </c>
      <c r="I376" t="s">
        <v>258</v>
      </c>
      <c r="J376" t="s">
        <v>3</v>
      </c>
      <c r="K376" t="s">
        <v>478</v>
      </c>
      <c r="L376">
        <v>1354</v>
      </c>
      <c r="N376">
        <v>1010</v>
      </c>
      <c r="O376" t="s">
        <v>304</v>
      </c>
      <c r="P376" t="s">
        <v>304</v>
      </c>
      <c r="Q376">
        <v>1</v>
      </c>
      <c r="W376">
        <v>0</v>
      </c>
      <c r="X376">
        <v>-1586814249</v>
      </c>
      <c r="Y376">
        <v>1</v>
      </c>
      <c r="AA376">
        <v>1268.68</v>
      </c>
      <c r="AB376">
        <v>0</v>
      </c>
      <c r="AC376">
        <v>0</v>
      </c>
      <c r="AD376">
        <v>0</v>
      </c>
      <c r="AE376">
        <v>1268.68</v>
      </c>
      <c r="AF376">
        <v>0</v>
      </c>
      <c r="AG376">
        <v>0</v>
      </c>
      <c r="AH376">
        <v>0</v>
      </c>
      <c r="AI376">
        <v>1</v>
      </c>
      <c r="AJ376">
        <v>1</v>
      </c>
      <c r="AK376">
        <v>1</v>
      </c>
      <c r="AL376">
        <v>1</v>
      </c>
      <c r="AN376">
        <v>0</v>
      </c>
      <c r="AO376">
        <v>0</v>
      </c>
      <c r="AP376">
        <v>0</v>
      </c>
      <c r="AQ376">
        <v>0</v>
      </c>
      <c r="AR376">
        <v>0</v>
      </c>
      <c r="AS376" t="s">
        <v>3</v>
      </c>
      <c r="AT376">
        <v>1</v>
      </c>
      <c r="AU376" t="s">
        <v>3</v>
      </c>
      <c r="AV376">
        <v>0</v>
      </c>
      <c r="AW376">
        <v>1</v>
      </c>
      <c r="AX376">
        <v>-1</v>
      </c>
      <c r="AY376">
        <v>0</v>
      </c>
      <c r="AZ376">
        <v>0</v>
      </c>
      <c r="BA376" t="s">
        <v>3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CX376">
        <f>Y376*Source!I399</f>
        <v>1</v>
      </c>
      <c r="CY376">
        <f>AA376</f>
        <v>1268.68</v>
      </c>
      <c r="CZ376">
        <f>AE376</f>
        <v>1268.68</v>
      </c>
      <c r="DA376">
        <f>AI376</f>
        <v>1</v>
      </c>
      <c r="DB376">
        <v>0</v>
      </c>
    </row>
    <row r="377" spans="1:106" x14ac:dyDescent="0.2">
      <c r="A377">
        <f>ROW(Source!A400)</f>
        <v>400</v>
      </c>
      <c r="B377">
        <v>45037307</v>
      </c>
      <c r="C377">
        <v>45038243</v>
      </c>
      <c r="D377">
        <v>22652952</v>
      </c>
      <c r="E377">
        <v>22652947</v>
      </c>
      <c r="F377">
        <v>1</v>
      </c>
      <c r="G377">
        <v>22652947</v>
      </c>
      <c r="H377">
        <v>1</v>
      </c>
      <c r="I377" t="s">
        <v>617</v>
      </c>
      <c r="J377" t="s">
        <v>3</v>
      </c>
      <c r="K377" t="s">
        <v>618</v>
      </c>
      <c r="L377">
        <v>1191</v>
      </c>
      <c r="N377">
        <v>1013</v>
      </c>
      <c r="O377" t="s">
        <v>619</v>
      </c>
      <c r="P377" t="s">
        <v>619</v>
      </c>
      <c r="Q377">
        <v>1</v>
      </c>
      <c r="W377">
        <v>0</v>
      </c>
      <c r="X377">
        <v>476480486</v>
      </c>
      <c r="Y377">
        <v>9.4299999999999979</v>
      </c>
      <c r="AA377">
        <v>0</v>
      </c>
      <c r="AB377">
        <v>0</v>
      </c>
      <c r="AC377">
        <v>0</v>
      </c>
      <c r="AD377">
        <v>0</v>
      </c>
      <c r="AE377">
        <v>0</v>
      </c>
      <c r="AF377">
        <v>0</v>
      </c>
      <c r="AG377">
        <v>0</v>
      </c>
      <c r="AH377">
        <v>0</v>
      </c>
      <c r="AI377">
        <v>1</v>
      </c>
      <c r="AJ377">
        <v>1</v>
      </c>
      <c r="AK377">
        <v>1</v>
      </c>
      <c r="AL377">
        <v>1</v>
      </c>
      <c r="AN377">
        <v>0</v>
      </c>
      <c r="AO377">
        <v>1</v>
      </c>
      <c r="AP377">
        <v>1</v>
      </c>
      <c r="AQ377">
        <v>0</v>
      </c>
      <c r="AR377">
        <v>0</v>
      </c>
      <c r="AS377" t="s">
        <v>3</v>
      </c>
      <c r="AT377">
        <v>8.1999999999999993</v>
      </c>
      <c r="AU377" t="s">
        <v>37</v>
      </c>
      <c r="AV377">
        <v>1</v>
      </c>
      <c r="AW377">
        <v>2</v>
      </c>
      <c r="AX377">
        <v>45038667</v>
      </c>
      <c r="AY377">
        <v>1</v>
      </c>
      <c r="AZ377">
        <v>0</v>
      </c>
      <c r="BA377">
        <v>362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CX377">
        <f>Y377*Source!I400</f>
        <v>9.4299999999999979</v>
      </c>
      <c r="CY377">
        <f>AD377</f>
        <v>0</v>
      </c>
      <c r="CZ377">
        <f>AH377</f>
        <v>0</v>
      </c>
      <c r="DA377">
        <f>AL377</f>
        <v>1</v>
      </c>
      <c r="DB377">
        <v>0</v>
      </c>
    </row>
    <row r="378" spans="1:106" x14ac:dyDescent="0.2">
      <c r="A378">
        <f>ROW(Source!A400)</f>
        <v>400</v>
      </c>
      <c r="B378">
        <v>45037307</v>
      </c>
      <c r="C378">
        <v>45038243</v>
      </c>
      <c r="D378">
        <v>0</v>
      </c>
      <c r="E378">
        <v>22652947</v>
      </c>
      <c r="F378">
        <v>1</v>
      </c>
      <c r="G378">
        <v>22652947</v>
      </c>
      <c r="H378">
        <v>3</v>
      </c>
      <c r="I378" t="s">
        <v>258</v>
      </c>
      <c r="J378" t="s">
        <v>3</v>
      </c>
      <c r="K378" t="s">
        <v>478</v>
      </c>
      <c r="L378">
        <v>1354</v>
      </c>
      <c r="N378">
        <v>1010</v>
      </c>
      <c r="O378" t="s">
        <v>304</v>
      </c>
      <c r="P378" t="s">
        <v>304</v>
      </c>
      <c r="Q378">
        <v>1</v>
      </c>
      <c r="W378">
        <v>0</v>
      </c>
      <c r="X378">
        <v>-1586814249</v>
      </c>
      <c r="Y378">
        <v>1</v>
      </c>
      <c r="AA378">
        <v>6635.2</v>
      </c>
      <c r="AB378">
        <v>0</v>
      </c>
      <c r="AC378">
        <v>0</v>
      </c>
      <c r="AD378">
        <v>0</v>
      </c>
      <c r="AE378">
        <v>1268.68</v>
      </c>
      <c r="AF378">
        <v>0</v>
      </c>
      <c r="AG378">
        <v>0</v>
      </c>
      <c r="AH378">
        <v>0</v>
      </c>
      <c r="AI378">
        <v>5.23</v>
      </c>
      <c r="AJ378">
        <v>1</v>
      </c>
      <c r="AK378">
        <v>1</v>
      </c>
      <c r="AL378">
        <v>1</v>
      </c>
      <c r="AN378">
        <v>0</v>
      </c>
      <c r="AO378">
        <v>0</v>
      </c>
      <c r="AP378">
        <v>0</v>
      </c>
      <c r="AQ378">
        <v>0</v>
      </c>
      <c r="AR378">
        <v>0</v>
      </c>
      <c r="AS378" t="s">
        <v>3</v>
      </c>
      <c r="AT378">
        <v>1</v>
      </c>
      <c r="AU378" t="s">
        <v>3</v>
      </c>
      <c r="AV378">
        <v>0</v>
      </c>
      <c r="AW378">
        <v>1</v>
      </c>
      <c r="AX378">
        <v>-1</v>
      </c>
      <c r="AY378">
        <v>0</v>
      </c>
      <c r="AZ378">
        <v>0</v>
      </c>
      <c r="BA378" t="s">
        <v>3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CX378">
        <f>Y378*Source!I400</f>
        <v>1</v>
      </c>
      <c r="CY378">
        <f>AA378</f>
        <v>6635.2</v>
      </c>
      <c r="CZ378">
        <f>AE378</f>
        <v>1268.68</v>
      </c>
      <c r="DA378">
        <f>AI378</f>
        <v>5.23</v>
      </c>
      <c r="DB378">
        <v>0</v>
      </c>
    </row>
    <row r="379" spans="1:106" x14ac:dyDescent="0.2">
      <c r="A379">
        <f>ROW(Source!A403)</f>
        <v>403</v>
      </c>
      <c r="B379">
        <v>45037306</v>
      </c>
      <c r="C379">
        <v>45038248</v>
      </c>
      <c r="D379">
        <v>22652952</v>
      </c>
      <c r="E379">
        <v>22652947</v>
      </c>
      <c r="F379">
        <v>1</v>
      </c>
      <c r="G379">
        <v>22652947</v>
      </c>
      <c r="H379">
        <v>1</v>
      </c>
      <c r="I379" t="s">
        <v>617</v>
      </c>
      <c r="J379" t="s">
        <v>3</v>
      </c>
      <c r="K379" t="s">
        <v>618</v>
      </c>
      <c r="L379">
        <v>1191</v>
      </c>
      <c r="N379">
        <v>1013</v>
      </c>
      <c r="O379" t="s">
        <v>619</v>
      </c>
      <c r="P379" t="s">
        <v>619</v>
      </c>
      <c r="Q379">
        <v>1</v>
      </c>
      <c r="W379">
        <v>0</v>
      </c>
      <c r="X379">
        <v>476480486</v>
      </c>
      <c r="Y379">
        <v>16.525499999999997</v>
      </c>
      <c r="AA379">
        <v>0</v>
      </c>
      <c r="AB379">
        <v>0</v>
      </c>
      <c r="AC379">
        <v>0</v>
      </c>
      <c r="AD379">
        <v>0</v>
      </c>
      <c r="AE379">
        <v>0</v>
      </c>
      <c r="AF379">
        <v>0</v>
      </c>
      <c r="AG379">
        <v>0</v>
      </c>
      <c r="AH379">
        <v>0</v>
      </c>
      <c r="AI379">
        <v>1</v>
      </c>
      <c r="AJ379">
        <v>1</v>
      </c>
      <c r="AK379">
        <v>1</v>
      </c>
      <c r="AL379">
        <v>1</v>
      </c>
      <c r="AN379">
        <v>0</v>
      </c>
      <c r="AO379">
        <v>1</v>
      </c>
      <c r="AP379">
        <v>1</v>
      </c>
      <c r="AQ379">
        <v>0</v>
      </c>
      <c r="AR379">
        <v>0</v>
      </c>
      <c r="AS379" t="s">
        <v>3</v>
      </c>
      <c r="AT379">
        <v>14.37</v>
      </c>
      <c r="AU379" t="s">
        <v>37</v>
      </c>
      <c r="AV379">
        <v>1</v>
      </c>
      <c r="AW379">
        <v>2</v>
      </c>
      <c r="AX379">
        <v>45038668</v>
      </c>
      <c r="AY379">
        <v>1</v>
      </c>
      <c r="AZ379">
        <v>0</v>
      </c>
      <c r="BA379">
        <v>363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CX379">
        <f>Y379*Source!I403</f>
        <v>0.82627499999999987</v>
      </c>
      <c r="CY379">
        <f>AD379</f>
        <v>0</v>
      </c>
      <c r="CZ379">
        <f>AH379</f>
        <v>0</v>
      </c>
      <c r="DA379">
        <f>AL379</f>
        <v>1</v>
      </c>
      <c r="DB379">
        <v>0</v>
      </c>
    </row>
    <row r="380" spans="1:106" x14ac:dyDescent="0.2">
      <c r="A380">
        <f>ROW(Source!A403)</f>
        <v>403</v>
      </c>
      <c r="B380">
        <v>45037306</v>
      </c>
      <c r="C380">
        <v>45038248</v>
      </c>
      <c r="D380">
        <v>22706506</v>
      </c>
      <c r="E380">
        <v>1</v>
      </c>
      <c r="F380">
        <v>1</v>
      </c>
      <c r="G380">
        <v>22652947</v>
      </c>
      <c r="H380">
        <v>3</v>
      </c>
      <c r="I380" t="s">
        <v>488</v>
      </c>
      <c r="J380" t="s">
        <v>490</v>
      </c>
      <c r="K380" t="s">
        <v>489</v>
      </c>
      <c r="L380">
        <v>1301</v>
      </c>
      <c r="N380">
        <v>1003</v>
      </c>
      <c r="O380" t="s">
        <v>364</v>
      </c>
      <c r="P380" t="s">
        <v>364</v>
      </c>
      <c r="Q380">
        <v>1</v>
      </c>
      <c r="W380">
        <v>0</v>
      </c>
      <c r="X380">
        <v>1807865182</v>
      </c>
      <c r="Y380">
        <v>102</v>
      </c>
      <c r="AA380">
        <v>2.67</v>
      </c>
      <c r="AB380">
        <v>0</v>
      </c>
      <c r="AC380">
        <v>0</v>
      </c>
      <c r="AD380">
        <v>0</v>
      </c>
      <c r="AE380">
        <v>2.67</v>
      </c>
      <c r="AF380">
        <v>0</v>
      </c>
      <c r="AG380">
        <v>0</v>
      </c>
      <c r="AH380">
        <v>0</v>
      </c>
      <c r="AI380">
        <v>1</v>
      </c>
      <c r="AJ380">
        <v>1</v>
      </c>
      <c r="AK380">
        <v>1</v>
      </c>
      <c r="AL380">
        <v>1</v>
      </c>
      <c r="AN380">
        <v>0</v>
      </c>
      <c r="AO380">
        <v>0</v>
      </c>
      <c r="AP380">
        <v>0</v>
      </c>
      <c r="AQ380">
        <v>0</v>
      </c>
      <c r="AR380">
        <v>0</v>
      </c>
      <c r="AS380" t="s">
        <v>3</v>
      </c>
      <c r="AT380">
        <v>102</v>
      </c>
      <c r="AU380" t="s">
        <v>3</v>
      </c>
      <c r="AV380">
        <v>0</v>
      </c>
      <c r="AW380">
        <v>1</v>
      </c>
      <c r="AX380">
        <v>-1</v>
      </c>
      <c r="AY380">
        <v>0</v>
      </c>
      <c r="AZ380">
        <v>0</v>
      </c>
      <c r="BA380" t="s">
        <v>3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CX380">
        <f>Y380*Source!I403</f>
        <v>5.1000000000000005</v>
      </c>
      <c r="CY380">
        <f>AA380</f>
        <v>2.67</v>
      </c>
      <c r="CZ380">
        <f>AE380</f>
        <v>2.67</v>
      </c>
      <c r="DA380">
        <f>AI380</f>
        <v>1</v>
      </c>
      <c r="DB380">
        <v>0</v>
      </c>
    </row>
    <row r="381" spans="1:106" x14ac:dyDescent="0.2">
      <c r="A381">
        <f>ROW(Source!A403)</f>
        <v>403</v>
      </c>
      <c r="B381">
        <v>45037306</v>
      </c>
      <c r="C381">
        <v>45038248</v>
      </c>
      <c r="D381">
        <v>22714617</v>
      </c>
      <c r="E381">
        <v>1</v>
      </c>
      <c r="F381">
        <v>1</v>
      </c>
      <c r="G381">
        <v>22652947</v>
      </c>
      <c r="H381">
        <v>3</v>
      </c>
      <c r="I381" t="s">
        <v>492</v>
      </c>
      <c r="J381" t="s">
        <v>494</v>
      </c>
      <c r="K381" t="s">
        <v>493</v>
      </c>
      <c r="L381">
        <v>1355</v>
      </c>
      <c r="N381">
        <v>1010</v>
      </c>
      <c r="O381" t="s">
        <v>463</v>
      </c>
      <c r="P381" t="s">
        <v>463</v>
      </c>
      <c r="Q381">
        <v>100</v>
      </c>
      <c r="W381">
        <v>0</v>
      </c>
      <c r="X381">
        <v>-975574283</v>
      </c>
      <c r="Y381">
        <v>1</v>
      </c>
      <c r="AA381">
        <v>135.68</v>
      </c>
      <c r="AB381">
        <v>0</v>
      </c>
      <c r="AC381">
        <v>0</v>
      </c>
      <c r="AD381">
        <v>0</v>
      </c>
      <c r="AE381">
        <v>135.68</v>
      </c>
      <c r="AF381">
        <v>0</v>
      </c>
      <c r="AG381">
        <v>0</v>
      </c>
      <c r="AH381">
        <v>0</v>
      </c>
      <c r="AI381">
        <v>1</v>
      </c>
      <c r="AJ381">
        <v>1</v>
      </c>
      <c r="AK381">
        <v>1</v>
      </c>
      <c r="AL381">
        <v>1</v>
      </c>
      <c r="AN381">
        <v>0</v>
      </c>
      <c r="AO381">
        <v>0</v>
      </c>
      <c r="AP381">
        <v>0</v>
      </c>
      <c r="AQ381">
        <v>0</v>
      </c>
      <c r="AR381">
        <v>0</v>
      </c>
      <c r="AS381" t="s">
        <v>3</v>
      </c>
      <c r="AT381">
        <v>1</v>
      </c>
      <c r="AU381" t="s">
        <v>3</v>
      </c>
      <c r="AV381">
        <v>0</v>
      </c>
      <c r="AW381">
        <v>1</v>
      </c>
      <c r="AX381">
        <v>-1</v>
      </c>
      <c r="AY381">
        <v>0</v>
      </c>
      <c r="AZ381">
        <v>0</v>
      </c>
      <c r="BA381" t="s">
        <v>3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CX381">
        <f>Y381*Source!I403</f>
        <v>0.05</v>
      </c>
      <c r="CY381">
        <f>AA381</f>
        <v>135.68</v>
      </c>
      <c r="CZ381">
        <f>AE381</f>
        <v>135.68</v>
      </c>
      <c r="DA381">
        <f>AI381</f>
        <v>1</v>
      </c>
      <c r="DB381">
        <v>0</v>
      </c>
    </row>
    <row r="382" spans="1:106" x14ac:dyDescent="0.2">
      <c r="A382">
        <f>ROW(Source!A404)</f>
        <v>404</v>
      </c>
      <c r="B382">
        <v>45037307</v>
      </c>
      <c r="C382">
        <v>45038248</v>
      </c>
      <c r="D382">
        <v>22652952</v>
      </c>
      <c r="E382">
        <v>22652947</v>
      </c>
      <c r="F382">
        <v>1</v>
      </c>
      <c r="G382">
        <v>22652947</v>
      </c>
      <c r="H382">
        <v>1</v>
      </c>
      <c r="I382" t="s">
        <v>617</v>
      </c>
      <c r="J382" t="s">
        <v>3</v>
      </c>
      <c r="K382" t="s">
        <v>618</v>
      </c>
      <c r="L382">
        <v>1191</v>
      </c>
      <c r="N382">
        <v>1013</v>
      </c>
      <c r="O382" t="s">
        <v>619</v>
      </c>
      <c r="P382" t="s">
        <v>619</v>
      </c>
      <c r="Q382">
        <v>1</v>
      </c>
      <c r="W382">
        <v>0</v>
      </c>
      <c r="X382">
        <v>476480486</v>
      </c>
      <c r="Y382">
        <v>16.525499999999997</v>
      </c>
      <c r="AA382">
        <v>0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I382">
        <v>1</v>
      </c>
      <c r="AJ382">
        <v>1</v>
      </c>
      <c r="AK382">
        <v>1</v>
      </c>
      <c r="AL382">
        <v>1</v>
      </c>
      <c r="AN382">
        <v>0</v>
      </c>
      <c r="AO382">
        <v>1</v>
      </c>
      <c r="AP382">
        <v>1</v>
      </c>
      <c r="AQ382">
        <v>0</v>
      </c>
      <c r="AR382">
        <v>0</v>
      </c>
      <c r="AS382" t="s">
        <v>3</v>
      </c>
      <c r="AT382">
        <v>14.37</v>
      </c>
      <c r="AU382" t="s">
        <v>37</v>
      </c>
      <c r="AV382">
        <v>1</v>
      </c>
      <c r="AW382">
        <v>2</v>
      </c>
      <c r="AX382">
        <v>45038668</v>
      </c>
      <c r="AY382">
        <v>1</v>
      </c>
      <c r="AZ382">
        <v>0</v>
      </c>
      <c r="BA382">
        <v>367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CX382">
        <f>Y382*Source!I404</f>
        <v>0.82627499999999987</v>
      </c>
      <c r="CY382">
        <f>AD382</f>
        <v>0</v>
      </c>
      <c r="CZ382">
        <f>AH382</f>
        <v>0</v>
      </c>
      <c r="DA382">
        <f>AL382</f>
        <v>1</v>
      </c>
      <c r="DB382">
        <v>0</v>
      </c>
    </row>
    <row r="383" spans="1:106" x14ac:dyDescent="0.2">
      <c r="A383">
        <f>ROW(Source!A404)</f>
        <v>404</v>
      </c>
      <c r="B383">
        <v>45037307</v>
      </c>
      <c r="C383">
        <v>45038248</v>
      </c>
      <c r="D383">
        <v>22706506</v>
      </c>
      <c r="E383">
        <v>1</v>
      </c>
      <c r="F383">
        <v>1</v>
      </c>
      <c r="G383">
        <v>22652947</v>
      </c>
      <c r="H383">
        <v>3</v>
      </c>
      <c r="I383" t="s">
        <v>488</v>
      </c>
      <c r="J383" t="s">
        <v>490</v>
      </c>
      <c r="K383" t="s">
        <v>489</v>
      </c>
      <c r="L383">
        <v>1301</v>
      </c>
      <c r="N383">
        <v>1003</v>
      </c>
      <c r="O383" t="s">
        <v>364</v>
      </c>
      <c r="P383" t="s">
        <v>364</v>
      </c>
      <c r="Q383">
        <v>1</v>
      </c>
      <c r="W383">
        <v>0</v>
      </c>
      <c r="X383">
        <v>1807865182</v>
      </c>
      <c r="Y383">
        <v>102</v>
      </c>
      <c r="AA383">
        <v>16.739999999999998</v>
      </c>
      <c r="AB383">
        <v>0</v>
      </c>
      <c r="AC383">
        <v>0</v>
      </c>
      <c r="AD383">
        <v>0</v>
      </c>
      <c r="AE383">
        <v>2.67</v>
      </c>
      <c r="AF383">
        <v>0</v>
      </c>
      <c r="AG383">
        <v>0</v>
      </c>
      <c r="AH383">
        <v>0</v>
      </c>
      <c r="AI383">
        <v>6.27</v>
      </c>
      <c r="AJ383">
        <v>1</v>
      </c>
      <c r="AK383">
        <v>1</v>
      </c>
      <c r="AL383">
        <v>1</v>
      </c>
      <c r="AN383">
        <v>0</v>
      </c>
      <c r="AO383">
        <v>0</v>
      </c>
      <c r="AP383">
        <v>0</v>
      </c>
      <c r="AQ383">
        <v>0</v>
      </c>
      <c r="AR383">
        <v>0</v>
      </c>
      <c r="AS383" t="s">
        <v>3</v>
      </c>
      <c r="AT383">
        <v>102</v>
      </c>
      <c r="AU383" t="s">
        <v>3</v>
      </c>
      <c r="AV383">
        <v>0</v>
      </c>
      <c r="AW383">
        <v>1</v>
      </c>
      <c r="AX383">
        <v>-1</v>
      </c>
      <c r="AY383">
        <v>0</v>
      </c>
      <c r="AZ383">
        <v>0</v>
      </c>
      <c r="BA383" t="s">
        <v>3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CX383">
        <f>Y383*Source!I404</f>
        <v>5.1000000000000005</v>
      </c>
      <c r="CY383">
        <f>AA383</f>
        <v>16.739999999999998</v>
      </c>
      <c r="CZ383">
        <f>AE383</f>
        <v>2.67</v>
      </c>
      <c r="DA383">
        <f>AI383</f>
        <v>6.27</v>
      </c>
      <c r="DB383">
        <v>0</v>
      </c>
    </row>
    <row r="384" spans="1:106" x14ac:dyDescent="0.2">
      <c r="A384">
        <f>ROW(Source!A404)</f>
        <v>404</v>
      </c>
      <c r="B384">
        <v>45037307</v>
      </c>
      <c r="C384">
        <v>45038248</v>
      </c>
      <c r="D384">
        <v>22714617</v>
      </c>
      <c r="E384">
        <v>1</v>
      </c>
      <c r="F384">
        <v>1</v>
      </c>
      <c r="G384">
        <v>22652947</v>
      </c>
      <c r="H384">
        <v>3</v>
      </c>
      <c r="I384" t="s">
        <v>492</v>
      </c>
      <c r="J384" t="s">
        <v>494</v>
      </c>
      <c r="K384" t="s">
        <v>493</v>
      </c>
      <c r="L384">
        <v>1355</v>
      </c>
      <c r="N384">
        <v>1010</v>
      </c>
      <c r="O384" t="s">
        <v>463</v>
      </c>
      <c r="P384" t="s">
        <v>463</v>
      </c>
      <c r="Q384">
        <v>100</v>
      </c>
      <c r="W384">
        <v>0</v>
      </c>
      <c r="X384">
        <v>-975574283</v>
      </c>
      <c r="Y384">
        <v>1</v>
      </c>
      <c r="AA384">
        <v>172.31</v>
      </c>
      <c r="AB384">
        <v>0</v>
      </c>
      <c r="AC384">
        <v>0</v>
      </c>
      <c r="AD384">
        <v>0</v>
      </c>
      <c r="AE384">
        <v>135.68</v>
      </c>
      <c r="AF384">
        <v>0</v>
      </c>
      <c r="AG384">
        <v>0</v>
      </c>
      <c r="AH384">
        <v>0</v>
      </c>
      <c r="AI384">
        <v>1.27</v>
      </c>
      <c r="AJ384">
        <v>1</v>
      </c>
      <c r="AK384">
        <v>1</v>
      </c>
      <c r="AL384">
        <v>1</v>
      </c>
      <c r="AN384">
        <v>0</v>
      </c>
      <c r="AO384">
        <v>0</v>
      </c>
      <c r="AP384">
        <v>0</v>
      </c>
      <c r="AQ384">
        <v>0</v>
      </c>
      <c r="AR384">
        <v>0</v>
      </c>
      <c r="AS384" t="s">
        <v>3</v>
      </c>
      <c r="AT384">
        <v>1</v>
      </c>
      <c r="AU384" t="s">
        <v>3</v>
      </c>
      <c r="AV384">
        <v>0</v>
      </c>
      <c r="AW384">
        <v>1</v>
      </c>
      <c r="AX384">
        <v>-1</v>
      </c>
      <c r="AY384">
        <v>0</v>
      </c>
      <c r="AZ384">
        <v>0</v>
      </c>
      <c r="BA384" t="s">
        <v>3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CX384">
        <f>Y384*Source!I404</f>
        <v>0.05</v>
      </c>
      <c r="CY384">
        <f>AA384</f>
        <v>172.31</v>
      </c>
      <c r="CZ384">
        <f>AE384</f>
        <v>135.68</v>
      </c>
      <c r="DA384">
        <f>AI384</f>
        <v>1.27</v>
      </c>
      <c r="DB384">
        <v>0</v>
      </c>
    </row>
    <row r="385" spans="1:106" x14ac:dyDescent="0.2">
      <c r="A385">
        <f>ROW(Source!A409)</f>
        <v>409</v>
      </c>
      <c r="B385">
        <v>45037306</v>
      </c>
      <c r="C385">
        <v>45038258</v>
      </c>
      <c r="D385">
        <v>22652952</v>
      </c>
      <c r="E385">
        <v>22652947</v>
      </c>
      <c r="F385">
        <v>1</v>
      </c>
      <c r="G385">
        <v>22652947</v>
      </c>
      <c r="H385">
        <v>1</v>
      </c>
      <c r="I385" t="s">
        <v>617</v>
      </c>
      <c r="J385" t="s">
        <v>3</v>
      </c>
      <c r="K385" t="s">
        <v>618</v>
      </c>
      <c r="L385">
        <v>1191</v>
      </c>
      <c r="N385">
        <v>1013</v>
      </c>
      <c r="O385" t="s">
        <v>619</v>
      </c>
      <c r="P385" t="s">
        <v>619</v>
      </c>
      <c r="Q385">
        <v>1</v>
      </c>
      <c r="W385">
        <v>0</v>
      </c>
      <c r="X385">
        <v>476480486</v>
      </c>
      <c r="Y385">
        <v>5.9225000000000003</v>
      </c>
      <c r="AA385">
        <v>0</v>
      </c>
      <c r="AB385">
        <v>0</v>
      </c>
      <c r="AC385">
        <v>0</v>
      </c>
      <c r="AD385">
        <v>0</v>
      </c>
      <c r="AE385">
        <v>0</v>
      </c>
      <c r="AF385">
        <v>0</v>
      </c>
      <c r="AG385">
        <v>0</v>
      </c>
      <c r="AH385">
        <v>0</v>
      </c>
      <c r="AI385">
        <v>1</v>
      </c>
      <c r="AJ385">
        <v>1</v>
      </c>
      <c r="AK385">
        <v>1</v>
      </c>
      <c r="AL385">
        <v>1</v>
      </c>
      <c r="AN385">
        <v>0</v>
      </c>
      <c r="AO385">
        <v>1</v>
      </c>
      <c r="AP385">
        <v>1</v>
      </c>
      <c r="AQ385">
        <v>0</v>
      </c>
      <c r="AR385">
        <v>0</v>
      </c>
      <c r="AS385" t="s">
        <v>3</v>
      </c>
      <c r="AT385">
        <v>5.15</v>
      </c>
      <c r="AU385" t="s">
        <v>37</v>
      </c>
      <c r="AV385">
        <v>1</v>
      </c>
      <c r="AW385">
        <v>2</v>
      </c>
      <c r="AX385">
        <v>45038672</v>
      </c>
      <c r="AY385">
        <v>1</v>
      </c>
      <c r="AZ385">
        <v>0</v>
      </c>
      <c r="BA385">
        <v>371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CX385">
        <f>Y385*Source!I409</f>
        <v>0.29612500000000003</v>
      </c>
      <c r="CY385">
        <f>AD385</f>
        <v>0</v>
      </c>
      <c r="CZ385">
        <f>AH385</f>
        <v>0</v>
      </c>
      <c r="DA385">
        <f>AL385</f>
        <v>1</v>
      </c>
      <c r="DB385">
        <v>0</v>
      </c>
    </row>
    <row r="386" spans="1:106" x14ac:dyDescent="0.2">
      <c r="A386">
        <f>ROW(Source!A409)</f>
        <v>409</v>
      </c>
      <c r="B386">
        <v>45037306</v>
      </c>
      <c r="C386">
        <v>45038258</v>
      </c>
      <c r="D386">
        <v>0</v>
      </c>
      <c r="E386">
        <v>22652947</v>
      </c>
      <c r="F386">
        <v>1</v>
      </c>
      <c r="G386">
        <v>22652947</v>
      </c>
      <c r="H386">
        <v>3</v>
      </c>
      <c r="I386" t="s">
        <v>258</v>
      </c>
      <c r="J386" t="s">
        <v>504</v>
      </c>
      <c r="K386" t="s">
        <v>502</v>
      </c>
      <c r="L386">
        <v>1303</v>
      </c>
      <c r="N386">
        <v>1003</v>
      </c>
      <c r="O386" t="s">
        <v>503</v>
      </c>
      <c r="P386" t="s">
        <v>503</v>
      </c>
      <c r="Q386">
        <v>1000</v>
      </c>
      <c r="W386">
        <v>0</v>
      </c>
      <c r="X386">
        <v>-649410947</v>
      </c>
      <c r="Y386">
        <v>0.10199999999999999</v>
      </c>
      <c r="AA386">
        <v>15582.46</v>
      </c>
      <c r="AB386">
        <v>0</v>
      </c>
      <c r="AC386">
        <v>0</v>
      </c>
      <c r="AD386">
        <v>0</v>
      </c>
      <c r="AE386">
        <v>15582.460000000001</v>
      </c>
      <c r="AF386">
        <v>0</v>
      </c>
      <c r="AG386">
        <v>0</v>
      </c>
      <c r="AH386">
        <v>0</v>
      </c>
      <c r="AI386">
        <v>1</v>
      </c>
      <c r="AJ386">
        <v>1</v>
      </c>
      <c r="AK386">
        <v>1</v>
      </c>
      <c r="AL386">
        <v>1</v>
      </c>
      <c r="AN386">
        <v>0</v>
      </c>
      <c r="AO386">
        <v>0</v>
      </c>
      <c r="AP386">
        <v>0</v>
      </c>
      <c r="AQ386">
        <v>0</v>
      </c>
      <c r="AR386">
        <v>0</v>
      </c>
      <c r="AS386" t="s">
        <v>3</v>
      </c>
      <c r="AT386">
        <v>0.10199999999999999</v>
      </c>
      <c r="AU386" t="s">
        <v>3</v>
      </c>
      <c r="AV386">
        <v>0</v>
      </c>
      <c r="AW386">
        <v>1</v>
      </c>
      <c r="AX386">
        <v>-1</v>
      </c>
      <c r="AY386">
        <v>0</v>
      </c>
      <c r="AZ386">
        <v>0</v>
      </c>
      <c r="BA386" t="s">
        <v>3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CX386">
        <f>Y386*Source!I409</f>
        <v>5.1000000000000004E-3</v>
      </c>
      <c r="CY386">
        <f>AA386</f>
        <v>15582.46</v>
      </c>
      <c r="CZ386">
        <f>AE386</f>
        <v>15582.460000000001</v>
      </c>
      <c r="DA386">
        <f>AI386</f>
        <v>1</v>
      </c>
      <c r="DB386">
        <v>0</v>
      </c>
    </row>
    <row r="387" spans="1:106" x14ac:dyDescent="0.2">
      <c r="A387">
        <f>ROW(Source!A410)</f>
        <v>410</v>
      </c>
      <c r="B387">
        <v>45037307</v>
      </c>
      <c r="C387">
        <v>45038258</v>
      </c>
      <c r="D387">
        <v>22652952</v>
      </c>
      <c r="E387">
        <v>22652947</v>
      </c>
      <c r="F387">
        <v>1</v>
      </c>
      <c r="G387">
        <v>22652947</v>
      </c>
      <c r="H387">
        <v>1</v>
      </c>
      <c r="I387" t="s">
        <v>617</v>
      </c>
      <c r="J387" t="s">
        <v>3</v>
      </c>
      <c r="K387" t="s">
        <v>618</v>
      </c>
      <c r="L387">
        <v>1191</v>
      </c>
      <c r="N387">
        <v>1013</v>
      </c>
      <c r="O387" t="s">
        <v>619</v>
      </c>
      <c r="P387" t="s">
        <v>619</v>
      </c>
      <c r="Q387">
        <v>1</v>
      </c>
      <c r="W387">
        <v>0</v>
      </c>
      <c r="X387">
        <v>476480486</v>
      </c>
      <c r="Y387">
        <v>5.9225000000000003</v>
      </c>
      <c r="AA387">
        <v>0</v>
      </c>
      <c r="AB387">
        <v>0</v>
      </c>
      <c r="AC387">
        <v>0</v>
      </c>
      <c r="AD387">
        <v>0</v>
      </c>
      <c r="AE387">
        <v>0</v>
      </c>
      <c r="AF387">
        <v>0</v>
      </c>
      <c r="AG387">
        <v>0</v>
      </c>
      <c r="AH387">
        <v>0</v>
      </c>
      <c r="AI387">
        <v>1</v>
      </c>
      <c r="AJ387">
        <v>1</v>
      </c>
      <c r="AK387">
        <v>1</v>
      </c>
      <c r="AL387">
        <v>1</v>
      </c>
      <c r="AN387">
        <v>0</v>
      </c>
      <c r="AO387">
        <v>1</v>
      </c>
      <c r="AP387">
        <v>1</v>
      </c>
      <c r="AQ387">
        <v>0</v>
      </c>
      <c r="AR387">
        <v>0</v>
      </c>
      <c r="AS387" t="s">
        <v>3</v>
      </c>
      <c r="AT387">
        <v>5.15</v>
      </c>
      <c r="AU387" t="s">
        <v>37</v>
      </c>
      <c r="AV387">
        <v>1</v>
      </c>
      <c r="AW387">
        <v>2</v>
      </c>
      <c r="AX387">
        <v>45038672</v>
      </c>
      <c r="AY387">
        <v>1</v>
      </c>
      <c r="AZ387">
        <v>0</v>
      </c>
      <c r="BA387">
        <v>372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CX387">
        <f>Y387*Source!I410</f>
        <v>0.29612500000000003</v>
      </c>
      <c r="CY387">
        <f>AD387</f>
        <v>0</v>
      </c>
      <c r="CZ387">
        <f>AH387</f>
        <v>0</v>
      </c>
      <c r="DA387">
        <f>AL387</f>
        <v>1</v>
      </c>
      <c r="DB387">
        <v>0</v>
      </c>
    </row>
    <row r="388" spans="1:106" x14ac:dyDescent="0.2">
      <c r="A388">
        <f>ROW(Source!A410)</f>
        <v>410</v>
      </c>
      <c r="B388">
        <v>45037307</v>
      </c>
      <c r="C388">
        <v>45038258</v>
      </c>
      <c r="D388">
        <v>0</v>
      </c>
      <c r="E388">
        <v>22652947</v>
      </c>
      <c r="F388">
        <v>1</v>
      </c>
      <c r="G388">
        <v>22652947</v>
      </c>
      <c r="H388">
        <v>3</v>
      </c>
      <c r="I388" t="s">
        <v>258</v>
      </c>
      <c r="J388" t="s">
        <v>504</v>
      </c>
      <c r="K388" t="s">
        <v>502</v>
      </c>
      <c r="L388">
        <v>1303</v>
      </c>
      <c r="N388">
        <v>1003</v>
      </c>
      <c r="O388" t="s">
        <v>503</v>
      </c>
      <c r="P388" t="s">
        <v>503</v>
      </c>
      <c r="Q388">
        <v>1000</v>
      </c>
      <c r="W388">
        <v>0</v>
      </c>
      <c r="X388">
        <v>-649410947</v>
      </c>
      <c r="Y388">
        <v>0.10199999999999999</v>
      </c>
      <c r="AA388">
        <v>81496.27</v>
      </c>
      <c r="AB388">
        <v>0</v>
      </c>
      <c r="AC388">
        <v>0</v>
      </c>
      <c r="AD388">
        <v>0</v>
      </c>
      <c r="AE388">
        <v>15582.460000000001</v>
      </c>
      <c r="AF388">
        <v>0</v>
      </c>
      <c r="AG388">
        <v>0</v>
      </c>
      <c r="AH388">
        <v>0</v>
      </c>
      <c r="AI388">
        <v>5.23</v>
      </c>
      <c r="AJ388">
        <v>1</v>
      </c>
      <c r="AK388">
        <v>1</v>
      </c>
      <c r="AL388">
        <v>1</v>
      </c>
      <c r="AN388">
        <v>0</v>
      </c>
      <c r="AO388">
        <v>0</v>
      </c>
      <c r="AP388">
        <v>0</v>
      </c>
      <c r="AQ388">
        <v>0</v>
      </c>
      <c r="AR388">
        <v>0</v>
      </c>
      <c r="AS388" t="s">
        <v>3</v>
      </c>
      <c r="AT388">
        <v>0.10199999999999999</v>
      </c>
      <c r="AU388" t="s">
        <v>3</v>
      </c>
      <c r="AV388">
        <v>0</v>
      </c>
      <c r="AW388">
        <v>1</v>
      </c>
      <c r="AX388">
        <v>-1</v>
      </c>
      <c r="AY388">
        <v>0</v>
      </c>
      <c r="AZ388">
        <v>0</v>
      </c>
      <c r="BA388" t="s">
        <v>3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CX388">
        <f>Y388*Source!I410</f>
        <v>5.1000000000000004E-3</v>
      </c>
      <c r="CY388">
        <f>AA388</f>
        <v>81496.27</v>
      </c>
      <c r="CZ388">
        <f>AE388</f>
        <v>15582.460000000001</v>
      </c>
      <c r="DA388">
        <f>AI388</f>
        <v>5.23</v>
      </c>
      <c r="DB388">
        <v>0</v>
      </c>
    </row>
    <row r="389" spans="1:106" x14ac:dyDescent="0.2">
      <c r="A389">
        <f>ROW(Source!A413)</f>
        <v>413</v>
      </c>
      <c r="B389">
        <v>45037306</v>
      </c>
      <c r="C389">
        <v>45038263</v>
      </c>
      <c r="D389">
        <v>22652952</v>
      </c>
      <c r="E389">
        <v>22652947</v>
      </c>
      <c r="F389">
        <v>1</v>
      </c>
      <c r="G389">
        <v>22652947</v>
      </c>
      <c r="H389">
        <v>1</v>
      </c>
      <c r="I389" t="s">
        <v>617</v>
      </c>
      <c r="J389" t="s">
        <v>3</v>
      </c>
      <c r="K389" t="s">
        <v>618</v>
      </c>
      <c r="L389">
        <v>1191</v>
      </c>
      <c r="N389">
        <v>1013</v>
      </c>
      <c r="O389" t="s">
        <v>619</v>
      </c>
      <c r="P389" t="s">
        <v>619</v>
      </c>
      <c r="Q389">
        <v>1</v>
      </c>
      <c r="W389">
        <v>0</v>
      </c>
      <c r="X389">
        <v>476480486</v>
      </c>
      <c r="Y389">
        <v>2.415</v>
      </c>
      <c r="AA389">
        <v>0</v>
      </c>
      <c r="AB389">
        <v>0</v>
      </c>
      <c r="AC389">
        <v>0</v>
      </c>
      <c r="AD389">
        <v>0</v>
      </c>
      <c r="AE389">
        <v>0</v>
      </c>
      <c r="AF389">
        <v>0</v>
      </c>
      <c r="AG389">
        <v>0</v>
      </c>
      <c r="AH389">
        <v>0</v>
      </c>
      <c r="AI389">
        <v>1</v>
      </c>
      <c r="AJ389">
        <v>1</v>
      </c>
      <c r="AK389">
        <v>1</v>
      </c>
      <c r="AL389">
        <v>1</v>
      </c>
      <c r="AN389">
        <v>0</v>
      </c>
      <c r="AO389">
        <v>1</v>
      </c>
      <c r="AP389">
        <v>1</v>
      </c>
      <c r="AQ389">
        <v>0</v>
      </c>
      <c r="AR389">
        <v>0</v>
      </c>
      <c r="AS389" t="s">
        <v>3</v>
      </c>
      <c r="AT389">
        <v>2.1</v>
      </c>
      <c r="AU389" t="s">
        <v>37</v>
      </c>
      <c r="AV389">
        <v>1</v>
      </c>
      <c r="AW389">
        <v>2</v>
      </c>
      <c r="AX389">
        <v>45038673</v>
      </c>
      <c r="AY389">
        <v>1</v>
      </c>
      <c r="AZ389">
        <v>0</v>
      </c>
      <c r="BA389">
        <v>373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CX389">
        <f>Y389*Source!I413</f>
        <v>1.2316500000000001</v>
      </c>
      <c r="CY389">
        <f>AD389</f>
        <v>0</v>
      </c>
      <c r="CZ389">
        <f>AH389</f>
        <v>0</v>
      </c>
      <c r="DA389">
        <f>AL389</f>
        <v>1</v>
      </c>
      <c r="DB389">
        <v>0</v>
      </c>
    </row>
    <row r="390" spans="1:106" x14ac:dyDescent="0.2">
      <c r="A390">
        <f>ROW(Source!A413)</f>
        <v>413</v>
      </c>
      <c r="B390">
        <v>45037306</v>
      </c>
      <c r="C390">
        <v>45038263</v>
      </c>
      <c r="D390">
        <v>22717891</v>
      </c>
      <c r="E390">
        <v>1</v>
      </c>
      <c r="F390">
        <v>1</v>
      </c>
      <c r="G390">
        <v>22652947</v>
      </c>
      <c r="H390">
        <v>3</v>
      </c>
      <c r="I390" t="s">
        <v>512</v>
      </c>
      <c r="J390" t="s">
        <v>514</v>
      </c>
      <c r="K390" t="s">
        <v>513</v>
      </c>
      <c r="L390">
        <v>1303</v>
      </c>
      <c r="N390">
        <v>1003</v>
      </c>
      <c r="O390" t="s">
        <v>503</v>
      </c>
      <c r="P390" t="s">
        <v>503</v>
      </c>
      <c r="Q390">
        <v>1000</v>
      </c>
      <c r="W390">
        <v>0</v>
      </c>
      <c r="X390">
        <v>516804880</v>
      </c>
      <c r="Y390">
        <v>1.3724999999999999E-2</v>
      </c>
      <c r="AA390">
        <v>7649.72</v>
      </c>
      <c r="AB390">
        <v>0</v>
      </c>
      <c r="AC390">
        <v>0</v>
      </c>
      <c r="AD390">
        <v>0</v>
      </c>
      <c r="AE390">
        <v>7649.72</v>
      </c>
      <c r="AF390">
        <v>0</v>
      </c>
      <c r="AG390">
        <v>0</v>
      </c>
      <c r="AH390">
        <v>0</v>
      </c>
      <c r="AI390">
        <v>1</v>
      </c>
      <c r="AJ390">
        <v>1</v>
      </c>
      <c r="AK390">
        <v>1</v>
      </c>
      <c r="AL390">
        <v>1</v>
      </c>
      <c r="AN390">
        <v>0</v>
      </c>
      <c r="AO390">
        <v>0</v>
      </c>
      <c r="AP390">
        <v>0</v>
      </c>
      <c r="AQ390">
        <v>0</v>
      </c>
      <c r="AR390">
        <v>0</v>
      </c>
      <c r="AS390" t="s">
        <v>3</v>
      </c>
      <c r="AT390">
        <v>1.3724999999999999E-2</v>
      </c>
      <c r="AU390" t="s">
        <v>3</v>
      </c>
      <c r="AV390">
        <v>0</v>
      </c>
      <c r="AW390">
        <v>1</v>
      </c>
      <c r="AX390">
        <v>-1</v>
      </c>
      <c r="AY390">
        <v>0</v>
      </c>
      <c r="AZ390">
        <v>0</v>
      </c>
      <c r="BA390" t="s">
        <v>3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CX390">
        <f>Y390*Source!I413</f>
        <v>6.9997499999999999E-3</v>
      </c>
      <c r="CY390">
        <f>AA390</f>
        <v>7649.72</v>
      </c>
      <c r="CZ390">
        <f>AE390</f>
        <v>7649.72</v>
      </c>
      <c r="DA390">
        <f>AI390</f>
        <v>1</v>
      </c>
      <c r="DB390">
        <v>0</v>
      </c>
    </row>
    <row r="391" spans="1:106" x14ac:dyDescent="0.2">
      <c r="A391">
        <f>ROW(Source!A413)</f>
        <v>413</v>
      </c>
      <c r="B391">
        <v>45037306</v>
      </c>
      <c r="C391">
        <v>45038263</v>
      </c>
      <c r="D391">
        <v>0</v>
      </c>
      <c r="E391">
        <v>22652947</v>
      </c>
      <c r="F391">
        <v>1</v>
      </c>
      <c r="G391">
        <v>22652947</v>
      </c>
      <c r="H391">
        <v>3</v>
      </c>
      <c r="I391" t="s">
        <v>258</v>
      </c>
      <c r="J391" t="s">
        <v>504</v>
      </c>
      <c r="K391" t="s">
        <v>502</v>
      </c>
      <c r="L391">
        <v>1303</v>
      </c>
      <c r="N391">
        <v>1003</v>
      </c>
      <c r="O391" t="s">
        <v>503</v>
      </c>
      <c r="P391" t="s">
        <v>503</v>
      </c>
      <c r="Q391">
        <v>1000</v>
      </c>
      <c r="W391">
        <v>0</v>
      </c>
      <c r="X391">
        <v>-649410947</v>
      </c>
      <c r="Y391">
        <v>9.0195999999999998E-2</v>
      </c>
      <c r="AA391">
        <v>15582.46</v>
      </c>
      <c r="AB391">
        <v>0</v>
      </c>
      <c r="AC391">
        <v>0</v>
      </c>
      <c r="AD391">
        <v>0</v>
      </c>
      <c r="AE391">
        <v>15582.460000000001</v>
      </c>
      <c r="AF391">
        <v>0</v>
      </c>
      <c r="AG391">
        <v>0</v>
      </c>
      <c r="AH391">
        <v>0</v>
      </c>
      <c r="AI391">
        <v>1</v>
      </c>
      <c r="AJ391">
        <v>1</v>
      </c>
      <c r="AK391">
        <v>1</v>
      </c>
      <c r="AL391">
        <v>1</v>
      </c>
      <c r="AN391">
        <v>0</v>
      </c>
      <c r="AO391">
        <v>0</v>
      </c>
      <c r="AP391">
        <v>0</v>
      </c>
      <c r="AQ391">
        <v>0</v>
      </c>
      <c r="AR391">
        <v>0</v>
      </c>
      <c r="AS391" t="s">
        <v>3</v>
      </c>
      <c r="AT391">
        <v>9.0195999999999998E-2</v>
      </c>
      <c r="AU391" t="s">
        <v>3</v>
      </c>
      <c r="AV391">
        <v>0</v>
      </c>
      <c r="AW391">
        <v>1</v>
      </c>
      <c r="AX391">
        <v>-1</v>
      </c>
      <c r="AY391">
        <v>0</v>
      </c>
      <c r="AZ391">
        <v>0</v>
      </c>
      <c r="BA391" t="s">
        <v>3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CX391">
        <f>Y391*Source!I413</f>
        <v>4.5999959999999999E-2</v>
      </c>
      <c r="CY391">
        <f>AA391</f>
        <v>15582.46</v>
      </c>
      <c r="CZ391">
        <f>AE391</f>
        <v>15582.460000000001</v>
      </c>
      <c r="DA391">
        <f>AI391</f>
        <v>1</v>
      </c>
      <c r="DB391">
        <v>0</v>
      </c>
    </row>
    <row r="392" spans="1:106" x14ac:dyDescent="0.2">
      <c r="A392">
        <f>ROW(Source!A414)</f>
        <v>414</v>
      </c>
      <c r="B392">
        <v>45037307</v>
      </c>
      <c r="C392">
        <v>45038263</v>
      </c>
      <c r="D392">
        <v>22652952</v>
      </c>
      <c r="E392">
        <v>22652947</v>
      </c>
      <c r="F392">
        <v>1</v>
      </c>
      <c r="G392">
        <v>22652947</v>
      </c>
      <c r="H392">
        <v>1</v>
      </c>
      <c r="I392" t="s">
        <v>617</v>
      </c>
      <c r="J392" t="s">
        <v>3</v>
      </c>
      <c r="K392" t="s">
        <v>618</v>
      </c>
      <c r="L392">
        <v>1191</v>
      </c>
      <c r="N392">
        <v>1013</v>
      </c>
      <c r="O392" t="s">
        <v>619</v>
      </c>
      <c r="P392" t="s">
        <v>619</v>
      </c>
      <c r="Q392">
        <v>1</v>
      </c>
      <c r="W392">
        <v>0</v>
      </c>
      <c r="X392">
        <v>476480486</v>
      </c>
      <c r="Y392">
        <v>2.415</v>
      </c>
      <c r="AA392">
        <v>0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AI392">
        <v>1</v>
      </c>
      <c r="AJ392">
        <v>1</v>
      </c>
      <c r="AK392">
        <v>1</v>
      </c>
      <c r="AL392">
        <v>1</v>
      </c>
      <c r="AN392">
        <v>0</v>
      </c>
      <c r="AO392">
        <v>1</v>
      </c>
      <c r="AP392">
        <v>1</v>
      </c>
      <c r="AQ392">
        <v>0</v>
      </c>
      <c r="AR392">
        <v>0</v>
      </c>
      <c r="AS392" t="s">
        <v>3</v>
      </c>
      <c r="AT392">
        <v>2.1</v>
      </c>
      <c r="AU392" t="s">
        <v>37</v>
      </c>
      <c r="AV392">
        <v>1</v>
      </c>
      <c r="AW392">
        <v>2</v>
      </c>
      <c r="AX392">
        <v>45038673</v>
      </c>
      <c r="AY392">
        <v>1</v>
      </c>
      <c r="AZ392">
        <v>0</v>
      </c>
      <c r="BA392">
        <v>374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CX392">
        <f>Y392*Source!I414</f>
        <v>1.2316500000000001</v>
      </c>
      <c r="CY392">
        <f>AD392</f>
        <v>0</v>
      </c>
      <c r="CZ392">
        <f>AH392</f>
        <v>0</v>
      </c>
      <c r="DA392">
        <f>AL392</f>
        <v>1</v>
      </c>
      <c r="DB392">
        <v>0</v>
      </c>
    </row>
    <row r="393" spans="1:106" x14ac:dyDescent="0.2">
      <c r="A393">
        <f>ROW(Source!A414)</f>
        <v>414</v>
      </c>
      <c r="B393">
        <v>45037307</v>
      </c>
      <c r="C393">
        <v>45038263</v>
      </c>
      <c r="D393">
        <v>22717891</v>
      </c>
      <c r="E393">
        <v>1</v>
      </c>
      <c r="F393">
        <v>1</v>
      </c>
      <c r="G393">
        <v>22652947</v>
      </c>
      <c r="H393">
        <v>3</v>
      </c>
      <c r="I393" t="s">
        <v>512</v>
      </c>
      <c r="J393" t="s">
        <v>514</v>
      </c>
      <c r="K393" t="s">
        <v>513</v>
      </c>
      <c r="L393">
        <v>1303</v>
      </c>
      <c r="N393">
        <v>1003</v>
      </c>
      <c r="O393" t="s">
        <v>503</v>
      </c>
      <c r="P393" t="s">
        <v>503</v>
      </c>
      <c r="Q393">
        <v>1000</v>
      </c>
      <c r="W393">
        <v>0</v>
      </c>
      <c r="X393">
        <v>516804880</v>
      </c>
      <c r="Y393">
        <v>1.3724999999999999E-2</v>
      </c>
      <c r="AA393">
        <v>26697.52</v>
      </c>
      <c r="AB393">
        <v>0</v>
      </c>
      <c r="AC393">
        <v>0</v>
      </c>
      <c r="AD393">
        <v>0</v>
      </c>
      <c r="AE393">
        <v>7649.72</v>
      </c>
      <c r="AF393">
        <v>0</v>
      </c>
      <c r="AG393">
        <v>0</v>
      </c>
      <c r="AH393">
        <v>0</v>
      </c>
      <c r="AI393">
        <v>3.49</v>
      </c>
      <c r="AJ393">
        <v>1</v>
      </c>
      <c r="AK393">
        <v>1</v>
      </c>
      <c r="AL393">
        <v>1</v>
      </c>
      <c r="AN393">
        <v>0</v>
      </c>
      <c r="AO393">
        <v>0</v>
      </c>
      <c r="AP393">
        <v>0</v>
      </c>
      <c r="AQ393">
        <v>0</v>
      </c>
      <c r="AR393">
        <v>0</v>
      </c>
      <c r="AS393" t="s">
        <v>3</v>
      </c>
      <c r="AT393">
        <v>1.3724999999999999E-2</v>
      </c>
      <c r="AU393" t="s">
        <v>3</v>
      </c>
      <c r="AV393">
        <v>0</v>
      </c>
      <c r="AW393">
        <v>1</v>
      </c>
      <c r="AX393">
        <v>-1</v>
      </c>
      <c r="AY393">
        <v>0</v>
      </c>
      <c r="AZ393">
        <v>0</v>
      </c>
      <c r="BA393" t="s">
        <v>3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CX393">
        <f>Y393*Source!I414</f>
        <v>6.9997499999999999E-3</v>
      </c>
      <c r="CY393">
        <f>AA393</f>
        <v>26697.52</v>
      </c>
      <c r="CZ393">
        <f>AE393</f>
        <v>7649.72</v>
      </c>
      <c r="DA393">
        <f>AI393</f>
        <v>3.49</v>
      </c>
      <c r="DB393">
        <v>0</v>
      </c>
    </row>
    <row r="394" spans="1:106" x14ac:dyDescent="0.2">
      <c r="A394">
        <f>ROW(Source!A414)</f>
        <v>414</v>
      </c>
      <c r="B394">
        <v>45037307</v>
      </c>
      <c r="C394">
        <v>45038263</v>
      </c>
      <c r="D394">
        <v>0</v>
      </c>
      <c r="E394">
        <v>22652947</v>
      </c>
      <c r="F394">
        <v>1</v>
      </c>
      <c r="G394">
        <v>22652947</v>
      </c>
      <c r="H394">
        <v>3</v>
      </c>
      <c r="I394" t="s">
        <v>258</v>
      </c>
      <c r="J394" t="s">
        <v>504</v>
      </c>
      <c r="K394" t="s">
        <v>502</v>
      </c>
      <c r="L394">
        <v>1303</v>
      </c>
      <c r="N394">
        <v>1003</v>
      </c>
      <c r="O394" t="s">
        <v>503</v>
      </c>
      <c r="P394" t="s">
        <v>503</v>
      </c>
      <c r="Q394">
        <v>1000</v>
      </c>
      <c r="W394">
        <v>0</v>
      </c>
      <c r="X394">
        <v>-649410947</v>
      </c>
      <c r="Y394">
        <v>9.0195999999999998E-2</v>
      </c>
      <c r="AA394">
        <v>81496.27</v>
      </c>
      <c r="AB394">
        <v>0</v>
      </c>
      <c r="AC394">
        <v>0</v>
      </c>
      <c r="AD394">
        <v>0</v>
      </c>
      <c r="AE394">
        <v>15582.460000000001</v>
      </c>
      <c r="AF394">
        <v>0</v>
      </c>
      <c r="AG394">
        <v>0</v>
      </c>
      <c r="AH394">
        <v>0</v>
      </c>
      <c r="AI394">
        <v>5.23</v>
      </c>
      <c r="AJ394">
        <v>1</v>
      </c>
      <c r="AK394">
        <v>1</v>
      </c>
      <c r="AL394">
        <v>1</v>
      </c>
      <c r="AN394">
        <v>0</v>
      </c>
      <c r="AO394">
        <v>0</v>
      </c>
      <c r="AP394">
        <v>0</v>
      </c>
      <c r="AQ394">
        <v>0</v>
      </c>
      <c r="AR394">
        <v>0</v>
      </c>
      <c r="AS394" t="s">
        <v>3</v>
      </c>
      <c r="AT394">
        <v>9.0195999999999998E-2</v>
      </c>
      <c r="AU394" t="s">
        <v>3</v>
      </c>
      <c r="AV394">
        <v>0</v>
      </c>
      <c r="AW394">
        <v>1</v>
      </c>
      <c r="AX394">
        <v>-1</v>
      </c>
      <c r="AY394">
        <v>0</v>
      </c>
      <c r="AZ394">
        <v>0</v>
      </c>
      <c r="BA394" t="s">
        <v>3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CX394">
        <f>Y394*Source!I414</f>
        <v>4.5999959999999999E-2</v>
      </c>
      <c r="CY394">
        <f>AA394</f>
        <v>81496.27</v>
      </c>
      <c r="CZ394">
        <f>AE394</f>
        <v>15582.460000000001</v>
      </c>
      <c r="DA394">
        <f>AI394</f>
        <v>5.23</v>
      </c>
      <c r="DB394">
        <v>0</v>
      </c>
    </row>
    <row r="395" spans="1:106" x14ac:dyDescent="0.2">
      <c r="A395">
        <f>ROW(Source!A453)</f>
        <v>453</v>
      </c>
      <c r="B395">
        <v>45037306</v>
      </c>
      <c r="C395">
        <v>45038324</v>
      </c>
      <c r="D395">
        <v>22652952</v>
      </c>
      <c r="E395">
        <v>22652947</v>
      </c>
      <c r="F395">
        <v>1</v>
      </c>
      <c r="G395">
        <v>22652947</v>
      </c>
      <c r="H395">
        <v>1</v>
      </c>
      <c r="I395" t="s">
        <v>617</v>
      </c>
      <c r="J395" t="s">
        <v>3</v>
      </c>
      <c r="K395" t="s">
        <v>618</v>
      </c>
      <c r="L395">
        <v>1191</v>
      </c>
      <c r="N395">
        <v>1013</v>
      </c>
      <c r="O395" t="s">
        <v>619</v>
      </c>
      <c r="P395" t="s">
        <v>619</v>
      </c>
      <c r="Q395">
        <v>1</v>
      </c>
      <c r="W395">
        <v>0</v>
      </c>
      <c r="X395">
        <v>476480486</v>
      </c>
      <c r="Y395">
        <v>38.858499999999999</v>
      </c>
      <c r="AA395">
        <v>0</v>
      </c>
      <c r="AB395">
        <v>0</v>
      </c>
      <c r="AC395">
        <v>0</v>
      </c>
      <c r="AD395">
        <v>0</v>
      </c>
      <c r="AE395">
        <v>0</v>
      </c>
      <c r="AF395">
        <v>0</v>
      </c>
      <c r="AG395">
        <v>0</v>
      </c>
      <c r="AH395">
        <v>0</v>
      </c>
      <c r="AI395">
        <v>1</v>
      </c>
      <c r="AJ395">
        <v>1</v>
      </c>
      <c r="AK395">
        <v>1</v>
      </c>
      <c r="AL395">
        <v>1</v>
      </c>
      <c r="AN395">
        <v>0</v>
      </c>
      <c r="AO395">
        <v>1</v>
      </c>
      <c r="AP395">
        <v>1</v>
      </c>
      <c r="AQ395">
        <v>0</v>
      </c>
      <c r="AR395">
        <v>0</v>
      </c>
      <c r="AS395" t="s">
        <v>3</v>
      </c>
      <c r="AT395">
        <v>33.79</v>
      </c>
      <c r="AU395" t="s">
        <v>37</v>
      </c>
      <c r="AV395">
        <v>1</v>
      </c>
      <c r="AW395">
        <v>2</v>
      </c>
      <c r="AX395">
        <v>45038674</v>
      </c>
      <c r="AY395">
        <v>1</v>
      </c>
      <c r="AZ395">
        <v>0</v>
      </c>
      <c r="BA395">
        <v>375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CX395">
        <f>Y395*Source!I453</f>
        <v>11.657549999999999</v>
      </c>
      <c r="CY395">
        <f>AD395</f>
        <v>0</v>
      </c>
      <c r="CZ395">
        <f>AH395</f>
        <v>0</v>
      </c>
      <c r="DA395">
        <f>AL395</f>
        <v>1</v>
      </c>
      <c r="DB395">
        <v>0</v>
      </c>
    </row>
    <row r="396" spans="1:106" x14ac:dyDescent="0.2">
      <c r="A396">
        <f>ROW(Source!A453)</f>
        <v>453</v>
      </c>
      <c r="B396">
        <v>45037306</v>
      </c>
      <c r="C396">
        <v>45038324</v>
      </c>
      <c r="D396">
        <v>22703308</v>
      </c>
      <c r="E396">
        <v>1</v>
      </c>
      <c r="F396">
        <v>1</v>
      </c>
      <c r="G396">
        <v>22652947</v>
      </c>
      <c r="H396">
        <v>3</v>
      </c>
      <c r="I396" t="s">
        <v>524</v>
      </c>
      <c r="J396" t="s">
        <v>526</v>
      </c>
      <c r="K396" t="s">
        <v>525</v>
      </c>
      <c r="L396">
        <v>1301</v>
      </c>
      <c r="N396">
        <v>1003</v>
      </c>
      <c r="O396" t="s">
        <v>364</v>
      </c>
      <c r="P396" t="s">
        <v>364</v>
      </c>
      <c r="Q396">
        <v>1</v>
      </c>
      <c r="W396">
        <v>0</v>
      </c>
      <c r="X396">
        <v>-1610361876</v>
      </c>
      <c r="Y396">
        <v>100</v>
      </c>
      <c r="AA396">
        <v>1.82</v>
      </c>
      <c r="AB396">
        <v>0</v>
      </c>
      <c r="AC396">
        <v>0</v>
      </c>
      <c r="AD396">
        <v>0</v>
      </c>
      <c r="AE396">
        <v>1.82</v>
      </c>
      <c r="AF396">
        <v>0</v>
      </c>
      <c r="AG396">
        <v>0</v>
      </c>
      <c r="AH396">
        <v>0</v>
      </c>
      <c r="AI396">
        <v>1</v>
      </c>
      <c r="AJ396">
        <v>1</v>
      </c>
      <c r="AK396">
        <v>1</v>
      </c>
      <c r="AL396">
        <v>1</v>
      </c>
      <c r="AN396">
        <v>0</v>
      </c>
      <c r="AO396">
        <v>0</v>
      </c>
      <c r="AP396">
        <v>0</v>
      </c>
      <c r="AQ396">
        <v>0</v>
      </c>
      <c r="AR396">
        <v>0</v>
      </c>
      <c r="AS396" t="s">
        <v>3</v>
      </c>
      <c r="AT396">
        <v>100</v>
      </c>
      <c r="AU396" t="s">
        <v>3</v>
      </c>
      <c r="AV396">
        <v>0</v>
      </c>
      <c r="AW396">
        <v>1</v>
      </c>
      <c r="AX396">
        <v>-1</v>
      </c>
      <c r="AY396">
        <v>0</v>
      </c>
      <c r="AZ396">
        <v>0</v>
      </c>
      <c r="BA396" t="s">
        <v>3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CX396">
        <f>Y396*Source!I453</f>
        <v>30</v>
      </c>
      <c r="CY396">
        <f>AA396</f>
        <v>1.82</v>
      </c>
      <c r="CZ396">
        <f>AE396</f>
        <v>1.82</v>
      </c>
      <c r="DA396">
        <f>AI396</f>
        <v>1</v>
      </c>
      <c r="DB396">
        <v>0</v>
      </c>
    </row>
    <row r="397" spans="1:106" x14ac:dyDescent="0.2">
      <c r="A397">
        <f>ROW(Source!A453)</f>
        <v>453</v>
      </c>
      <c r="B397">
        <v>45037306</v>
      </c>
      <c r="C397">
        <v>45038324</v>
      </c>
      <c r="D397">
        <v>22714181</v>
      </c>
      <c r="E397">
        <v>1</v>
      </c>
      <c r="F397">
        <v>1</v>
      </c>
      <c r="G397">
        <v>22652947</v>
      </c>
      <c r="H397">
        <v>3</v>
      </c>
      <c r="I397" t="s">
        <v>528</v>
      </c>
      <c r="J397" t="s">
        <v>530</v>
      </c>
      <c r="K397" t="s">
        <v>529</v>
      </c>
      <c r="L397">
        <v>1354</v>
      </c>
      <c r="N397">
        <v>1010</v>
      </c>
      <c r="O397" t="s">
        <v>304</v>
      </c>
      <c r="P397" t="s">
        <v>304</v>
      </c>
      <c r="Q397">
        <v>1</v>
      </c>
      <c r="W397">
        <v>0</v>
      </c>
      <c r="X397">
        <v>-1904154504</v>
      </c>
      <c r="Y397">
        <v>6.6666670000000003</v>
      </c>
      <c r="AA397">
        <v>28.2</v>
      </c>
      <c r="AB397">
        <v>0</v>
      </c>
      <c r="AC397">
        <v>0</v>
      </c>
      <c r="AD397">
        <v>0</v>
      </c>
      <c r="AE397">
        <v>28.2</v>
      </c>
      <c r="AF397">
        <v>0</v>
      </c>
      <c r="AG397">
        <v>0</v>
      </c>
      <c r="AH397">
        <v>0</v>
      </c>
      <c r="AI397">
        <v>1</v>
      </c>
      <c r="AJ397">
        <v>1</v>
      </c>
      <c r="AK397">
        <v>1</v>
      </c>
      <c r="AL397">
        <v>1</v>
      </c>
      <c r="AN397">
        <v>0</v>
      </c>
      <c r="AO397">
        <v>0</v>
      </c>
      <c r="AP397">
        <v>0</v>
      </c>
      <c r="AQ397">
        <v>0</v>
      </c>
      <c r="AR397">
        <v>0</v>
      </c>
      <c r="AS397" t="s">
        <v>3</v>
      </c>
      <c r="AT397">
        <v>6.6666670000000003</v>
      </c>
      <c r="AU397" t="s">
        <v>3</v>
      </c>
      <c r="AV397">
        <v>0</v>
      </c>
      <c r="AW397">
        <v>1</v>
      </c>
      <c r="AX397">
        <v>-1</v>
      </c>
      <c r="AY397">
        <v>0</v>
      </c>
      <c r="AZ397">
        <v>0</v>
      </c>
      <c r="BA397" t="s">
        <v>3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CX397">
        <f>Y397*Source!I453</f>
        <v>2.0000000999999998</v>
      </c>
      <c r="CY397">
        <f>AA397</f>
        <v>28.2</v>
      </c>
      <c r="CZ397">
        <f>AE397</f>
        <v>28.2</v>
      </c>
      <c r="DA397">
        <f>AI397</f>
        <v>1</v>
      </c>
      <c r="DB397">
        <v>0</v>
      </c>
    </row>
    <row r="398" spans="1:106" x14ac:dyDescent="0.2">
      <c r="A398">
        <f>ROW(Source!A454)</f>
        <v>454</v>
      </c>
      <c r="B398">
        <v>45037307</v>
      </c>
      <c r="C398">
        <v>45038324</v>
      </c>
      <c r="D398">
        <v>22652952</v>
      </c>
      <c r="E398">
        <v>22652947</v>
      </c>
      <c r="F398">
        <v>1</v>
      </c>
      <c r="G398">
        <v>22652947</v>
      </c>
      <c r="H398">
        <v>1</v>
      </c>
      <c r="I398" t="s">
        <v>617</v>
      </c>
      <c r="J398" t="s">
        <v>3</v>
      </c>
      <c r="K398" t="s">
        <v>618</v>
      </c>
      <c r="L398">
        <v>1191</v>
      </c>
      <c r="N398">
        <v>1013</v>
      </c>
      <c r="O398" t="s">
        <v>619</v>
      </c>
      <c r="P398" t="s">
        <v>619</v>
      </c>
      <c r="Q398">
        <v>1</v>
      </c>
      <c r="W398">
        <v>0</v>
      </c>
      <c r="X398">
        <v>476480486</v>
      </c>
      <c r="Y398">
        <v>38.858499999999999</v>
      </c>
      <c r="AA398">
        <v>0</v>
      </c>
      <c r="AB398">
        <v>0</v>
      </c>
      <c r="AC398">
        <v>0</v>
      </c>
      <c r="AD398">
        <v>0</v>
      </c>
      <c r="AE398">
        <v>0</v>
      </c>
      <c r="AF398">
        <v>0</v>
      </c>
      <c r="AG398">
        <v>0</v>
      </c>
      <c r="AH398">
        <v>0</v>
      </c>
      <c r="AI398">
        <v>1</v>
      </c>
      <c r="AJ398">
        <v>1</v>
      </c>
      <c r="AK398">
        <v>1</v>
      </c>
      <c r="AL398">
        <v>1</v>
      </c>
      <c r="AN398">
        <v>0</v>
      </c>
      <c r="AO398">
        <v>1</v>
      </c>
      <c r="AP398">
        <v>1</v>
      </c>
      <c r="AQ398">
        <v>0</v>
      </c>
      <c r="AR398">
        <v>0</v>
      </c>
      <c r="AS398" t="s">
        <v>3</v>
      </c>
      <c r="AT398">
        <v>33.79</v>
      </c>
      <c r="AU398" t="s">
        <v>37</v>
      </c>
      <c r="AV398">
        <v>1</v>
      </c>
      <c r="AW398">
        <v>2</v>
      </c>
      <c r="AX398">
        <v>45038674</v>
      </c>
      <c r="AY398">
        <v>1</v>
      </c>
      <c r="AZ398">
        <v>0</v>
      </c>
      <c r="BA398">
        <v>383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CX398">
        <f>Y398*Source!I454</f>
        <v>11.657549999999999</v>
      </c>
      <c r="CY398">
        <f>AD398</f>
        <v>0</v>
      </c>
      <c r="CZ398">
        <f>AH398</f>
        <v>0</v>
      </c>
      <c r="DA398">
        <f>AL398</f>
        <v>1</v>
      </c>
      <c r="DB398">
        <v>0</v>
      </c>
    </row>
    <row r="399" spans="1:106" x14ac:dyDescent="0.2">
      <c r="A399">
        <f>ROW(Source!A454)</f>
        <v>454</v>
      </c>
      <c r="B399">
        <v>45037307</v>
      </c>
      <c r="C399">
        <v>45038324</v>
      </c>
      <c r="D399">
        <v>22703308</v>
      </c>
      <c r="E399">
        <v>1</v>
      </c>
      <c r="F399">
        <v>1</v>
      </c>
      <c r="G399">
        <v>22652947</v>
      </c>
      <c r="H399">
        <v>3</v>
      </c>
      <c r="I399" t="s">
        <v>524</v>
      </c>
      <c r="J399" t="s">
        <v>526</v>
      </c>
      <c r="K399" t="s">
        <v>525</v>
      </c>
      <c r="L399">
        <v>1301</v>
      </c>
      <c r="N399">
        <v>1003</v>
      </c>
      <c r="O399" t="s">
        <v>364</v>
      </c>
      <c r="P399" t="s">
        <v>364</v>
      </c>
      <c r="Q399">
        <v>1</v>
      </c>
      <c r="W399">
        <v>0</v>
      </c>
      <c r="X399">
        <v>-1610361876</v>
      </c>
      <c r="Y399">
        <v>100</v>
      </c>
      <c r="AA399">
        <v>8.74</v>
      </c>
      <c r="AB399">
        <v>0</v>
      </c>
      <c r="AC399">
        <v>0</v>
      </c>
      <c r="AD399">
        <v>0</v>
      </c>
      <c r="AE399">
        <v>1.82</v>
      </c>
      <c r="AF399">
        <v>0</v>
      </c>
      <c r="AG399">
        <v>0</v>
      </c>
      <c r="AH399">
        <v>0</v>
      </c>
      <c r="AI399">
        <v>4.8</v>
      </c>
      <c r="AJ399">
        <v>1</v>
      </c>
      <c r="AK399">
        <v>1</v>
      </c>
      <c r="AL399">
        <v>1</v>
      </c>
      <c r="AN399">
        <v>0</v>
      </c>
      <c r="AO399">
        <v>0</v>
      </c>
      <c r="AP399">
        <v>0</v>
      </c>
      <c r="AQ399">
        <v>0</v>
      </c>
      <c r="AR399">
        <v>0</v>
      </c>
      <c r="AS399" t="s">
        <v>3</v>
      </c>
      <c r="AT399">
        <v>100</v>
      </c>
      <c r="AU399" t="s">
        <v>3</v>
      </c>
      <c r="AV399">
        <v>0</v>
      </c>
      <c r="AW399">
        <v>1</v>
      </c>
      <c r="AX399">
        <v>-1</v>
      </c>
      <c r="AY399">
        <v>0</v>
      </c>
      <c r="AZ399">
        <v>0</v>
      </c>
      <c r="BA399" t="s">
        <v>3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CX399">
        <f>Y399*Source!I454</f>
        <v>30</v>
      </c>
      <c r="CY399">
        <f>AA399</f>
        <v>8.74</v>
      </c>
      <c r="CZ399">
        <f>AE399</f>
        <v>1.82</v>
      </c>
      <c r="DA399">
        <f>AI399</f>
        <v>4.8</v>
      </c>
      <c r="DB399">
        <v>0</v>
      </c>
    </row>
    <row r="400" spans="1:106" x14ac:dyDescent="0.2">
      <c r="A400">
        <f>ROW(Source!A454)</f>
        <v>454</v>
      </c>
      <c r="B400">
        <v>45037307</v>
      </c>
      <c r="C400">
        <v>45038324</v>
      </c>
      <c r="D400">
        <v>22714181</v>
      </c>
      <c r="E400">
        <v>1</v>
      </c>
      <c r="F400">
        <v>1</v>
      </c>
      <c r="G400">
        <v>22652947</v>
      </c>
      <c r="H400">
        <v>3</v>
      </c>
      <c r="I400" t="s">
        <v>528</v>
      </c>
      <c r="J400" t="s">
        <v>530</v>
      </c>
      <c r="K400" t="s">
        <v>529</v>
      </c>
      <c r="L400">
        <v>1354</v>
      </c>
      <c r="N400">
        <v>1010</v>
      </c>
      <c r="O400" t="s">
        <v>304</v>
      </c>
      <c r="P400" t="s">
        <v>304</v>
      </c>
      <c r="Q400">
        <v>1</v>
      </c>
      <c r="W400">
        <v>0</v>
      </c>
      <c r="X400">
        <v>-1904154504</v>
      </c>
      <c r="Y400">
        <v>6.6666670000000003</v>
      </c>
      <c r="AA400">
        <v>94.19</v>
      </c>
      <c r="AB400">
        <v>0</v>
      </c>
      <c r="AC400">
        <v>0</v>
      </c>
      <c r="AD400">
        <v>0</v>
      </c>
      <c r="AE400">
        <v>28.2</v>
      </c>
      <c r="AF400">
        <v>0</v>
      </c>
      <c r="AG400">
        <v>0</v>
      </c>
      <c r="AH400">
        <v>0</v>
      </c>
      <c r="AI400">
        <v>3.34</v>
      </c>
      <c r="AJ400">
        <v>1</v>
      </c>
      <c r="AK400">
        <v>1</v>
      </c>
      <c r="AL400">
        <v>1</v>
      </c>
      <c r="AN400">
        <v>0</v>
      </c>
      <c r="AO400">
        <v>0</v>
      </c>
      <c r="AP400">
        <v>0</v>
      </c>
      <c r="AQ400">
        <v>0</v>
      </c>
      <c r="AR400">
        <v>0</v>
      </c>
      <c r="AS400" t="s">
        <v>3</v>
      </c>
      <c r="AT400">
        <v>6.6666670000000003</v>
      </c>
      <c r="AU400" t="s">
        <v>3</v>
      </c>
      <c r="AV400">
        <v>0</v>
      </c>
      <c r="AW400">
        <v>1</v>
      </c>
      <c r="AX400">
        <v>-1</v>
      </c>
      <c r="AY400">
        <v>0</v>
      </c>
      <c r="AZ400">
        <v>0</v>
      </c>
      <c r="BA400" t="s">
        <v>3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CX400">
        <f>Y400*Source!I454</f>
        <v>2.0000000999999998</v>
      </c>
      <c r="CY400">
        <f>AA400</f>
        <v>94.19</v>
      </c>
      <c r="CZ400">
        <f>AE400</f>
        <v>28.2</v>
      </c>
      <c r="DA400">
        <f>AI400</f>
        <v>3.34</v>
      </c>
      <c r="DB400">
        <v>0</v>
      </c>
    </row>
    <row r="401" spans="1:106" x14ac:dyDescent="0.2">
      <c r="A401">
        <f>ROW(Source!A459)</f>
        <v>459</v>
      </c>
      <c r="B401">
        <v>45037306</v>
      </c>
      <c r="C401">
        <v>45038338</v>
      </c>
      <c r="D401">
        <v>22652952</v>
      </c>
      <c r="E401">
        <v>22652947</v>
      </c>
      <c r="F401">
        <v>1</v>
      </c>
      <c r="G401">
        <v>22652947</v>
      </c>
      <c r="H401">
        <v>1</v>
      </c>
      <c r="I401" t="s">
        <v>617</v>
      </c>
      <c r="J401" t="s">
        <v>3</v>
      </c>
      <c r="K401" t="s">
        <v>618</v>
      </c>
      <c r="L401">
        <v>1191</v>
      </c>
      <c r="N401">
        <v>1013</v>
      </c>
      <c r="O401" t="s">
        <v>619</v>
      </c>
      <c r="P401" t="s">
        <v>619</v>
      </c>
      <c r="Q401">
        <v>1</v>
      </c>
      <c r="W401">
        <v>0</v>
      </c>
      <c r="X401">
        <v>476480486</v>
      </c>
      <c r="Y401">
        <v>3.5534999999999997</v>
      </c>
      <c r="AA401">
        <v>0</v>
      </c>
      <c r="AB401">
        <v>0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1</v>
      </c>
      <c r="AJ401">
        <v>1</v>
      </c>
      <c r="AK401">
        <v>1</v>
      </c>
      <c r="AL401">
        <v>1</v>
      </c>
      <c r="AN401">
        <v>0</v>
      </c>
      <c r="AO401">
        <v>1</v>
      </c>
      <c r="AP401">
        <v>1</v>
      </c>
      <c r="AQ401">
        <v>0</v>
      </c>
      <c r="AR401">
        <v>0</v>
      </c>
      <c r="AS401" t="s">
        <v>3</v>
      </c>
      <c r="AT401">
        <v>3.09</v>
      </c>
      <c r="AU401" t="s">
        <v>37</v>
      </c>
      <c r="AV401">
        <v>1</v>
      </c>
      <c r="AW401">
        <v>2</v>
      </c>
      <c r="AX401">
        <v>45038682</v>
      </c>
      <c r="AY401">
        <v>1</v>
      </c>
      <c r="AZ401">
        <v>0</v>
      </c>
      <c r="BA401">
        <v>391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CX401">
        <f>Y401*Source!I459</f>
        <v>3.1981499999999996</v>
      </c>
      <c r="CY401">
        <f>AD401</f>
        <v>0</v>
      </c>
      <c r="CZ401">
        <f>AH401</f>
        <v>0</v>
      </c>
      <c r="DA401">
        <f>AL401</f>
        <v>1</v>
      </c>
      <c r="DB401">
        <v>0</v>
      </c>
    </row>
    <row r="402" spans="1:106" x14ac:dyDescent="0.2">
      <c r="A402">
        <f>ROW(Source!A459)</f>
        <v>459</v>
      </c>
      <c r="B402">
        <v>45037306</v>
      </c>
      <c r="C402">
        <v>45038338</v>
      </c>
      <c r="D402">
        <v>22717865</v>
      </c>
      <c r="E402">
        <v>1</v>
      </c>
      <c r="F402">
        <v>1</v>
      </c>
      <c r="G402">
        <v>22652947</v>
      </c>
      <c r="H402">
        <v>3</v>
      </c>
      <c r="I402" t="s">
        <v>506</v>
      </c>
      <c r="J402" t="s">
        <v>504</v>
      </c>
      <c r="K402" t="s">
        <v>536</v>
      </c>
      <c r="L402">
        <v>1303</v>
      </c>
      <c r="N402">
        <v>1003</v>
      </c>
      <c r="O402" t="s">
        <v>503</v>
      </c>
      <c r="P402" t="s">
        <v>503</v>
      </c>
      <c r="Q402">
        <v>1000</v>
      </c>
      <c r="W402">
        <v>0</v>
      </c>
      <c r="X402">
        <v>235493699</v>
      </c>
      <c r="Y402">
        <v>3.4444000000000002E-2</v>
      </c>
      <c r="AA402">
        <v>6747.27</v>
      </c>
      <c r="AB402">
        <v>0</v>
      </c>
      <c r="AC402">
        <v>0</v>
      </c>
      <c r="AD402">
        <v>0</v>
      </c>
      <c r="AE402">
        <v>6747.27</v>
      </c>
      <c r="AF402">
        <v>0</v>
      </c>
      <c r="AG402">
        <v>0</v>
      </c>
      <c r="AH402">
        <v>0</v>
      </c>
      <c r="AI402">
        <v>1</v>
      </c>
      <c r="AJ402">
        <v>1</v>
      </c>
      <c r="AK402">
        <v>1</v>
      </c>
      <c r="AL402">
        <v>1</v>
      </c>
      <c r="AN402">
        <v>0</v>
      </c>
      <c r="AO402">
        <v>0</v>
      </c>
      <c r="AP402">
        <v>0</v>
      </c>
      <c r="AQ402">
        <v>0</v>
      </c>
      <c r="AR402">
        <v>0</v>
      </c>
      <c r="AS402" t="s">
        <v>3</v>
      </c>
      <c r="AT402">
        <v>3.4444000000000002E-2</v>
      </c>
      <c r="AU402" t="s">
        <v>3</v>
      </c>
      <c r="AV402">
        <v>0</v>
      </c>
      <c r="AW402">
        <v>1</v>
      </c>
      <c r="AX402">
        <v>-1</v>
      </c>
      <c r="AY402">
        <v>0</v>
      </c>
      <c r="AZ402">
        <v>0</v>
      </c>
      <c r="BA402" t="s">
        <v>3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CX402">
        <f>Y402*Source!I459</f>
        <v>3.0999600000000002E-2</v>
      </c>
      <c r="CY402">
        <f>AA402</f>
        <v>6747.27</v>
      </c>
      <c r="CZ402">
        <f>AE402</f>
        <v>6747.27</v>
      </c>
      <c r="DA402">
        <f>AI402</f>
        <v>1</v>
      </c>
      <c r="DB402">
        <v>0</v>
      </c>
    </row>
    <row r="403" spans="1:106" x14ac:dyDescent="0.2">
      <c r="A403">
        <f>ROW(Source!A459)</f>
        <v>459</v>
      </c>
      <c r="B403">
        <v>45037306</v>
      </c>
      <c r="C403">
        <v>45038338</v>
      </c>
      <c r="D403">
        <v>22718101</v>
      </c>
      <c r="E403">
        <v>1</v>
      </c>
      <c r="F403">
        <v>1</v>
      </c>
      <c r="G403">
        <v>22652947</v>
      </c>
      <c r="H403">
        <v>3</v>
      </c>
      <c r="I403" t="s">
        <v>538</v>
      </c>
      <c r="J403" t="s">
        <v>540</v>
      </c>
      <c r="K403" t="s">
        <v>539</v>
      </c>
      <c r="L403">
        <v>1303</v>
      </c>
      <c r="N403">
        <v>1003</v>
      </c>
      <c r="O403" t="s">
        <v>503</v>
      </c>
      <c r="P403" t="s">
        <v>503</v>
      </c>
      <c r="Q403">
        <v>1000</v>
      </c>
      <c r="W403">
        <v>0</v>
      </c>
      <c r="X403">
        <v>998669148</v>
      </c>
      <c r="Y403">
        <v>6.8889000000000006E-2</v>
      </c>
      <c r="AA403">
        <v>16446.900000000001</v>
      </c>
      <c r="AB403">
        <v>0</v>
      </c>
      <c r="AC403">
        <v>0</v>
      </c>
      <c r="AD403">
        <v>0</v>
      </c>
      <c r="AE403">
        <v>16446.900000000001</v>
      </c>
      <c r="AF403">
        <v>0</v>
      </c>
      <c r="AG403">
        <v>0</v>
      </c>
      <c r="AH403">
        <v>0</v>
      </c>
      <c r="AI403">
        <v>1</v>
      </c>
      <c r="AJ403">
        <v>1</v>
      </c>
      <c r="AK403">
        <v>1</v>
      </c>
      <c r="AL403">
        <v>1</v>
      </c>
      <c r="AN403">
        <v>0</v>
      </c>
      <c r="AO403">
        <v>0</v>
      </c>
      <c r="AP403">
        <v>0</v>
      </c>
      <c r="AQ403">
        <v>0</v>
      </c>
      <c r="AR403">
        <v>0</v>
      </c>
      <c r="AS403" t="s">
        <v>3</v>
      </c>
      <c r="AT403">
        <v>6.8889000000000006E-2</v>
      </c>
      <c r="AU403" t="s">
        <v>3</v>
      </c>
      <c r="AV403">
        <v>0</v>
      </c>
      <c r="AW403">
        <v>1</v>
      </c>
      <c r="AX403">
        <v>-1</v>
      </c>
      <c r="AY403">
        <v>0</v>
      </c>
      <c r="AZ403">
        <v>0</v>
      </c>
      <c r="BA403" t="s">
        <v>3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CX403">
        <f>Y403*Source!I459</f>
        <v>6.2000100000000009E-2</v>
      </c>
      <c r="CY403">
        <f>AA403</f>
        <v>16446.900000000001</v>
      </c>
      <c r="CZ403">
        <f>AE403</f>
        <v>16446.900000000001</v>
      </c>
      <c r="DA403">
        <f>AI403</f>
        <v>1</v>
      </c>
      <c r="DB403">
        <v>0</v>
      </c>
    </row>
    <row r="404" spans="1:106" x14ac:dyDescent="0.2">
      <c r="A404">
        <f>ROW(Source!A460)</f>
        <v>460</v>
      </c>
      <c r="B404">
        <v>45037307</v>
      </c>
      <c r="C404">
        <v>45038338</v>
      </c>
      <c r="D404">
        <v>22652952</v>
      </c>
      <c r="E404">
        <v>22652947</v>
      </c>
      <c r="F404">
        <v>1</v>
      </c>
      <c r="G404">
        <v>22652947</v>
      </c>
      <c r="H404">
        <v>1</v>
      </c>
      <c r="I404" t="s">
        <v>617</v>
      </c>
      <c r="J404" t="s">
        <v>3</v>
      </c>
      <c r="K404" t="s">
        <v>618</v>
      </c>
      <c r="L404">
        <v>1191</v>
      </c>
      <c r="N404">
        <v>1013</v>
      </c>
      <c r="O404" t="s">
        <v>619</v>
      </c>
      <c r="P404" t="s">
        <v>619</v>
      </c>
      <c r="Q404">
        <v>1</v>
      </c>
      <c r="W404">
        <v>0</v>
      </c>
      <c r="X404">
        <v>476480486</v>
      </c>
      <c r="Y404">
        <v>3.5534999999999997</v>
      </c>
      <c r="AA404">
        <v>0</v>
      </c>
      <c r="AB404">
        <v>0</v>
      </c>
      <c r="AC404">
        <v>0</v>
      </c>
      <c r="AD404">
        <v>0</v>
      </c>
      <c r="AE404">
        <v>0</v>
      </c>
      <c r="AF404">
        <v>0</v>
      </c>
      <c r="AG404">
        <v>0</v>
      </c>
      <c r="AH404">
        <v>0</v>
      </c>
      <c r="AI404">
        <v>1</v>
      </c>
      <c r="AJ404">
        <v>1</v>
      </c>
      <c r="AK404">
        <v>1</v>
      </c>
      <c r="AL404">
        <v>1</v>
      </c>
      <c r="AN404">
        <v>0</v>
      </c>
      <c r="AO404">
        <v>1</v>
      </c>
      <c r="AP404">
        <v>1</v>
      </c>
      <c r="AQ404">
        <v>0</v>
      </c>
      <c r="AR404">
        <v>0</v>
      </c>
      <c r="AS404" t="s">
        <v>3</v>
      </c>
      <c r="AT404">
        <v>3.09</v>
      </c>
      <c r="AU404" t="s">
        <v>37</v>
      </c>
      <c r="AV404">
        <v>1</v>
      </c>
      <c r="AW404">
        <v>2</v>
      </c>
      <c r="AX404">
        <v>45038682</v>
      </c>
      <c r="AY404">
        <v>1</v>
      </c>
      <c r="AZ404">
        <v>0</v>
      </c>
      <c r="BA404">
        <v>392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CX404">
        <f>Y404*Source!I460</f>
        <v>3.1981499999999996</v>
      </c>
      <c r="CY404">
        <f>AD404</f>
        <v>0</v>
      </c>
      <c r="CZ404">
        <f>AH404</f>
        <v>0</v>
      </c>
      <c r="DA404">
        <f>AL404</f>
        <v>1</v>
      </c>
      <c r="DB404">
        <v>0</v>
      </c>
    </row>
    <row r="405" spans="1:106" x14ac:dyDescent="0.2">
      <c r="A405">
        <f>ROW(Source!A460)</f>
        <v>460</v>
      </c>
      <c r="B405">
        <v>45037307</v>
      </c>
      <c r="C405">
        <v>45038338</v>
      </c>
      <c r="D405">
        <v>22717865</v>
      </c>
      <c r="E405">
        <v>1</v>
      </c>
      <c r="F405">
        <v>1</v>
      </c>
      <c r="G405">
        <v>22652947</v>
      </c>
      <c r="H405">
        <v>3</v>
      </c>
      <c r="I405" t="s">
        <v>506</v>
      </c>
      <c r="J405" t="s">
        <v>504</v>
      </c>
      <c r="K405" t="s">
        <v>536</v>
      </c>
      <c r="L405">
        <v>1303</v>
      </c>
      <c r="N405">
        <v>1003</v>
      </c>
      <c r="O405" t="s">
        <v>503</v>
      </c>
      <c r="P405" t="s">
        <v>503</v>
      </c>
      <c r="Q405">
        <v>1000</v>
      </c>
      <c r="W405">
        <v>0</v>
      </c>
      <c r="X405">
        <v>235493699</v>
      </c>
      <c r="Y405">
        <v>3.4444000000000002E-2</v>
      </c>
      <c r="AA405">
        <v>24222.7</v>
      </c>
      <c r="AB405">
        <v>0</v>
      </c>
      <c r="AC405">
        <v>0</v>
      </c>
      <c r="AD405">
        <v>0</v>
      </c>
      <c r="AE405">
        <v>6747.27</v>
      </c>
      <c r="AF405">
        <v>0</v>
      </c>
      <c r="AG405">
        <v>0</v>
      </c>
      <c r="AH405">
        <v>0</v>
      </c>
      <c r="AI405">
        <v>3.59</v>
      </c>
      <c r="AJ405">
        <v>1</v>
      </c>
      <c r="AK405">
        <v>1</v>
      </c>
      <c r="AL405">
        <v>1</v>
      </c>
      <c r="AN405">
        <v>0</v>
      </c>
      <c r="AO405">
        <v>0</v>
      </c>
      <c r="AP405">
        <v>0</v>
      </c>
      <c r="AQ405">
        <v>0</v>
      </c>
      <c r="AR405">
        <v>0</v>
      </c>
      <c r="AS405" t="s">
        <v>3</v>
      </c>
      <c r="AT405">
        <v>3.4444000000000002E-2</v>
      </c>
      <c r="AU405" t="s">
        <v>3</v>
      </c>
      <c r="AV405">
        <v>0</v>
      </c>
      <c r="AW405">
        <v>1</v>
      </c>
      <c r="AX405">
        <v>-1</v>
      </c>
      <c r="AY405">
        <v>0</v>
      </c>
      <c r="AZ405">
        <v>0</v>
      </c>
      <c r="BA405" t="s">
        <v>3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CX405">
        <f>Y405*Source!I460</f>
        <v>3.0999600000000002E-2</v>
      </c>
      <c r="CY405">
        <f>AA405</f>
        <v>24222.7</v>
      </c>
      <c r="CZ405">
        <f>AE405</f>
        <v>6747.27</v>
      </c>
      <c r="DA405">
        <f>AI405</f>
        <v>3.59</v>
      </c>
      <c r="DB405">
        <v>0</v>
      </c>
    </row>
    <row r="406" spans="1:106" x14ac:dyDescent="0.2">
      <c r="A406">
        <f>ROW(Source!A460)</f>
        <v>460</v>
      </c>
      <c r="B406">
        <v>45037307</v>
      </c>
      <c r="C406">
        <v>45038338</v>
      </c>
      <c r="D406">
        <v>22718101</v>
      </c>
      <c r="E406">
        <v>1</v>
      </c>
      <c r="F406">
        <v>1</v>
      </c>
      <c r="G406">
        <v>22652947</v>
      </c>
      <c r="H406">
        <v>3</v>
      </c>
      <c r="I406" t="s">
        <v>538</v>
      </c>
      <c r="J406" t="s">
        <v>540</v>
      </c>
      <c r="K406" t="s">
        <v>539</v>
      </c>
      <c r="L406">
        <v>1303</v>
      </c>
      <c r="N406">
        <v>1003</v>
      </c>
      <c r="O406" t="s">
        <v>503</v>
      </c>
      <c r="P406" t="s">
        <v>503</v>
      </c>
      <c r="Q406">
        <v>1000</v>
      </c>
      <c r="W406">
        <v>0</v>
      </c>
      <c r="X406">
        <v>998669148</v>
      </c>
      <c r="Y406">
        <v>6.8889000000000006E-2</v>
      </c>
      <c r="AA406">
        <v>53452.43</v>
      </c>
      <c r="AB406">
        <v>0</v>
      </c>
      <c r="AC406">
        <v>0</v>
      </c>
      <c r="AD406">
        <v>0</v>
      </c>
      <c r="AE406">
        <v>16446.900000000001</v>
      </c>
      <c r="AF406">
        <v>0</v>
      </c>
      <c r="AG406">
        <v>0</v>
      </c>
      <c r="AH406">
        <v>0</v>
      </c>
      <c r="AI406">
        <v>3.25</v>
      </c>
      <c r="AJ406">
        <v>1</v>
      </c>
      <c r="AK406">
        <v>1</v>
      </c>
      <c r="AL406">
        <v>1</v>
      </c>
      <c r="AN406">
        <v>0</v>
      </c>
      <c r="AO406">
        <v>0</v>
      </c>
      <c r="AP406">
        <v>0</v>
      </c>
      <c r="AQ406">
        <v>0</v>
      </c>
      <c r="AR406">
        <v>0</v>
      </c>
      <c r="AS406" t="s">
        <v>3</v>
      </c>
      <c r="AT406">
        <v>6.8889000000000006E-2</v>
      </c>
      <c r="AU406" t="s">
        <v>3</v>
      </c>
      <c r="AV406">
        <v>0</v>
      </c>
      <c r="AW406">
        <v>1</v>
      </c>
      <c r="AX406">
        <v>-1</v>
      </c>
      <c r="AY406">
        <v>0</v>
      </c>
      <c r="AZ406">
        <v>0</v>
      </c>
      <c r="BA406" t="s">
        <v>3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CX406">
        <f>Y406*Source!I460</f>
        <v>6.2000100000000009E-2</v>
      </c>
      <c r="CY406">
        <f>AA406</f>
        <v>53452.43</v>
      </c>
      <c r="CZ406">
        <f>AE406</f>
        <v>16446.900000000001</v>
      </c>
      <c r="DA406">
        <f>AI406</f>
        <v>3.25</v>
      </c>
      <c r="DB406">
        <v>0</v>
      </c>
    </row>
    <row r="407" spans="1:106" x14ac:dyDescent="0.2">
      <c r="A407">
        <f>ROW(Source!A465)</f>
        <v>465</v>
      </c>
      <c r="B407">
        <v>45037306</v>
      </c>
      <c r="C407">
        <v>45038345</v>
      </c>
      <c r="D407">
        <v>22652952</v>
      </c>
      <c r="E407">
        <v>22652947</v>
      </c>
      <c r="F407">
        <v>1</v>
      </c>
      <c r="G407">
        <v>22652947</v>
      </c>
      <c r="H407">
        <v>1</v>
      </c>
      <c r="I407" t="s">
        <v>617</v>
      </c>
      <c r="J407" t="s">
        <v>3</v>
      </c>
      <c r="K407" t="s">
        <v>618</v>
      </c>
      <c r="L407">
        <v>1191</v>
      </c>
      <c r="N407">
        <v>1013</v>
      </c>
      <c r="O407" t="s">
        <v>619</v>
      </c>
      <c r="P407" t="s">
        <v>619</v>
      </c>
      <c r="Q407">
        <v>1</v>
      </c>
      <c r="W407">
        <v>0</v>
      </c>
      <c r="X407">
        <v>476480486</v>
      </c>
      <c r="Y407">
        <v>34.5</v>
      </c>
      <c r="AA407">
        <v>0</v>
      </c>
      <c r="AB407">
        <v>0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1</v>
      </c>
      <c r="AJ407">
        <v>1</v>
      </c>
      <c r="AK407">
        <v>1</v>
      </c>
      <c r="AL407">
        <v>1</v>
      </c>
      <c r="AN407">
        <v>0</v>
      </c>
      <c r="AO407">
        <v>1</v>
      </c>
      <c r="AP407">
        <v>1</v>
      </c>
      <c r="AQ407">
        <v>0</v>
      </c>
      <c r="AR407">
        <v>0</v>
      </c>
      <c r="AS407" t="s">
        <v>3</v>
      </c>
      <c r="AT407">
        <v>30</v>
      </c>
      <c r="AU407" t="s">
        <v>37</v>
      </c>
      <c r="AV407">
        <v>1</v>
      </c>
      <c r="AW407">
        <v>2</v>
      </c>
      <c r="AX407">
        <v>45038683</v>
      </c>
      <c r="AY407">
        <v>1</v>
      </c>
      <c r="AZ407">
        <v>0</v>
      </c>
      <c r="BA407">
        <v>393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CX407">
        <f>Y407*Source!I465</f>
        <v>0.69000000000000006</v>
      </c>
      <c r="CY407">
        <f>AD407</f>
        <v>0</v>
      </c>
      <c r="CZ407">
        <f>AH407</f>
        <v>0</v>
      </c>
      <c r="DA407">
        <f>AL407</f>
        <v>1</v>
      </c>
      <c r="DB407">
        <v>0</v>
      </c>
    </row>
    <row r="408" spans="1:106" x14ac:dyDescent="0.2">
      <c r="A408">
        <f>ROW(Source!A465)</f>
        <v>465</v>
      </c>
      <c r="B408">
        <v>45037306</v>
      </c>
      <c r="C408">
        <v>45038345</v>
      </c>
      <c r="D408">
        <v>22714730</v>
      </c>
      <c r="E408">
        <v>1</v>
      </c>
      <c r="F408">
        <v>1</v>
      </c>
      <c r="G408">
        <v>22652947</v>
      </c>
      <c r="H408">
        <v>3</v>
      </c>
      <c r="I408" t="s">
        <v>546</v>
      </c>
      <c r="J408" t="s">
        <v>548</v>
      </c>
      <c r="K408" t="s">
        <v>547</v>
      </c>
      <c r="L408">
        <v>1354</v>
      </c>
      <c r="N408">
        <v>1010</v>
      </c>
      <c r="O408" t="s">
        <v>304</v>
      </c>
      <c r="P408" t="s">
        <v>304</v>
      </c>
      <c r="Q408">
        <v>1</v>
      </c>
      <c r="W408">
        <v>0</v>
      </c>
      <c r="X408">
        <v>-1203482581</v>
      </c>
      <c r="Y408">
        <v>100</v>
      </c>
      <c r="AA408">
        <v>13.57</v>
      </c>
      <c r="AB408">
        <v>0</v>
      </c>
      <c r="AC408">
        <v>0</v>
      </c>
      <c r="AD408">
        <v>0</v>
      </c>
      <c r="AE408">
        <v>13.57</v>
      </c>
      <c r="AF408">
        <v>0</v>
      </c>
      <c r="AG408">
        <v>0</v>
      </c>
      <c r="AH408">
        <v>0</v>
      </c>
      <c r="AI408">
        <v>1</v>
      </c>
      <c r="AJ408">
        <v>1</v>
      </c>
      <c r="AK408">
        <v>1</v>
      </c>
      <c r="AL408">
        <v>1</v>
      </c>
      <c r="AN408">
        <v>0</v>
      </c>
      <c r="AO408">
        <v>0</v>
      </c>
      <c r="AP408">
        <v>0</v>
      </c>
      <c r="AQ408">
        <v>0</v>
      </c>
      <c r="AR408">
        <v>0</v>
      </c>
      <c r="AS408" t="s">
        <v>3</v>
      </c>
      <c r="AT408">
        <v>100</v>
      </c>
      <c r="AU408" t="s">
        <v>3</v>
      </c>
      <c r="AV408">
        <v>0</v>
      </c>
      <c r="AW408">
        <v>1</v>
      </c>
      <c r="AX408">
        <v>-1</v>
      </c>
      <c r="AY408">
        <v>0</v>
      </c>
      <c r="AZ408">
        <v>0</v>
      </c>
      <c r="BA408" t="s">
        <v>3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CX408">
        <f>Y408*Source!I465</f>
        <v>2</v>
      </c>
      <c r="CY408">
        <f>AA408</f>
        <v>13.57</v>
      </c>
      <c r="CZ408">
        <f>AE408</f>
        <v>13.57</v>
      </c>
      <c r="DA408">
        <f>AI408</f>
        <v>1</v>
      </c>
      <c r="DB408">
        <v>0</v>
      </c>
    </row>
    <row r="409" spans="1:106" x14ac:dyDescent="0.2">
      <c r="A409">
        <f>ROW(Source!A465)</f>
        <v>465</v>
      </c>
      <c r="B409">
        <v>45037306</v>
      </c>
      <c r="C409">
        <v>45038345</v>
      </c>
      <c r="D409">
        <v>22713812</v>
      </c>
      <c r="E409">
        <v>1</v>
      </c>
      <c r="F409">
        <v>1</v>
      </c>
      <c r="G409">
        <v>22652947</v>
      </c>
      <c r="H409">
        <v>3</v>
      </c>
      <c r="I409" t="s">
        <v>550</v>
      </c>
      <c r="J409" t="s">
        <v>553</v>
      </c>
      <c r="K409" t="s">
        <v>551</v>
      </c>
      <c r="L409">
        <v>1356</v>
      </c>
      <c r="N409">
        <v>1010</v>
      </c>
      <c r="O409" t="s">
        <v>552</v>
      </c>
      <c r="P409" t="s">
        <v>552</v>
      </c>
      <c r="Q409">
        <v>1000</v>
      </c>
      <c r="W409">
        <v>0</v>
      </c>
      <c r="X409">
        <v>-985284414</v>
      </c>
      <c r="Y409">
        <v>0.1</v>
      </c>
      <c r="AA409">
        <v>3907.01</v>
      </c>
      <c r="AB409">
        <v>0</v>
      </c>
      <c r="AC409">
        <v>0</v>
      </c>
      <c r="AD409">
        <v>0</v>
      </c>
      <c r="AE409">
        <v>3907.01</v>
      </c>
      <c r="AF409">
        <v>0</v>
      </c>
      <c r="AG409">
        <v>0</v>
      </c>
      <c r="AH409">
        <v>0</v>
      </c>
      <c r="AI409">
        <v>1</v>
      </c>
      <c r="AJ409">
        <v>1</v>
      </c>
      <c r="AK409">
        <v>1</v>
      </c>
      <c r="AL409">
        <v>1</v>
      </c>
      <c r="AN409">
        <v>0</v>
      </c>
      <c r="AO409">
        <v>0</v>
      </c>
      <c r="AP409">
        <v>0</v>
      </c>
      <c r="AQ409">
        <v>0</v>
      </c>
      <c r="AR409">
        <v>0</v>
      </c>
      <c r="AS409" t="s">
        <v>3</v>
      </c>
      <c r="AT409">
        <v>0.1</v>
      </c>
      <c r="AU409" t="s">
        <v>3</v>
      </c>
      <c r="AV409">
        <v>0</v>
      </c>
      <c r="AW409">
        <v>1</v>
      </c>
      <c r="AX409">
        <v>-1</v>
      </c>
      <c r="AY409">
        <v>0</v>
      </c>
      <c r="AZ409">
        <v>0</v>
      </c>
      <c r="BA409" t="s">
        <v>3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CX409">
        <f>Y409*Source!I465</f>
        <v>2E-3</v>
      </c>
      <c r="CY409">
        <f>AA409</f>
        <v>3907.01</v>
      </c>
      <c r="CZ409">
        <f>AE409</f>
        <v>3907.01</v>
      </c>
      <c r="DA409">
        <f>AI409</f>
        <v>1</v>
      </c>
      <c r="DB409">
        <v>0</v>
      </c>
    </row>
    <row r="410" spans="1:106" x14ac:dyDescent="0.2">
      <c r="A410">
        <f>ROW(Source!A466)</f>
        <v>466</v>
      </c>
      <c r="B410">
        <v>45037307</v>
      </c>
      <c r="C410">
        <v>45038345</v>
      </c>
      <c r="D410">
        <v>22652952</v>
      </c>
      <c r="E410">
        <v>22652947</v>
      </c>
      <c r="F410">
        <v>1</v>
      </c>
      <c r="G410">
        <v>22652947</v>
      </c>
      <c r="H410">
        <v>1</v>
      </c>
      <c r="I410" t="s">
        <v>617</v>
      </c>
      <c r="J410" t="s">
        <v>3</v>
      </c>
      <c r="K410" t="s">
        <v>618</v>
      </c>
      <c r="L410">
        <v>1191</v>
      </c>
      <c r="N410">
        <v>1013</v>
      </c>
      <c r="O410" t="s">
        <v>619</v>
      </c>
      <c r="P410" t="s">
        <v>619</v>
      </c>
      <c r="Q410">
        <v>1</v>
      </c>
      <c r="W410">
        <v>0</v>
      </c>
      <c r="X410">
        <v>476480486</v>
      </c>
      <c r="Y410">
        <v>34.5</v>
      </c>
      <c r="AA410">
        <v>0</v>
      </c>
      <c r="AB410">
        <v>0</v>
      </c>
      <c r="AC410">
        <v>0</v>
      </c>
      <c r="AD410">
        <v>0</v>
      </c>
      <c r="AE410">
        <v>0</v>
      </c>
      <c r="AF410">
        <v>0</v>
      </c>
      <c r="AG410">
        <v>0</v>
      </c>
      <c r="AH410">
        <v>0</v>
      </c>
      <c r="AI410">
        <v>1</v>
      </c>
      <c r="AJ410">
        <v>1</v>
      </c>
      <c r="AK410">
        <v>1</v>
      </c>
      <c r="AL410">
        <v>1</v>
      </c>
      <c r="AN410">
        <v>0</v>
      </c>
      <c r="AO410">
        <v>1</v>
      </c>
      <c r="AP410">
        <v>1</v>
      </c>
      <c r="AQ410">
        <v>0</v>
      </c>
      <c r="AR410">
        <v>0</v>
      </c>
      <c r="AS410" t="s">
        <v>3</v>
      </c>
      <c r="AT410">
        <v>30</v>
      </c>
      <c r="AU410" t="s">
        <v>37</v>
      </c>
      <c r="AV410">
        <v>1</v>
      </c>
      <c r="AW410">
        <v>2</v>
      </c>
      <c r="AX410">
        <v>45038683</v>
      </c>
      <c r="AY410">
        <v>1</v>
      </c>
      <c r="AZ410">
        <v>0</v>
      </c>
      <c r="BA410">
        <v>394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CX410">
        <f>Y410*Source!I466</f>
        <v>0.69000000000000006</v>
      </c>
      <c r="CY410">
        <f>AD410</f>
        <v>0</v>
      </c>
      <c r="CZ410">
        <f>AH410</f>
        <v>0</v>
      </c>
      <c r="DA410">
        <f>AL410</f>
        <v>1</v>
      </c>
      <c r="DB410">
        <v>0</v>
      </c>
    </row>
    <row r="411" spans="1:106" x14ac:dyDescent="0.2">
      <c r="A411">
        <f>ROW(Source!A466)</f>
        <v>466</v>
      </c>
      <c r="B411">
        <v>45037307</v>
      </c>
      <c r="C411">
        <v>45038345</v>
      </c>
      <c r="D411">
        <v>22714730</v>
      </c>
      <c r="E411">
        <v>1</v>
      </c>
      <c r="F411">
        <v>1</v>
      </c>
      <c r="G411">
        <v>22652947</v>
      </c>
      <c r="H411">
        <v>3</v>
      </c>
      <c r="I411" t="s">
        <v>546</v>
      </c>
      <c r="J411" t="s">
        <v>548</v>
      </c>
      <c r="K411" t="s">
        <v>547</v>
      </c>
      <c r="L411">
        <v>1354</v>
      </c>
      <c r="N411">
        <v>1010</v>
      </c>
      <c r="O411" t="s">
        <v>304</v>
      </c>
      <c r="P411" t="s">
        <v>304</v>
      </c>
      <c r="Q411">
        <v>1</v>
      </c>
      <c r="W411">
        <v>0</v>
      </c>
      <c r="X411">
        <v>-1203482581</v>
      </c>
      <c r="Y411">
        <v>100</v>
      </c>
      <c r="AA411">
        <v>65.27</v>
      </c>
      <c r="AB411">
        <v>0</v>
      </c>
      <c r="AC411">
        <v>0</v>
      </c>
      <c r="AD411">
        <v>0</v>
      </c>
      <c r="AE411">
        <v>13.57</v>
      </c>
      <c r="AF411">
        <v>0</v>
      </c>
      <c r="AG411">
        <v>0</v>
      </c>
      <c r="AH411">
        <v>0</v>
      </c>
      <c r="AI411">
        <v>4.8099999999999996</v>
      </c>
      <c r="AJ411">
        <v>1</v>
      </c>
      <c r="AK411">
        <v>1</v>
      </c>
      <c r="AL411">
        <v>1</v>
      </c>
      <c r="AN411">
        <v>0</v>
      </c>
      <c r="AO411">
        <v>0</v>
      </c>
      <c r="AP411">
        <v>0</v>
      </c>
      <c r="AQ411">
        <v>0</v>
      </c>
      <c r="AR411">
        <v>0</v>
      </c>
      <c r="AS411" t="s">
        <v>3</v>
      </c>
      <c r="AT411">
        <v>100</v>
      </c>
      <c r="AU411" t="s">
        <v>3</v>
      </c>
      <c r="AV411">
        <v>0</v>
      </c>
      <c r="AW411">
        <v>1</v>
      </c>
      <c r="AX411">
        <v>-1</v>
      </c>
      <c r="AY411">
        <v>0</v>
      </c>
      <c r="AZ411">
        <v>0</v>
      </c>
      <c r="BA411" t="s">
        <v>3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CX411">
        <f>Y411*Source!I466</f>
        <v>2</v>
      </c>
      <c r="CY411">
        <f>AA411</f>
        <v>65.27</v>
      </c>
      <c r="CZ411">
        <f>AE411</f>
        <v>13.57</v>
      </c>
      <c r="DA411">
        <f>AI411</f>
        <v>4.8099999999999996</v>
      </c>
      <c r="DB411">
        <v>0</v>
      </c>
    </row>
    <row r="412" spans="1:106" x14ac:dyDescent="0.2">
      <c r="A412">
        <f>ROW(Source!A466)</f>
        <v>466</v>
      </c>
      <c r="B412">
        <v>45037307</v>
      </c>
      <c r="C412">
        <v>45038345</v>
      </c>
      <c r="D412">
        <v>22713812</v>
      </c>
      <c r="E412">
        <v>1</v>
      </c>
      <c r="F412">
        <v>1</v>
      </c>
      <c r="G412">
        <v>22652947</v>
      </c>
      <c r="H412">
        <v>3</v>
      </c>
      <c r="I412" t="s">
        <v>550</v>
      </c>
      <c r="J412" t="s">
        <v>553</v>
      </c>
      <c r="K412" t="s">
        <v>551</v>
      </c>
      <c r="L412">
        <v>1356</v>
      </c>
      <c r="N412">
        <v>1010</v>
      </c>
      <c r="O412" t="s">
        <v>552</v>
      </c>
      <c r="P412" t="s">
        <v>552</v>
      </c>
      <c r="Q412">
        <v>1000</v>
      </c>
      <c r="W412">
        <v>0</v>
      </c>
      <c r="X412">
        <v>-985284414</v>
      </c>
      <c r="Y412">
        <v>0.1</v>
      </c>
      <c r="AA412">
        <v>7735.88</v>
      </c>
      <c r="AB412">
        <v>0</v>
      </c>
      <c r="AC412">
        <v>0</v>
      </c>
      <c r="AD412">
        <v>0</v>
      </c>
      <c r="AE412">
        <v>3907.01</v>
      </c>
      <c r="AF412">
        <v>0</v>
      </c>
      <c r="AG412">
        <v>0</v>
      </c>
      <c r="AH412">
        <v>0</v>
      </c>
      <c r="AI412">
        <v>1.98</v>
      </c>
      <c r="AJ412">
        <v>1</v>
      </c>
      <c r="AK412">
        <v>1</v>
      </c>
      <c r="AL412">
        <v>1</v>
      </c>
      <c r="AN412">
        <v>0</v>
      </c>
      <c r="AO412">
        <v>0</v>
      </c>
      <c r="AP412">
        <v>0</v>
      </c>
      <c r="AQ412">
        <v>0</v>
      </c>
      <c r="AR412">
        <v>0</v>
      </c>
      <c r="AS412" t="s">
        <v>3</v>
      </c>
      <c r="AT412">
        <v>0.1</v>
      </c>
      <c r="AU412" t="s">
        <v>3</v>
      </c>
      <c r="AV412">
        <v>0</v>
      </c>
      <c r="AW412">
        <v>1</v>
      </c>
      <c r="AX412">
        <v>-1</v>
      </c>
      <c r="AY412">
        <v>0</v>
      </c>
      <c r="AZ412">
        <v>0</v>
      </c>
      <c r="BA412" t="s">
        <v>3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CX412">
        <f>Y412*Source!I466</f>
        <v>2E-3</v>
      </c>
      <c r="CY412">
        <f>AA412</f>
        <v>7735.88</v>
      </c>
      <c r="CZ412">
        <f>AE412</f>
        <v>3907.01</v>
      </c>
      <c r="DA412">
        <f>AI412</f>
        <v>1.98</v>
      </c>
      <c r="DB412">
        <v>0</v>
      </c>
    </row>
    <row r="413" spans="1:106" x14ac:dyDescent="0.2">
      <c r="A413">
        <f>ROW(Source!A471)</f>
        <v>471</v>
      </c>
      <c r="B413">
        <v>45037306</v>
      </c>
      <c r="C413">
        <v>45038352</v>
      </c>
      <c r="D413">
        <v>22652952</v>
      </c>
      <c r="E413">
        <v>22652947</v>
      </c>
      <c r="F413">
        <v>1</v>
      </c>
      <c r="G413">
        <v>22652947</v>
      </c>
      <c r="H413">
        <v>1</v>
      </c>
      <c r="I413" t="s">
        <v>617</v>
      </c>
      <c r="J413" t="s">
        <v>3</v>
      </c>
      <c r="K413" t="s">
        <v>618</v>
      </c>
      <c r="L413">
        <v>1191</v>
      </c>
      <c r="N413">
        <v>1013</v>
      </c>
      <c r="O413" t="s">
        <v>619</v>
      </c>
      <c r="P413" t="s">
        <v>619</v>
      </c>
      <c r="Q413">
        <v>1</v>
      </c>
      <c r="W413">
        <v>0</v>
      </c>
      <c r="X413">
        <v>476480486</v>
      </c>
      <c r="Y413">
        <v>151.79999999999998</v>
      </c>
      <c r="AA413">
        <v>0</v>
      </c>
      <c r="AB413">
        <v>0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1</v>
      </c>
      <c r="AJ413">
        <v>1</v>
      </c>
      <c r="AK413">
        <v>1</v>
      </c>
      <c r="AL413">
        <v>1</v>
      </c>
      <c r="AN413">
        <v>0</v>
      </c>
      <c r="AO413">
        <v>1</v>
      </c>
      <c r="AP413">
        <v>1</v>
      </c>
      <c r="AQ413">
        <v>0</v>
      </c>
      <c r="AR413">
        <v>0</v>
      </c>
      <c r="AS413" t="s">
        <v>3</v>
      </c>
      <c r="AT413">
        <v>132</v>
      </c>
      <c r="AU413" t="s">
        <v>37</v>
      </c>
      <c r="AV413">
        <v>1</v>
      </c>
      <c r="AW413">
        <v>2</v>
      </c>
      <c r="AX413">
        <v>45038684</v>
      </c>
      <c r="AY413">
        <v>1</v>
      </c>
      <c r="AZ413">
        <v>0</v>
      </c>
      <c r="BA413">
        <v>395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CX413">
        <f>Y413*Source!I471</f>
        <v>3.0359999999999996</v>
      </c>
      <c r="CY413">
        <f>AD413</f>
        <v>0</v>
      </c>
      <c r="CZ413">
        <f>AH413</f>
        <v>0</v>
      </c>
      <c r="DA413">
        <f>AL413</f>
        <v>1</v>
      </c>
      <c r="DB413">
        <v>0</v>
      </c>
    </row>
    <row r="414" spans="1:106" x14ac:dyDescent="0.2">
      <c r="A414">
        <f>ROW(Source!A471)</f>
        <v>471</v>
      </c>
      <c r="B414">
        <v>45037306</v>
      </c>
      <c r="C414">
        <v>45038352</v>
      </c>
      <c r="D414">
        <v>22714856</v>
      </c>
      <c r="E414">
        <v>1</v>
      </c>
      <c r="F414">
        <v>1</v>
      </c>
      <c r="G414">
        <v>22652947</v>
      </c>
      <c r="H414">
        <v>3</v>
      </c>
      <c r="I414" t="s">
        <v>559</v>
      </c>
      <c r="J414" t="s">
        <v>561</v>
      </c>
      <c r="K414" t="s">
        <v>560</v>
      </c>
      <c r="L414">
        <v>1354</v>
      </c>
      <c r="N414">
        <v>1010</v>
      </c>
      <c r="O414" t="s">
        <v>304</v>
      </c>
      <c r="P414" t="s">
        <v>304</v>
      </c>
      <c r="Q414">
        <v>1</v>
      </c>
      <c r="W414">
        <v>0</v>
      </c>
      <c r="X414">
        <v>-780789268</v>
      </c>
      <c r="Y414">
        <v>100</v>
      </c>
      <c r="AA414">
        <v>481.23</v>
      </c>
      <c r="AB414">
        <v>0</v>
      </c>
      <c r="AC414">
        <v>0</v>
      </c>
      <c r="AD414">
        <v>0</v>
      </c>
      <c r="AE414">
        <v>481.23</v>
      </c>
      <c r="AF414">
        <v>0</v>
      </c>
      <c r="AG414">
        <v>0</v>
      </c>
      <c r="AH414">
        <v>0</v>
      </c>
      <c r="AI414">
        <v>1</v>
      </c>
      <c r="AJ414">
        <v>1</v>
      </c>
      <c r="AK414">
        <v>1</v>
      </c>
      <c r="AL414">
        <v>1</v>
      </c>
      <c r="AN414">
        <v>0</v>
      </c>
      <c r="AO414">
        <v>0</v>
      </c>
      <c r="AP414">
        <v>0</v>
      </c>
      <c r="AQ414">
        <v>0</v>
      </c>
      <c r="AR414">
        <v>0</v>
      </c>
      <c r="AS414" t="s">
        <v>3</v>
      </c>
      <c r="AT414">
        <v>100</v>
      </c>
      <c r="AU414" t="s">
        <v>3</v>
      </c>
      <c r="AV414">
        <v>0</v>
      </c>
      <c r="AW414">
        <v>1</v>
      </c>
      <c r="AX414">
        <v>-1</v>
      </c>
      <c r="AY414">
        <v>0</v>
      </c>
      <c r="AZ414">
        <v>0</v>
      </c>
      <c r="BA414" t="s">
        <v>3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CX414">
        <f>Y414*Source!I471</f>
        <v>2</v>
      </c>
      <c r="CY414">
        <f>AA414</f>
        <v>481.23</v>
      </c>
      <c r="CZ414">
        <f>AE414</f>
        <v>481.23</v>
      </c>
      <c r="DA414">
        <f>AI414</f>
        <v>1</v>
      </c>
      <c r="DB414">
        <v>0</v>
      </c>
    </row>
    <row r="415" spans="1:106" x14ac:dyDescent="0.2">
      <c r="A415">
        <f>ROW(Source!A472)</f>
        <v>472</v>
      </c>
      <c r="B415">
        <v>45037307</v>
      </c>
      <c r="C415">
        <v>45038352</v>
      </c>
      <c r="D415">
        <v>22652952</v>
      </c>
      <c r="E415">
        <v>22652947</v>
      </c>
      <c r="F415">
        <v>1</v>
      </c>
      <c r="G415">
        <v>22652947</v>
      </c>
      <c r="H415">
        <v>1</v>
      </c>
      <c r="I415" t="s">
        <v>617</v>
      </c>
      <c r="J415" t="s">
        <v>3</v>
      </c>
      <c r="K415" t="s">
        <v>618</v>
      </c>
      <c r="L415">
        <v>1191</v>
      </c>
      <c r="N415">
        <v>1013</v>
      </c>
      <c r="O415" t="s">
        <v>619</v>
      </c>
      <c r="P415" t="s">
        <v>619</v>
      </c>
      <c r="Q415">
        <v>1</v>
      </c>
      <c r="W415">
        <v>0</v>
      </c>
      <c r="X415">
        <v>476480486</v>
      </c>
      <c r="Y415">
        <v>151.79999999999998</v>
      </c>
      <c r="AA415">
        <v>0</v>
      </c>
      <c r="AB415">
        <v>0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1</v>
      </c>
      <c r="AJ415">
        <v>1</v>
      </c>
      <c r="AK415">
        <v>1</v>
      </c>
      <c r="AL415">
        <v>1</v>
      </c>
      <c r="AN415">
        <v>0</v>
      </c>
      <c r="AO415">
        <v>1</v>
      </c>
      <c r="AP415">
        <v>1</v>
      </c>
      <c r="AQ415">
        <v>0</v>
      </c>
      <c r="AR415">
        <v>0</v>
      </c>
      <c r="AS415" t="s">
        <v>3</v>
      </c>
      <c r="AT415">
        <v>132</v>
      </c>
      <c r="AU415" t="s">
        <v>37</v>
      </c>
      <c r="AV415">
        <v>1</v>
      </c>
      <c r="AW415">
        <v>2</v>
      </c>
      <c r="AX415">
        <v>45038684</v>
      </c>
      <c r="AY415">
        <v>1</v>
      </c>
      <c r="AZ415">
        <v>0</v>
      </c>
      <c r="BA415">
        <v>396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CX415">
        <f>Y415*Source!I472</f>
        <v>3.0359999999999996</v>
      </c>
      <c r="CY415">
        <f>AD415</f>
        <v>0</v>
      </c>
      <c r="CZ415">
        <f>AH415</f>
        <v>0</v>
      </c>
      <c r="DA415">
        <f>AL415</f>
        <v>1</v>
      </c>
      <c r="DB415">
        <v>0</v>
      </c>
    </row>
    <row r="416" spans="1:106" x14ac:dyDescent="0.2">
      <c r="A416">
        <f>ROW(Source!A472)</f>
        <v>472</v>
      </c>
      <c r="B416">
        <v>45037307</v>
      </c>
      <c r="C416">
        <v>45038352</v>
      </c>
      <c r="D416">
        <v>22714856</v>
      </c>
      <c r="E416">
        <v>1</v>
      </c>
      <c r="F416">
        <v>1</v>
      </c>
      <c r="G416">
        <v>22652947</v>
      </c>
      <c r="H416">
        <v>3</v>
      </c>
      <c r="I416" t="s">
        <v>559</v>
      </c>
      <c r="J416" t="s">
        <v>561</v>
      </c>
      <c r="K416" t="s">
        <v>560</v>
      </c>
      <c r="L416">
        <v>1354</v>
      </c>
      <c r="N416">
        <v>1010</v>
      </c>
      <c r="O416" t="s">
        <v>304</v>
      </c>
      <c r="P416" t="s">
        <v>304</v>
      </c>
      <c r="Q416">
        <v>1</v>
      </c>
      <c r="W416">
        <v>0</v>
      </c>
      <c r="X416">
        <v>-780789268</v>
      </c>
      <c r="Y416">
        <v>100</v>
      </c>
      <c r="AA416">
        <v>1871.98</v>
      </c>
      <c r="AB416">
        <v>0</v>
      </c>
      <c r="AC416">
        <v>0</v>
      </c>
      <c r="AD416">
        <v>0</v>
      </c>
      <c r="AE416">
        <v>481.23</v>
      </c>
      <c r="AF416">
        <v>0</v>
      </c>
      <c r="AG416">
        <v>0</v>
      </c>
      <c r="AH416">
        <v>0</v>
      </c>
      <c r="AI416">
        <v>3.89</v>
      </c>
      <c r="AJ416">
        <v>1</v>
      </c>
      <c r="AK416">
        <v>1</v>
      </c>
      <c r="AL416">
        <v>1</v>
      </c>
      <c r="AN416">
        <v>0</v>
      </c>
      <c r="AO416">
        <v>0</v>
      </c>
      <c r="AP416">
        <v>0</v>
      </c>
      <c r="AQ416">
        <v>0</v>
      </c>
      <c r="AR416">
        <v>0</v>
      </c>
      <c r="AS416" t="s">
        <v>3</v>
      </c>
      <c r="AT416">
        <v>100</v>
      </c>
      <c r="AU416" t="s">
        <v>3</v>
      </c>
      <c r="AV416">
        <v>0</v>
      </c>
      <c r="AW416">
        <v>1</v>
      </c>
      <c r="AX416">
        <v>-1</v>
      </c>
      <c r="AY416">
        <v>0</v>
      </c>
      <c r="AZ416">
        <v>0</v>
      </c>
      <c r="BA416" t="s">
        <v>3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CX416">
        <f>Y416*Source!I472</f>
        <v>2</v>
      </c>
      <c r="CY416">
        <f>AA416</f>
        <v>1871.98</v>
      </c>
      <c r="CZ416">
        <f>AE416</f>
        <v>481.23</v>
      </c>
      <c r="DA416">
        <f>AI416</f>
        <v>3.89</v>
      </c>
      <c r="DB416">
        <v>0</v>
      </c>
    </row>
    <row r="417" spans="1:106" x14ac:dyDescent="0.2">
      <c r="A417">
        <f>ROW(Source!A475)</f>
        <v>475</v>
      </c>
      <c r="B417">
        <v>45037306</v>
      </c>
      <c r="C417">
        <v>45038357</v>
      </c>
      <c r="D417">
        <v>22652952</v>
      </c>
      <c r="E417">
        <v>22652947</v>
      </c>
      <c r="F417">
        <v>1</v>
      </c>
      <c r="G417">
        <v>22652947</v>
      </c>
      <c r="H417">
        <v>1</v>
      </c>
      <c r="I417" t="s">
        <v>617</v>
      </c>
      <c r="J417" t="s">
        <v>3</v>
      </c>
      <c r="K417" t="s">
        <v>618</v>
      </c>
      <c r="L417">
        <v>1191</v>
      </c>
      <c r="N417">
        <v>1013</v>
      </c>
      <c r="O417" t="s">
        <v>619</v>
      </c>
      <c r="P417" t="s">
        <v>619</v>
      </c>
      <c r="Q417">
        <v>1</v>
      </c>
      <c r="W417">
        <v>0</v>
      </c>
      <c r="X417">
        <v>476480486</v>
      </c>
      <c r="Y417">
        <v>196.42</v>
      </c>
      <c r="AA417">
        <v>0</v>
      </c>
      <c r="AB417">
        <v>0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1</v>
      </c>
      <c r="AJ417">
        <v>1</v>
      </c>
      <c r="AK417">
        <v>1</v>
      </c>
      <c r="AL417">
        <v>1</v>
      </c>
      <c r="AN417">
        <v>0</v>
      </c>
      <c r="AO417">
        <v>1</v>
      </c>
      <c r="AP417">
        <v>1</v>
      </c>
      <c r="AQ417">
        <v>0</v>
      </c>
      <c r="AR417">
        <v>0</v>
      </c>
      <c r="AS417" t="s">
        <v>3</v>
      </c>
      <c r="AT417">
        <v>170.8</v>
      </c>
      <c r="AU417" t="s">
        <v>37</v>
      </c>
      <c r="AV417">
        <v>1</v>
      </c>
      <c r="AW417">
        <v>2</v>
      </c>
      <c r="AX417">
        <v>45038685</v>
      </c>
      <c r="AY417">
        <v>1</v>
      </c>
      <c r="AZ417">
        <v>0</v>
      </c>
      <c r="BA417">
        <v>397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CX417">
        <f>Y417*Source!I475</f>
        <v>1.9641999999999999</v>
      </c>
      <c r="CY417">
        <f>AD417</f>
        <v>0</v>
      </c>
      <c r="CZ417">
        <f>AH417</f>
        <v>0</v>
      </c>
      <c r="DA417">
        <f>AL417</f>
        <v>1</v>
      </c>
      <c r="DB417">
        <v>0</v>
      </c>
    </row>
    <row r="418" spans="1:106" x14ac:dyDescent="0.2">
      <c r="A418">
        <f>ROW(Source!A475)</f>
        <v>475</v>
      </c>
      <c r="B418">
        <v>45037306</v>
      </c>
      <c r="C418">
        <v>45038357</v>
      </c>
      <c r="D418">
        <v>22714489</v>
      </c>
      <c r="E418">
        <v>1</v>
      </c>
      <c r="F418">
        <v>1</v>
      </c>
      <c r="G418">
        <v>22652947</v>
      </c>
      <c r="H418">
        <v>3</v>
      </c>
      <c r="I418" t="s">
        <v>571</v>
      </c>
      <c r="J418" t="s">
        <v>573</v>
      </c>
      <c r="K418" t="s">
        <v>572</v>
      </c>
      <c r="L418">
        <v>1354</v>
      </c>
      <c r="N418">
        <v>1010</v>
      </c>
      <c r="O418" t="s">
        <v>304</v>
      </c>
      <c r="P418" t="s">
        <v>304</v>
      </c>
      <c r="Q418">
        <v>1</v>
      </c>
      <c r="W418">
        <v>0</v>
      </c>
      <c r="X418">
        <v>754547905</v>
      </c>
      <c r="Y418">
        <v>100</v>
      </c>
      <c r="AA418">
        <v>193.54</v>
      </c>
      <c r="AB418">
        <v>0</v>
      </c>
      <c r="AC418">
        <v>0</v>
      </c>
      <c r="AD418">
        <v>0</v>
      </c>
      <c r="AE418">
        <v>193.54</v>
      </c>
      <c r="AF418">
        <v>0</v>
      </c>
      <c r="AG418">
        <v>0</v>
      </c>
      <c r="AH418">
        <v>0</v>
      </c>
      <c r="AI418">
        <v>1</v>
      </c>
      <c r="AJ418">
        <v>1</v>
      </c>
      <c r="AK418">
        <v>1</v>
      </c>
      <c r="AL418">
        <v>1</v>
      </c>
      <c r="AN418">
        <v>0</v>
      </c>
      <c r="AO418">
        <v>0</v>
      </c>
      <c r="AP418">
        <v>0</v>
      </c>
      <c r="AQ418">
        <v>0</v>
      </c>
      <c r="AR418">
        <v>0</v>
      </c>
      <c r="AS418" t="s">
        <v>3</v>
      </c>
      <c r="AT418">
        <v>100</v>
      </c>
      <c r="AU418" t="s">
        <v>3</v>
      </c>
      <c r="AV418">
        <v>0</v>
      </c>
      <c r="AW418">
        <v>1</v>
      </c>
      <c r="AX418">
        <v>-1</v>
      </c>
      <c r="AY418">
        <v>0</v>
      </c>
      <c r="AZ418">
        <v>0</v>
      </c>
      <c r="BA418" t="s">
        <v>3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CX418">
        <f>Y418*Source!I475</f>
        <v>1</v>
      </c>
      <c r="CY418">
        <f>AA418</f>
        <v>193.54</v>
      </c>
      <c r="CZ418">
        <f>AE418</f>
        <v>193.54</v>
      </c>
      <c r="DA418">
        <f>AI418</f>
        <v>1</v>
      </c>
      <c r="DB418">
        <v>0</v>
      </c>
    </row>
    <row r="419" spans="1:106" x14ac:dyDescent="0.2">
      <c r="A419">
        <f>ROW(Source!A475)</f>
        <v>475</v>
      </c>
      <c r="B419">
        <v>45037306</v>
      </c>
      <c r="C419">
        <v>45038357</v>
      </c>
      <c r="D419">
        <v>22715197</v>
      </c>
      <c r="E419">
        <v>1</v>
      </c>
      <c r="F419">
        <v>1</v>
      </c>
      <c r="G419">
        <v>22652947</v>
      </c>
      <c r="H419">
        <v>3</v>
      </c>
      <c r="I419" t="s">
        <v>567</v>
      </c>
      <c r="J419" t="s">
        <v>569</v>
      </c>
      <c r="K419" t="s">
        <v>568</v>
      </c>
      <c r="L419">
        <v>1354</v>
      </c>
      <c r="N419">
        <v>1010</v>
      </c>
      <c r="O419" t="s">
        <v>304</v>
      </c>
      <c r="P419" t="s">
        <v>304</v>
      </c>
      <c r="Q419">
        <v>1</v>
      </c>
      <c r="W419">
        <v>0</v>
      </c>
      <c r="X419">
        <v>88848191</v>
      </c>
      <c r="Y419">
        <v>100</v>
      </c>
      <c r="AA419">
        <v>4721.68</v>
      </c>
      <c r="AB419">
        <v>0</v>
      </c>
      <c r="AC419">
        <v>0</v>
      </c>
      <c r="AD419">
        <v>0</v>
      </c>
      <c r="AE419">
        <v>4721.68</v>
      </c>
      <c r="AF419">
        <v>0</v>
      </c>
      <c r="AG419">
        <v>0</v>
      </c>
      <c r="AH419">
        <v>0</v>
      </c>
      <c r="AI419">
        <v>1</v>
      </c>
      <c r="AJ419">
        <v>1</v>
      </c>
      <c r="AK419">
        <v>1</v>
      </c>
      <c r="AL419">
        <v>1</v>
      </c>
      <c r="AN419">
        <v>0</v>
      </c>
      <c r="AO419">
        <v>0</v>
      </c>
      <c r="AP419">
        <v>0</v>
      </c>
      <c r="AQ419">
        <v>0</v>
      </c>
      <c r="AR419">
        <v>0</v>
      </c>
      <c r="AS419" t="s">
        <v>3</v>
      </c>
      <c r="AT419">
        <v>100</v>
      </c>
      <c r="AU419" t="s">
        <v>3</v>
      </c>
      <c r="AV419">
        <v>0</v>
      </c>
      <c r="AW419">
        <v>1</v>
      </c>
      <c r="AX419">
        <v>-1</v>
      </c>
      <c r="AY419">
        <v>0</v>
      </c>
      <c r="AZ419">
        <v>0</v>
      </c>
      <c r="BA419" t="s">
        <v>3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CX419">
        <f>Y419*Source!I475</f>
        <v>1</v>
      </c>
      <c r="CY419">
        <f>AA419</f>
        <v>4721.68</v>
      </c>
      <c r="CZ419">
        <f>AE419</f>
        <v>4721.68</v>
      </c>
      <c r="DA419">
        <f>AI419</f>
        <v>1</v>
      </c>
      <c r="DB419">
        <v>0</v>
      </c>
    </row>
    <row r="420" spans="1:106" x14ac:dyDescent="0.2">
      <c r="A420">
        <f>ROW(Source!A476)</f>
        <v>476</v>
      </c>
      <c r="B420">
        <v>45037307</v>
      </c>
      <c r="C420">
        <v>45038357</v>
      </c>
      <c r="D420">
        <v>22652952</v>
      </c>
      <c r="E420">
        <v>22652947</v>
      </c>
      <c r="F420">
        <v>1</v>
      </c>
      <c r="G420">
        <v>22652947</v>
      </c>
      <c r="H420">
        <v>1</v>
      </c>
      <c r="I420" t="s">
        <v>617</v>
      </c>
      <c r="J420" t="s">
        <v>3</v>
      </c>
      <c r="K420" t="s">
        <v>618</v>
      </c>
      <c r="L420">
        <v>1191</v>
      </c>
      <c r="N420">
        <v>1013</v>
      </c>
      <c r="O420" t="s">
        <v>619</v>
      </c>
      <c r="P420" t="s">
        <v>619</v>
      </c>
      <c r="Q420">
        <v>1</v>
      </c>
      <c r="W420">
        <v>0</v>
      </c>
      <c r="X420">
        <v>476480486</v>
      </c>
      <c r="Y420">
        <v>196.42</v>
      </c>
      <c r="AA420">
        <v>0</v>
      </c>
      <c r="AB420">
        <v>0</v>
      </c>
      <c r="AC420">
        <v>0</v>
      </c>
      <c r="AD420">
        <v>0</v>
      </c>
      <c r="AE420">
        <v>0</v>
      </c>
      <c r="AF420">
        <v>0</v>
      </c>
      <c r="AG420">
        <v>0</v>
      </c>
      <c r="AH420">
        <v>0</v>
      </c>
      <c r="AI420">
        <v>1</v>
      </c>
      <c r="AJ420">
        <v>1</v>
      </c>
      <c r="AK420">
        <v>1</v>
      </c>
      <c r="AL420">
        <v>1</v>
      </c>
      <c r="AN420">
        <v>0</v>
      </c>
      <c r="AO420">
        <v>1</v>
      </c>
      <c r="AP420">
        <v>1</v>
      </c>
      <c r="AQ420">
        <v>0</v>
      </c>
      <c r="AR420">
        <v>0</v>
      </c>
      <c r="AS420" t="s">
        <v>3</v>
      </c>
      <c r="AT420">
        <v>170.8</v>
      </c>
      <c r="AU420" t="s">
        <v>37</v>
      </c>
      <c r="AV420">
        <v>1</v>
      </c>
      <c r="AW420">
        <v>2</v>
      </c>
      <c r="AX420">
        <v>45038685</v>
      </c>
      <c r="AY420">
        <v>1</v>
      </c>
      <c r="AZ420">
        <v>0</v>
      </c>
      <c r="BA420">
        <v>398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CX420">
        <f>Y420*Source!I476</f>
        <v>1.9641999999999999</v>
      </c>
      <c r="CY420">
        <f>AD420</f>
        <v>0</v>
      </c>
      <c r="CZ420">
        <f>AH420</f>
        <v>0</v>
      </c>
      <c r="DA420">
        <f>AL420</f>
        <v>1</v>
      </c>
      <c r="DB420">
        <v>0</v>
      </c>
    </row>
    <row r="421" spans="1:106" x14ac:dyDescent="0.2">
      <c r="A421">
        <f>ROW(Source!A476)</f>
        <v>476</v>
      </c>
      <c r="B421">
        <v>45037307</v>
      </c>
      <c r="C421">
        <v>45038357</v>
      </c>
      <c r="D421">
        <v>22714489</v>
      </c>
      <c r="E421">
        <v>1</v>
      </c>
      <c r="F421">
        <v>1</v>
      </c>
      <c r="G421">
        <v>22652947</v>
      </c>
      <c r="H421">
        <v>3</v>
      </c>
      <c r="I421" t="s">
        <v>571</v>
      </c>
      <c r="J421" t="s">
        <v>573</v>
      </c>
      <c r="K421" t="s">
        <v>572</v>
      </c>
      <c r="L421">
        <v>1354</v>
      </c>
      <c r="N421">
        <v>1010</v>
      </c>
      <c r="O421" t="s">
        <v>304</v>
      </c>
      <c r="P421" t="s">
        <v>304</v>
      </c>
      <c r="Q421">
        <v>1</v>
      </c>
      <c r="W421">
        <v>0</v>
      </c>
      <c r="X421">
        <v>754547905</v>
      </c>
      <c r="Y421">
        <v>100</v>
      </c>
      <c r="AA421">
        <v>1006.41</v>
      </c>
      <c r="AB421">
        <v>0</v>
      </c>
      <c r="AC421">
        <v>0</v>
      </c>
      <c r="AD421">
        <v>0</v>
      </c>
      <c r="AE421">
        <v>193.54</v>
      </c>
      <c r="AF421">
        <v>0</v>
      </c>
      <c r="AG421">
        <v>0</v>
      </c>
      <c r="AH421">
        <v>0</v>
      </c>
      <c r="AI421">
        <v>5.2</v>
      </c>
      <c r="AJ421">
        <v>1</v>
      </c>
      <c r="AK421">
        <v>1</v>
      </c>
      <c r="AL421">
        <v>1</v>
      </c>
      <c r="AN421">
        <v>0</v>
      </c>
      <c r="AO421">
        <v>0</v>
      </c>
      <c r="AP421">
        <v>0</v>
      </c>
      <c r="AQ421">
        <v>0</v>
      </c>
      <c r="AR421">
        <v>0</v>
      </c>
      <c r="AS421" t="s">
        <v>3</v>
      </c>
      <c r="AT421">
        <v>100</v>
      </c>
      <c r="AU421" t="s">
        <v>3</v>
      </c>
      <c r="AV421">
        <v>0</v>
      </c>
      <c r="AW421">
        <v>1</v>
      </c>
      <c r="AX421">
        <v>-1</v>
      </c>
      <c r="AY421">
        <v>0</v>
      </c>
      <c r="AZ421">
        <v>0</v>
      </c>
      <c r="BA421" t="s">
        <v>3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CX421">
        <f>Y421*Source!I476</f>
        <v>1</v>
      </c>
      <c r="CY421">
        <f>AA421</f>
        <v>1006.41</v>
      </c>
      <c r="CZ421">
        <f>AE421</f>
        <v>193.54</v>
      </c>
      <c r="DA421">
        <f>AI421</f>
        <v>5.2</v>
      </c>
      <c r="DB421">
        <v>0</v>
      </c>
    </row>
    <row r="422" spans="1:106" x14ac:dyDescent="0.2">
      <c r="A422">
        <f>ROW(Source!A476)</f>
        <v>476</v>
      </c>
      <c r="B422">
        <v>45037307</v>
      </c>
      <c r="C422">
        <v>45038357</v>
      </c>
      <c r="D422">
        <v>22715197</v>
      </c>
      <c r="E422">
        <v>1</v>
      </c>
      <c r="F422">
        <v>1</v>
      </c>
      <c r="G422">
        <v>22652947</v>
      </c>
      <c r="H422">
        <v>3</v>
      </c>
      <c r="I422" t="s">
        <v>567</v>
      </c>
      <c r="J422" t="s">
        <v>569</v>
      </c>
      <c r="K422" t="s">
        <v>568</v>
      </c>
      <c r="L422">
        <v>1354</v>
      </c>
      <c r="N422">
        <v>1010</v>
      </c>
      <c r="O422" t="s">
        <v>304</v>
      </c>
      <c r="P422" t="s">
        <v>304</v>
      </c>
      <c r="Q422">
        <v>1</v>
      </c>
      <c r="W422">
        <v>0</v>
      </c>
      <c r="X422">
        <v>88848191</v>
      </c>
      <c r="Y422">
        <v>100</v>
      </c>
      <c r="AA422">
        <v>10907.08</v>
      </c>
      <c r="AB422">
        <v>0</v>
      </c>
      <c r="AC422">
        <v>0</v>
      </c>
      <c r="AD422">
        <v>0</v>
      </c>
      <c r="AE422">
        <v>4721.68</v>
      </c>
      <c r="AF422">
        <v>0</v>
      </c>
      <c r="AG422">
        <v>0</v>
      </c>
      <c r="AH422">
        <v>0</v>
      </c>
      <c r="AI422">
        <v>2.31</v>
      </c>
      <c r="AJ422">
        <v>1</v>
      </c>
      <c r="AK422">
        <v>1</v>
      </c>
      <c r="AL422">
        <v>1</v>
      </c>
      <c r="AN422">
        <v>0</v>
      </c>
      <c r="AO422">
        <v>0</v>
      </c>
      <c r="AP422">
        <v>0</v>
      </c>
      <c r="AQ422">
        <v>0</v>
      </c>
      <c r="AR422">
        <v>0</v>
      </c>
      <c r="AS422" t="s">
        <v>3</v>
      </c>
      <c r="AT422">
        <v>100</v>
      </c>
      <c r="AU422" t="s">
        <v>3</v>
      </c>
      <c r="AV422">
        <v>0</v>
      </c>
      <c r="AW422">
        <v>1</v>
      </c>
      <c r="AX422">
        <v>-1</v>
      </c>
      <c r="AY422">
        <v>0</v>
      </c>
      <c r="AZ422">
        <v>0</v>
      </c>
      <c r="BA422" t="s">
        <v>3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CX422">
        <f>Y422*Source!I476</f>
        <v>1</v>
      </c>
      <c r="CY422">
        <f>AA422</f>
        <v>10907.08</v>
      </c>
      <c r="CZ422">
        <f>AE422</f>
        <v>4721.68</v>
      </c>
      <c r="DA422">
        <f>AI422</f>
        <v>2.31</v>
      </c>
      <c r="DB422">
        <v>0</v>
      </c>
    </row>
    <row r="423" spans="1:106" x14ac:dyDescent="0.2">
      <c r="A423">
        <f>ROW(Source!A588)</f>
        <v>588</v>
      </c>
      <c r="B423">
        <v>45037306</v>
      </c>
      <c r="C423">
        <v>45038477</v>
      </c>
      <c r="D423">
        <v>22653672</v>
      </c>
      <c r="E423">
        <v>22652947</v>
      </c>
      <c r="F423">
        <v>1</v>
      </c>
      <c r="G423">
        <v>22652947</v>
      </c>
      <c r="H423">
        <v>2</v>
      </c>
      <c r="I423" t="s">
        <v>630</v>
      </c>
      <c r="J423" t="s">
        <v>3</v>
      </c>
      <c r="K423" t="s">
        <v>631</v>
      </c>
      <c r="L423">
        <v>1344</v>
      </c>
      <c r="N423">
        <v>1008</v>
      </c>
      <c r="O423" t="s">
        <v>632</v>
      </c>
      <c r="P423" t="s">
        <v>632</v>
      </c>
      <c r="Q423">
        <v>1</v>
      </c>
      <c r="W423">
        <v>0</v>
      </c>
      <c r="X423">
        <v>-1180195794</v>
      </c>
      <c r="Y423">
        <v>8.86</v>
      </c>
      <c r="AA423">
        <v>0</v>
      </c>
      <c r="AB423">
        <v>1</v>
      </c>
      <c r="AC423">
        <v>0</v>
      </c>
      <c r="AD423">
        <v>0</v>
      </c>
      <c r="AE423">
        <v>0</v>
      </c>
      <c r="AF423">
        <v>1</v>
      </c>
      <c r="AG423">
        <v>0</v>
      </c>
      <c r="AH423">
        <v>0</v>
      </c>
      <c r="AI423">
        <v>1</v>
      </c>
      <c r="AJ423">
        <v>1</v>
      </c>
      <c r="AK423">
        <v>1</v>
      </c>
      <c r="AL423">
        <v>1</v>
      </c>
      <c r="AN423">
        <v>0</v>
      </c>
      <c r="AO423">
        <v>1</v>
      </c>
      <c r="AP423">
        <v>1</v>
      </c>
      <c r="AQ423">
        <v>0</v>
      </c>
      <c r="AR423">
        <v>0</v>
      </c>
      <c r="AS423" t="s">
        <v>3</v>
      </c>
      <c r="AT423">
        <v>8.86</v>
      </c>
      <c r="AU423" t="s">
        <v>3</v>
      </c>
      <c r="AV423">
        <v>0</v>
      </c>
      <c r="AW423">
        <v>2</v>
      </c>
      <c r="AX423">
        <v>45038686</v>
      </c>
      <c r="AY423">
        <v>1</v>
      </c>
      <c r="AZ423">
        <v>0</v>
      </c>
      <c r="BA423">
        <v>399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CX423">
        <f>Y423*Source!I588</f>
        <v>2.2858800000000001</v>
      </c>
      <c r="CY423">
        <f t="shared" ref="CY423:CY428" si="33">AB423</f>
        <v>1</v>
      </c>
      <c r="CZ423">
        <f t="shared" ref="CZ423:CZ428" si="34">AF423</f>
        <v>1</v>
      </c>
      <c r="DA423">
        <f t="shared" ref="DA423:DA428" si="35">AJ423</f>
        <v>1</v>
      </c>
      <c r="DB423">
        <v>0</v>
      </c>
    </row>
    <row r="424" spans="1:106" x14ac:dyDescent="0.2">
      <c r="A424">
        <f>ROW(Source!A589)</f>
        <v>589</v>
      </c>
      <c r="B424">
        <v>45037307</v>
      </c>
      <c r="C424">
        <v>45038477</v>
      </c>
      <c r="D424">
        <v>22653672</v>
      </c>
      <c r="E424">
        <v>22652947</v>
      </c>
      <c r="F424">
        <v>1</v>
      </c>
      <c r="G424">
        <v>22652947</v>
      </c>
      <c r="H424">
        <v>2</v>
      </c>
      <c r="I424" t="s">
        <v>630</v>
      </c>
      <c r="J424" t="s">
        <v>3</v>
      </c>
      <c r="K424" t="s">
        <v>631</v>
      </c>
      <c r="L424">
        <v>1344</v>
      </c>
      <c r="N424">
        <v>1008</v>
      </c>
      <c r="O424" t="s">
        <v>632</v>
      </c>
      <c r="P424" t="s">
        <v>632</v>
      </c>
      <c r="Q424">
        <v>1</v>
      </c>
      <c r="W424">
        <v>0</v>
      </c>
      <c r="X424">
        <v>-1180195794</v>
      </c>
      <c r="Y424">
        <v>8.86</v>
      </c>
      <c r="AA424">
        <v>0</v>
      </c>
      <c r="AB424">
        <v>1</v>
      </c>
      <c r="AC424">
        <v>0</v>
      </c>
      <c r="AD424">
        <v>0</v>
      </c>
      <c r="AE424">
        <v>0</v>
      </c>
      <c r="AF424">
        <v>1</v>
      </c>
      <c r="AG424">
        <v>0</v>
      </c>
      <c r="AH424">
        <v>0</v>
      </c>
      <c r="AI424">
        <v>1</v>
      </c>
      <c r="AJ424">
        <v>1</v>
      </c>
      <c r="AK424">
        <v>1</v>
      </c>
      <c r="AL424">
        <v>1</v>
      </c>
      <c r="AN424">
        <v>0</v>
      </c>
      <c r="AO424">
        <v>1</v>
      </c>
      <c r="AP424">
        <v>1</v>
      </c>
      <c r="AQ424">
        <v>0</v>
      </c>
      <c r="AR424">
        <v>0</v>
      </c>
      <c r="AS424" t="s">
        <v>3</v>
      </c>
      <c r="AT424">
        <v>8.86</v>
      </c>
      <c r="AU424" t="s">
        <v>3</v>
      </c>
      <c r="AV424">
        <v>0</v>
      </c>
      <c r="AW424">
        <v>2</v>
      </c>
      <c r="AX424">
        <v>45038686</v>
      </c>
      <c r="AY424">
        <v>1</v>
      </c>
      <c r="AZ424">
        <v>0</v>
      </c>
      <c r="BA424">
        <v>400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CX424">
        <f>Y424*Source!I589</f>
        <v>2.2858800000000001</v>
      </c>
      <c r="CY424">
        <f t="shared" si="33"/>
        <v>1</v>
      </c>
      <c r="CZ424">
        <f t="shared" si="34"/>
        <v>1</v>
      </c>
      <c r="DA424">
        <f t="shared" si="35"/>
        <v>1</v>
      </c>
      <c r="DB424">
        <v>0</v>
      </c>
    </row>
    <row r="425" spans="1:106" x14ac:dyDescent="0.2">
      <c r="A425">
        <f>ROW(Source!A590)</f>
        <v>590</v>
      </c>
      <c r="B425">
        <v>45037306</v>
      </c>
      <c r="C425">
        <v>45038480</v>
      </c>
      <c r="D425">
        <v>22653672</v>
      </c>
      <c r="E425">
        <v>22652947</v>
      </c>
      <c r="F425">
        <v>1</v>
      </c>
      <c r="G425">
        <v>22652947</v>
      </c>
      <c r="H425">
        <v>2</v>
      </c>
      <c r="I425" t="s">
        <v>630</v>
      </c>
      <c r="J425" t="s">
        <v>3</v>
      </c>
      <c r="K425" t="s">
        <v>631</v>
      </c>
      <c r="L425">
        <v>1344</v>
      </c>
      <c r="N425">
        <v>1008</v>
      </c>
      <c r="O425" t="s">
        <v>632</v>
      </c>
      <c r="P425" t="s">
        <v>632</v>
      </c>
      <c r="Q425">
        <v>1</v>
      </c>
      <c r="W425">
        <v>0</v>
      </c>
      <c r="X425">
        <v>-1180195794</v>
      </c>
      <c r="Y425">
        <v>32.14</v>
      </c>
      <c r="AA425">
        <v>0</v>
      </c>
      <c r="AB425">
        <v>1</v>
      </c>
      <c r="AC425">
        <v>0</v>
      </c>
      <c r="AD425">
        <v>0</v>
      </c>
      <c r="AE425">
        <v>0</v>
      </c>
      <c r="AF425">
        <v>1</v>
      </c>
      <c r="AG425">
        <v>0</v>
      </c>
      <c r="AH425">
        <v>0</v>
      </c>
      <c r="AI425">
        <v>1</v>
      </c>
      <c r="AJ425">
        <v>1</v>
      </c>
      <c r="AK425">
        <v>1</v>
      </c>
      <c r="AL425">
        <v>1</v>
      </c>
      <c r="AN425">
        <v>0</v>
      </c>
      <c r="AO425">
        <v>1</v>
      </c>
      <c r="AP425">
        <v>0</v>
      </c>
      <c r="AQ425">
        <v>0</v>
      </c>
      <c r="AR425">
        <v>0</v>
      </c>
      <c r="AS425" t="s">
        <v>3</v>
      </c>
      <c r="AT425">
        <v>32.14</v>
      </c>
      <c r="AU425" t="s">
        <v>3</v>
      </c>
      <c r="AV425">
        <v>0</v>
      </c>
      <c r="AW425">
        <v>2</v>
      </c>
      <c r="AX425">
        <v>45038687</v>
      </c>
      <c r="AY425">
        <v>1</v>
      </c>
      <c r="AZ425">
        <v>0</v>
      </c>
      <c r="BA425">
        <v>401</v>
      </c>
      <c r="BB425">
        <v>0</v>
      </c>
      <c r="BC425">
        <v>0</v>
      </c>
      <c r="BD425">
        <v>0</v>
      </c>
      <c r="BE425">
        <v>0</v>
      </c>
      <c r="BF425">
        <v>0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0</v>
      </c>
      <c r="BQ425">
        <v>0</v>
      </c>
      <c r="BR425">
        <v>0</v>
      </c>
      <c r="BS425">
        <v>0</v>
      </c>
      <c r="BT425">
        <v>0</v>
      </c>
      <c r="BU425">
        <v>0</v>
      </c>
      <c r="BV425">
        <v>0</v>
      </c>
      <c r="BW425">
        <v>0</v>
      </c>
      <c r="CX425">
        <f>Y425*Source!I590</f>
        <v>8.2921200000000006</v>
      </c>
      <c r="CY425">
        <f t="shared" si="33"/>
        <v>1</v>
      </c>
      <c r="CZ425">
        <f t="shared" si="34"/>
        <v>1</v>
      </c>
      <c r="DA425">
        <f t="shared" si="35"/>
        <v>1</v>
      </c>
      <c r="DB425">
        <v>0</v>
      </c>
    </row>
    <row r="426" spans="1:106" x14ac:dyDescent="0.2">
      <c r="A426">
        <f>ROW(Source!A591)</f>
        <v>591</v>
      </c>
      <c r="B426">
        <v>45037307</v>
      </c>
      <c r="C426">
        <v>45038480</v>
      </c>
      <c r="D426">
        <v>22653672</v>
      </c>
      <c r="E426">
        <v>22652947</v>
      </c>
      <c r="F426">
        <v>1</v>
      </c>
      <c r="G426">
        <v>22652947</v>
      </c>
      <c r="H426">
        <v>2</v>
      </c>
      <c r="I426" t="s">
        <v>630</v>
      </c>
      <c r="J426" t="s">
        <v>3</v>
      </c>
      <c r="K426" t="s">
        <v>631</v>
      </c>
      <c r="L426">
        <v>1344</v>
      </c>
      <c r="N426">
        <v>1008</v>
      </c>
      <c r="O426" t="s">
        <v>632</v>
      </c>
      <c r="P426" t="s">
        <v>632</v>
      </c>
      <c r="Q426">
        <v>1</v>
      </c>
      <c r="W426">
        <v>0</v>
      </c>
      <c r="X426">
        <v>-1180195794</v>
      </c>
      <c r="Y426">
        <v>32.14</v>
      </c>
      <c r="AA426">
        <v>0</v>
      </c>
      <c r="AB426">
        <v>1</v>
      </c>
      <c r="AC426">
        <v>0</v>
      </c>
      <c r="AD426">
        <v>0</v>
      </c>
      <c r="AE426">
        <v>0</v>
      </c>
      <c r="AF426">
        <v>1</v>
      </c>
      <c r="AG426">
        <v>0</v>
      </c>
      <c r="AH426">
        <v>0</v>
      </c>
      <c r="AI426">
        <v>1</v>
      </c>
      <c r="AJ426">
        <v>1</v>
      </c>
      <c r="AK426">
        <v>1</v>
      </c>
      <c r="AL426">
        <v>1</v>
      </c>
      <c r="AN426">
        <v>0</v>
      </c>
      <c r="AO426">
        <v>1</v>
      </c>
      <c r="AP426">
        <v>0</v>
      </c>
      <c r="AQ426">
        <v>0</v>
      </c>
      <c r="AR426">
        <v>0</v>
      </c>
      <c r="AS426" t="s">
        <v>3</v>
      </c>
      <c r="AT426">
        <v>32.14</v>
      </c>
      <c r="AU426" t="s">
        <v>3</v>
      </c>
      <c r="AV426">
        <v>0</v>
      </c>
      <c r="AW426">
        <v>2</v>
      </c>
      <c r="AX426">
        <v>45038687</v>
      </c>
      <c r="AY426">
        <v>1</v>
      </c>
      <c r="AZ426">
        <v>0</v>
      </c>
      <c r="BA426">
        <v>402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CX426">
        <f>Y426*Source!I591</f>
        <v>8.2921200000000006</v>
      </c>
      <c r="CY426">
        <f t="shared" si="33"/>
        <v>1</v>
      </c>
      <c r="CZ426">
        <f t="shared" si="34"/>
        <v>1</v>
      </c>
      <c r="DA426">
        <f t="shared" si="35"/>
        <v>1</v>
      </c>
      <c r="DB426">
        <v>0</v>
      </c>
    </row>
    <row r="427" spans="1:106" x14ac:dyDescent="0.2">
      <c r="A427">
        <f>ROW(Source!A592)</f>
        <v>592</v>
      </c>
      <c r="B427">
        <v>45037306</v>
      </c>
      <c r="C427">
        <v>45038483</v>
      </c>
      <c r="D427">
        <v>22653672</v>
      </c>
      <c r="E427">
        <v>22652947</v>
      </c>
      <c r="F427">
        <v>1</v>
      </c>
      <c r="G427">
        <v>22652947</v>
      </c>
      <c r="H427">
        <v>2</v>
      </c>
      <c r="I427" t="s">
        <v>630</v>
      </c>
      <c r="J427" t="s">
        <v>3</v>
      </c>
      <c r="K427" t="s">
        <v>631</v>
      </c>
      <c r="L427">
        <v>1344</v>
      </c>
      <c r="N427">
        <v>1008</v>
      </c>
      <c r="O427" t="s">
        <v>632</v>
      </c>
      <c r="P427" t="s">
        <v>632</v>
      </c>
      <c r="Q427">
        <v>1</v>
      </c>
      <c r="W427">
        <v>0</v>
      </c>
      <c r="X427">
        <v>-1180195794</v>
      </c>
      <c r="Y427">
        <v>101</v>
      </c>
      <c r="AA427">
        <v>0</v>
      </c>
      <c r="AB427">
        <v>1</v>
      </c>
      <c r="AC427">
        <v>0</v>
      </c>
      <c r="AD427">
        <v>0</v>
      </c>
      <c r="AE427">
        <v>0</v>
      </c>
      <c r="AF427">
        <v>1</v>
      </c>
      <c r="AG427">
        <v>0</v>
      </c>
      <c r="AH427">
        <v>0</v>
      </c>
      <c r="AI427">
        <v>1</v>
      </c>
      <c r="AJ427">
        <v>1</v>
      </c>
      <c r="AK427">
        <v>1</v>
      </c>
      <c r="AL427">
        <v>1</v>
      </c>
      <c r="AN427">
        <v>0</v>
      </c>
      <c r="AO427">
        <v>1</v>
      </c>
      <c r="AP427">
        <v>0</v>
      </c>
      <c r="AQ427">
        <v>0</v>
      </c>
      <c r="AR427">
        <v>0</v>
      </c>
      <c r="AS427" t="s">
        <v>3</v>
      </c>
      <c r="AT427">
        <v>101</v>
      </c>
      <c r="AU427" t="s">
        <v>3</v>
      </c>
      <c r="AV427">
        <v>0</v>
      </c>
      <c r="AW427">
        <v>2</v>
      </c>
      <c r="AX427">
        <v>45038688</v>
      </c>
      <c r="AY427">
        <v>1</v>
      </c>
      <c r="AZ427">
        <v>0</v>
      </c>
      <c r="BA427">
        <v>403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CX427">
        <f>Y427*Source!I592</f>
        <v>26.058</v>
      </c>
      <c r="CY427">
        <f t="shared" si="33"/>
        <v>1</v>
      </c>
      <c r="CZ427">
        <f t="shared" si="34"/>
        <v>1</v>
      </c>
      <c r="DA427">
        <f t="shared" si="35"/>
        <v>1</v>
      </c>
      <c r="DB427">
        <v>0</v>
      </c>
    </row>
    <row r="428" spans="1:106" x14ac:dyDescent="0.2">
      <c r="A428">
        <f>ROW(Source!A593)</f>
        <v>593</v>
      </c>
      <c r="B428">
        <v>45037307</v>
      </c>
      <c r="C428">
        <v>45038483</v>
      </c>
      <c r="D428">
        <v>22653672</v>
      </c>
      <c r="E428">
        <v>22652947</v>
      </c>
      <c r="F428">
        <v>1</v>
      </c>
      <c r="G428">
        <v>22652947</v>
      </c>
      <c r="H428">
        <v>2</v>
      </c>
      <c r="I428" t="s">
        <v>630</v>
      </c>
      <c r="J428" t="s">
        <v>3</v>
      </c>
      <c r="K428" t="s">
        <v>631</v>
      </c>
      <c r="L428">
        <v>1344</v>
      </c>
      <c r="N428">
        <v>1008</v>
      </c>
      <c r="O428" t="s">
        <v>632</v>
      </c>
      <c r="P428" t="s">
        <v>632</v>
      </c>
      <c r="Q428">
        <v>1</v>
      </c>
      <c r="W428">
        <v>0</v>
      </c>
      <c r="X428">
        <v>-1180195794</v>
      </c>
      <c r="Y428">
        <v>101</v>
      </c>
      <c r="AA428">
        <v>0</v>
      </c>
      <c r="AB428">
        <v>1</v>
      </c>
      <c r="AC428">
        <v>0</v>
      </c>
      <c r="AD428">
        <v>0</v>
      </c>
      <c r="AE428">
        <v>0</v>
      </c>
      <c r="AF428">
        <v>1</v>
      </c>
      <c r="AG428">
        <v>0</v>
      </c>
      <c r="AH428">
        <v>0</v>
      </c>
      <c r="AI428">
        <v>1</v>
      </c>
      <c r="AJ428">
        <v>1</v>
      </c>
      <c r="AK428">
        <v>1</v>
      </c>
      <c r="AL428">
        <v>1</v>
      </c>
      <c r="AN428">
        <v>0</v>
      </c>
      <c r="AO428">
        <v>1</v>
      </c>
      <c r="AP428">
        <v>0</v>
      </c>
      <c r="AQ428">
        <v>0</v>
      </c>
      <c r="AR428">
        <v>0</v>
      </c>
      <c r="AS428" t="s">
        <v>3</v>
      </c>
      <c r="AT428">
        <v>101</v>
      </c>
      <c r="AU428" t="s">
        <v>3</v>
      </c>
      <c r="AV428">
        <v>0</v>
      </c>
      <c r="AW428">
        <v>2</v>
      </c>
      <c r="AX428">
        <v>45038688</v>
      </c>
      <c r="AY428">
        <v>1</v>
      </c>
      <c r="AZ428">
        <v>0</v>
      </c>
      <c r="BA428">
        <v>404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CX428">
        <f>Y428*Source!I593</f>
        <v>26.058</v>
      </c>
      <c r="CY428">
        <f t="shared" si="33"/>
        <v>1</v>
      </c>
      <c r="CZ428">
        <f t="shared" si="34"/>
        <v>1</v>
      </c>
      <c r="DA428">
        <f t="shared" si="35"/>
        <v>1</v>
      </c>
      <c r="DB428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04"/>
  <sheetViews>
    <sheetView workbookViewId="0"/>
  </sheetViews>
  <sheetFormatPr defaultColWidth="9.140625" defaultRowHeight="12.75" x14ac:dyDescent="0.2"/>
  <cols>
    <col min="1" max="256" width="9.140625" customWidth="1"/>
  </cols>
  <sheetData>
    <row r="1" spans="1:44" x14ac:dyDescent="0.2">
      <c r="A1">
        <f>ROW(Source!A28)</f>
        <v>28</v>
      </c>
      <c r="B1">
        <v>45038487</v>
      </c>
      <c r="C1">
        <v>45037417</v>
      </c>
      <c r="D1">
        <v>22652952</v>
      </c>
      <c r="E1">
        <v>22652947</v>
      </c>
      <c r="F1">
        <v>1</v>
      </c>
      <c r="G1">
        <v>22652947</v>
      </c>
      <c r="H1">
        <v>1</v>
      </c>
      <c r="I1" t="s">
        <v>617</v>
      </c>
      <c r="J1" t="s">
        <v>3</v>
      </c>
      <c r="K1" t="s">
        <v>618</v>
      </c>
      <c r="L1">
        <v>1191</v>
      </c>
      <c r="N1">
        <v>1013</v>
      </c>
      <c r="O1" t="s">
        <v>619</v>
      </c>
      <c r="P1" t="s">
        <v>619</v>
      </c>
      <c r="Q1">
        <v>1</v>
      </c>
      <c r="X1">
        <v>155</v>
      </c>
      <c r="Y1">
        <v>0</v>
      </c>
      <c r="Z1">
        <v>0</v>
      </c>
      <c r="AA1">
        <v>0</v>
      </c>
      <c r="AB1">
        <v>0</v>
      </c>
      <c r="AC1">
        <v>0</v>
      </c>
      <c r="AD1">
        <v>1</v>
      </c>
      <c r="AE1">
        <v>1</v>
      </c>
      <c r="AF1" t="s">
        <v>3</v>
      </c>
      <c r="AG1">
        <v>155</v>
      </c>
      <c r="AH1">
        <v>2</v>
      </c>
      <c r="AI1">
        <v>45037418</v>
      </c>
      <c r="AJ1">
        <v>1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0</v>
      </c>
      <c r="AR1">
        <v>0</v>
      </c>
    </row>
    <row r="2" spans="1:44" x14ac:dyDescent="0.2">
      <c r="A2">
        <f>ROW(Source!A28)</f>
        <v>28</v>
      </c>
      <c r="B2">
        <v>45038488</v>
      </c>
      <c r="C2">
        <v>45037417</v>
      </c>
      <c r="D2">
        <v>22725479</v>
      </c>
      <c r="E2">
        <v>1</v>
      </c>
      <c r="F2">
        <v>1</v>
      </c>
      <c r="G2">
        <v>22652947</v>
      </c>
      <c r="H2">
        <v>2</v>
      </c>
      <c r="I2" t="s">
        <v>620</v>
      </c>
      <c r="J2" t="s">
        <v>621</v>
      </c>
      <c r="K2" t="s">
        <v>622</v>
      </c>
      <c r="L2">
        <v>1367</v>
      </c>
      <c r="N2">
        <v>1011</v>
      </c>
      <c r="O2" t="s">
        <v>623</v>
      </c>
      <c r="P2" t="s">
        <v>623</v>
      </c>
      <c r="Q2">
        <v>1</v>
      </c>
      <c r="X2">
        <v>37.5</v>
      </c>
      <c r="Y2">
        <v>0</v>
      </c>
      <c r="Z2">
        <v>60.77</v>
      </c>
      <c r="AA2">
        <v>18.48</v>
      </c>
      <c r="AB2">
        <v>0</v>
      </c>
      <c r="AC2">
        <v>0</v>
      </c>
      <c r="AD2">
        <v>1</v>
      </c>
      <c r="AE2">
        <v>0</v>
      </c>
      <c r="AF2" t="s">
        <v>3</v>
      </c>
      <c r="AG2">
        <v>37.5</v>
      </c>
      <c r="AH2">
        <v>2</v>
      </c>
      <c r="AI2">
        <v>45037419</v>
      </c>
      <c r="AJ2">
        <v>2</v>
      </c>
      <c r="AK2">
        <v>0</v>
      </c>
      <c r="AL2">
        <v>0</v>
      </c>
      <c r="AM2">
        <v>0</v>
      </c>
      <c r="AN2">
        <v>0</v>
      </c>
      <c r="AO2">
        <v>0</v>
      </c>
      <c r="AP2">
        <v>0</v>
      </c>
      <c r="AQ2">
        <v>0</v>
      </c>
      <c r="AR2">
        <v>0</v>
      </c>
    </row>
    <row r="3" spans="1:44" x14ac:dyDescent="0.2">
      <c r="A3">
        <f>ROW(Source!A28)</f>
        <v>28</v>
      </c>
      <c r="B3">
        <v>45038489</v>
      </c>
      <c r="C3">
        <v>45037417</v>
      </c>
      <c r="D3">
        <v>22725938</v>
      </c>
      <c r="E3">
        <v>1</v>
      </c>
      <c r="F3">
        <v>1</v>
      </c>
      <c r="G3">
        <v>22652947</v>
      </c>
      <c r="H3">
        <v>2</v>
      </c>
      <c r="I3" t="s">
        <v>624</v>
      </c>
      <c r="J3" t="s">
        <v>625</v>
      </c>
      <c r="K3" t="s">
        <v>626</v>
      </c>
      <c r="L3">
        <v>1367</v>
      </c>
      <c r="N3">
        <v>1011</v>
      </c>
      <c r="O3" t="s">
        <v>623</v>
      </c>
      <c r="P3" t="s">
        <v>623</v>
      </c>
      <c r="Q3">
        <v>1</v>
      </c>
      <c r="X3">
        <v>75</v>
      </c>
      <c r="Y3">
        <v>0</v>
      </c>
      <c r="Z3">
        <v>3.16</v>
      </c>
      <c r="AA3">
        <v>0.04</v>
      </c>
      <c r="AB3">
        <v>0</v>
      </c>
      <c r="AC3">
        <v>0</v>
      </c>
      <c r="AD3">
        <v>1</v>
      </c>
      <c r="AE3">
        <v>0</v>
      </c>
      <c r="AF3" t="s">
        <v>3</v>
      </c>
      <c r="AG3">
        <v>75</v>
      </c>
      <c r="AH3">
        <v>2</v>
      </c>
      <c r="AI3">
        <v>45037420</v>
      </c>
      <c r="AJ3">
        <v>3</v>
      </c>
      <c r="AK3">
        <v>0</v>
      </c>
      <c r="AL3">
        <v>0</v>
      </c>
      <c r="AM3">
        <v>0</v>
      </c>
      <c r="AN3">
        <v>0</v>
      </c>
      <c r="AO3">
        <v>0</v>
      </c>
      <c r="AP3">
        <v>0</v>
      </c>
      <c r="AQ3">
        <v>0</v>
      </c>
      <c r="AR3">
        <v>0</v>
      </c>
    </row>
    <row r="4" spans="1:44" x14ac:dyDescent="0.2">
      <c r="A4">
        <f>ROW(Source!A28)</f>
        <v>28</v>
      </c>
      <c r="B4">
        <v>45038490</v>
      </c>
      <c r="C4">
        <v>45037417</v>
      </c>
      <c r="D4">
        <v>22725314</v>
      </c>
      <c r="E4">
        <v>1</v>
      </c>
      <c r="F4">
        <v>1</v>
      </c>
      <c r="G4">
        <v>22652947</v>
      </c>
      <c r="H4">
        <v>2</v>
      </c>
      <c r="I4" t="s">
        <v>627</v>
      </c>
      <c r="J4" t="s">
        <v>628</v>
      </c>
      <c r="K4" t="s">
        <v>629</v>
      </c>
      <c r="L4">
        <v>1367</v>
      </c>
      <c r="N4">
        <v>1011</v>
      </c>
      <c r="O4" t="s">
        <v>623</v>
      </c>
      <c r="P4" t="s">
        <v>623</v>
      </c>
      <c r="Q4">
        <v>1</v>
      </c>
      <c r="X4">
        <v>1.55</v>
      </c>
      <c r="Y4">
        <v>0</v>
      </c>
      <c r="Z4">
        <v>125.13</v>
      </c>
      <c r="AA4">
        <v>24.74</v>
      </c>
      <c r="AB4">
        <v>0</v>
      </c>
      <c r="AC4">
        <v>0</v>
      </c>
      <c r="AD4">
        <v>1</v>
      </c>
      <c r="AE4">
        <v>0</v>
      </c>
      <c r="AF4" t="s">
        <v>3</v>
      </c>
      <c r="AG4">
        <v>1.55</v>
      </c>
      <c r="AH4">
        <v>2</v>
      </c>
      <c r="AI4">
        <v>45037421</v>
      </c>
      <c r="AJ4">
        <v>4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</row>
    <row r="5" spans="1:44" x14ac:dyDescent="0.2">
      <c r="A5">
        <f>ROW(Source!A28)</f>
        <v>28</v>
      </c>
      <c r="B5">
        <v>45038491</v>
      </c>
      <c r="C5">
        <v>45037417</v>
      </c>
      <c r="D5">
        <v>22653672</v>
      </c>
      <c r="E5">
        <v>22652947</v>
      </c>
      <c r="F5">
        <v>1</v>
      </c>
      <c r="G5">
        <v>22652947</v>
      </c>
      <c r="H5">
        <v>2</v>
      </c>
      <c r="I5" t="s">
        <v>630</v>
      </c>
      <c r="J5" t="s">
        <v>3</v>
      </c>
      <c r="K5" t="s">
        <v>631</v>
      </c>
      <c r="L5">
        <v>1344</v>
      </c>
      <c r="N5">
        <v>1008</v>
      </c>
      <c r="O5" t="s">
        <v>632</v>
      </c>
      <c r="P5" t="s">
        <v>632</v>
      </c>
      <c r="Q5">
        <v>1</v>
      </c>
      <c r="X5">
        <v>3.72</v>
      </c>
      <c r="Y5">
        <v>0</v>
      </c>
      <c r="Z5">
        <v>1</v>
      </c>
      <c r="AA5">
        <v>0</v>
      </c>
      <c r="AB5">
        <v>0</v>
      </c>
      <c r="AC5">
        <v>0</v>
      </c>
      <c r="AD5">
        <v>1</v>
      </c>
      <c r="AE5">
        <v>0</v>
      </c>
      <c r="AF5" t="s">
        <v>3</v>
      </c>
      <c r="AG5">
        <v>3.72</v>
      </c>
      <c r="AH5">
        <v>2</v>
      </c>
      <c r="AI5">
        <v>45037422</v>
      </c>
      <c r="AJ5">
        <v>5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</row>
    <row r="6" spans="1:44" x14ac:dyDescent="0.2">
      <c r="A6">
        <f>ROW(Source!A29)</f>
        <v>29</v>
      </c>
      <c r="B6">
        <v>45038487</v>
      </c>
      <c r="C6">
        <v>45037417</v>
      </c>
      <c r="D6">
        <v>22652952</v>
      </c>
      <c r="E6">
        <v>22652947</v>
      </c>
      <c r="F6">
        <v>1</v>
      </c>
      <c r="G6">
        <v>22652947</v>
      </c>
      <c r="H6">
        <v>1</v>
      </c>
      <c r="I6" t="s">
        <v>617</v>
      </c>
      <c r="J6" t="s">
        <v>3</v>
      </c>
      <c r="K6" t="s">
        <v>618</v>
      </c>
      <c r="L6">
        <v>1191</v>
      </c>
      <c r="N6">
        <v>1013</v>
      </c>
      <c r="O6" t="s">
        <v>619</v>
      </c>
      <c r="P6" t="s">
        <v>619</v>
      </c>
      <c r="Q6">
        <v>1</v>
      </c>
      <c r="X6">
        <v>155</v>
      </c>
      <c r="Y6">
        <v>0</v>
      </c>
      <c r="Z6">
        <v>0</v>
      </c>
      <c r="AA6">
        <v>0</v>
      </c>
      <c r="AB6">
        <v>0</v>
      </c>
      <c r="AC6">
        <v>0</v>
      </c>
      <c r="AD6">
        <v>1</v>
      </c>
      <c r="AE6">
        <v>1</v>
      </c>
      <c r="AF6" t="s">
        <v>3</v>
      </c>
      <c r="AG6">
        <v>155</v>
      </c>
      <c r="AH6">
        <v>2</v>
      </c>
      <c r="AI6">
        <v>45037418</v>
      </c>
      <c r="AJ6">
        <v>7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</row>
    <row r="7" spans="1:44" x14ac:dyDescent="0.2">
      <c r="A7">
        <f>ROW(Source!A29)</f>
        <v>29</v>
      </c>
      <c r="B7">
        <v>45038488</v>
      </c>
      <c r="C7">
        <v>45037417</v>
      </c>
      <c r="D7">
        <v>22725479</v>
      </c>
      <c r="E7">
        <v>1</v>
      </c>
      <c r="F7">
        <v>1</v>
      </c>
      <c r="G7">
        <v>22652947</v>
      </c>
      <c r="H7">
        <v>2</v>
      </c>
      <c r="I7" t="s">
        <v>620</v>
      </c>
      <c r="J7" t="s">
        <v>621</v>
      </c>
      <c r="K7" t="s">
        <v>622</v>
      </c>
      <c r="L7">
        <v>1367</v>
      </c>
      <c r="N7">
        <v>1011</v>
      </c>
      <c r="O7" t="s">
        <v>623</v>
      </c>
      <c r="P7" t="s">
        <v>623</v>
      </c>
      <c r="Q7">
        <v>1</v>
      </c>
      <c r="X7">
        <v>37.5</v>
      </c>
      <c r="Y7">
        <v>0</v>
      </c>
      <c r="Z7">
        <v>60.77</v>
      </c>
      <c r="AA7">
        <v>18.48</v>
      </c>
      <c r="AB7">
        <v>0</v>
      </c>
      <c r="AC7">
        <v>0</v>
      </c>
      <c r="AD7">
        <v>1</v>
      </c>
      <c r="AE7">
        <v>0</v>
      </c>
      <c r="AF7" t="s">
        <v>3</v>
      </c>
      <c r="AG7">
        <v>37.5</v>
      </c>
      <c r="AH7">
        <v>2</v>
      </c>
      <c r="AI7">
        <v>45037419</v>
      </c>
      <c r="AJ7">
        <v>8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</row>
    <row r="8" spans="1:44" x14ac:dyDescent="0.2">
      <c r="A8">
        <f>ROW(Source!A29)</f>
        <v>29</v>
      </c>
      <c r="B8">
        <v>45038489</v>
      </c>
      <c r="C8">
        <v>45037417</v>
      </c>
      <c r="D8">
        <v>22725938</v>
      </c>
      <c r="E8">
        <v>1</v>
      </c>
      <c r="F8">
        <v>1</v>
      </c>
      <c r="G8">
        <v>22652947</v>
      </c>
      <c r="H8">
        <v>2</v>
      </c>
      <c r="I8" t="s">
        <v>624</v>
      </c>
      <c r="J8" t="s">
        <v>625</v>
      </c>
      <c r="K8" t="s">
        <v>626</v>
      </c>
      <c r="L8">
        <v>1367</v>
      </c>
      <c r="N8">
        <v>1011</v>
      </c>
      <c r="O8" t="s">
        <v>623</v>
      </c>
      <c r="P8" t="s">
        <v>623</v>
      </c>
      <c r="Q8">
        <v>1</v>
      </c>
      <c r="X8">
        <v>75</v>
      </c>
      <c r="Y8">
        <v>0</v>
      </c>
      <c r="Z8">
        <v>3.16</v>
      </c>
      <c r="AA8">
        <v>0.04</v>
      </c>
      <c r="AB8">
        <v>0</v>
      </c>
      <c r="AC8">
        <v>0</v>
      </c>
      <c r="AD8">
        <v>1</v>
      </c>
      <c r="AE8">
        <v>0</v>
      </c>
      <c r="AF8" t="s">
        <v>3</v>
      </c>
      <c r="AG8">
        <v>75</v>
      </c>
      <c r="AH8">
        <v>2</v>
      </c>
      <c r="AI8">
        <v>45037420</v>
      </c>
      <c r="AJ8">
        <v>9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</row>
    <row r="9" spans="1:44" x14ac:dyDescent="0.2">
      <c r="A9">
        <f>ROW(Source!A29)</f>
        <v>29</v>
      </c>
      <c r="B9">
        <v>45038490</v>
      </c>
      <c r="C9">
        <v>45037417</v>
      </c>
      <c r="D9">
        <v>22725314</v>
      </c>
      <c r="E9">
        <v>1</v>
      </c>
      <c r="F9">
        <v>1</v>
      </c>
      <c r="G9">
        <v>22652947</v>
      </c>
      <c r="H9">
        <v>2</v>
      </c>
      <c r="I9" t="s">
        <v>627</v>
      </c>
      <c r="J9" t="s">
        <v>628</v>
      </c>
      <c r="K9" t="s">
        <v>629</v>
      </c>
      <c r="L9">
        <v>1367</v>
      </c>
      <c r="N9">
        <v>1011</v>
      </c>
      <c r="O9" t="s">
        <v>623</v>
      </c>
      <c r="P9" t="s">
        <v>623</v>
      </c>
      <c r="Q9">
        <v>1</v>
      </c>
      <c r="X9">
        <v>1.55</v>
      </c>
      <c r="Y9">
        <v>0</v>
      </c>
      <c r="Z9">
        <v>125.13</v>
      </c>
      <c r="AA9">
        <v>24.74</v>
      </c>
      <c r="AB9">
        <v>0</v>
      </c>
      <c r="AC9">
        <v>0</v>
      </c>
      <c r="AD9">
        <v>1</v>
      </c>
      <c r="AE9">
        <v>0</v>
      </c>
      <c r="AF9" t="s">
        <v>3</v>
      </c>
      <c r="AG9">
        <v>1.55</v>
      </c>
      <c r="AH9">
        <v>2</v>
      </c>
      <c r="AI9">
        <v>45037421</v>
      </c>
      <c r="AJ9">
        <v>10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</row>
    <row r="10" spans="1:44" x14ac:dyDescent="0.2">
      <c r="A10">
        <f>ROW(Source!A29)</f>
        <v>29</v>
      </c>
      <c r="B10">
        <v>45038491</v>
      </c>
      <c r="C10">
        <v>45037417</v>
      </c>
      <c r="D10">
        <v>22653672</v>
      </c>
      <c r="E10">
        <v>22652947</v>
      </c>
      <c r="F10">
        <v>1</v>
      </c>
      <c r="G10">
        <v>22652947</v>
      </c>
      <c r="H10">
        <v>2</v>
      </c>
      <c r="I10" t="s">
        <v>630</v>
      </c>
      <c r="J10" t="s">
        <v>3</v>
      </c>
      <c r="K10" t="s">
        <v>631</v>
      </c>
      <c r="L10">
        <v>1344</v>
      </c>
      <c r="N10">
        <v>1008</v>
      </c>
      <c r="O10" t="s">
        <v>632</v>
      </c>
      <c r="P10" t="s">
        <v>632</v>
      </c>
      <c r="Q10">
        <v>1</v>
      </c>
      <c r="X10">
        <v>3.72</v>
      </c>
      <c r="Y10">
        <v>0</v>
      </c>
      <c r="Z10">
        <v>1</v>
      </c>
      <c r="AA10">
        <v>0</v>
      </c>
      <c r="AB10">
        <v>0</v>
      </c>
      <c r="AC10">
        <v>0</v>
      </c>
      <c r="AD10">
        <v>1</v>
      </c>
      <c r="AE10">
        <v>0</v>
      </c>
      <c r="AF10" t="s">
        <v>3</v>
      </c>
      <c r="AG10">
        <v>3.72</v>
      </c>
      <c r="AH10">
        <v>2</v>
      </c>
      <c r="AI10">
        <v>45037422</v>
      </c>
      <c r="AJ10">
        <v>11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</row>
    <row r="11" spans="1:44" x14ac:dyDescent="0.2">
      <c r="A11">
        <f>ROW(Source!A32)</f>
        <v>32</v>
      </c>
      <c r="B11">
        <v>45038492</v>
      </c>
      <c r="C11">
        <v>45037430</v>
      </c>
      <c r="D11">
        <v>22652952</v>
      </c>
      <c r="E11">
        <v>22652947</v>
      </c>
      <c r="F11">
        <v>1</v>
      </c>
      <c r="G11">
        <v>22652947</v>
      </c>
      <c r="H11">
        <v>1</v>
      </c>
      <c r="I11" t="s">
        <v>617</v>
      </c>
      <c r="J11" t="s">
        <v>3</v>
      </c>
      <c r="K11" t="s">
        <v>618</v>
      </c>
      <c r="L11">
        <v>1191</v>
      </c>
      <c r="N11">
        <v>1013</v>
      </c>
      <c r="O11" t="s">
        <v>619</v>
      </c>
      <c r="P11" t="s">
        <v>619</v>
      </c>
      <c r="Q11">
        <v>1</v>
      </c>
      <c r="X11">
        <v>329.05</v>
      </c>
      <c r="Y11">
        <v>0</v>
      </c>
      <c r="Z11">
        <v>0</v>
      </c>
      <c r="AA11">
        <v>0</v>
      </c>
      <c r="AB11">
        <v>0</v>
      </c>
      <c r="AC11">
        <v>0</v>
      </c>
      <c r="AD11">
        <v>1</v>
      </c>
      <c r="AE11">
        <v>1</v>
      </c>
      <c r="AF11" t="s">
        <v>37</v>
      </c>
      <c r="AG11">
        <v>378.40749999999997</v>
      </c>
      <c r="AH11">
        <v>2</v>
      </c>
      <c r="AI11">
        <v>45037431</v>
      </c>
      <c r="AJ11">
        <v>13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</row>
    <row r="12" spans="1:44" x14ac:dyDescent="0.2">
      <c r="A12">
        <f>ROW(Source!A33)</f>
        <v>33</v>
      </c>
      <c r="B12">
        <v>45038492</v>
      </c>
      <c r="C12">
        <v>45037430</v>
      </c>
      <c r="D12">
        <v>22652952</v>
      </c>
      <c r="E12">
        <v>22652947</v>
      </c>
      <c r="F12">
        <v>1</v>
      </c>
      <c r="G12">
        <v>22652947</v>
      </c>
      <c r="H12">
        <v>1</v>
      </c>
      <c r="I12" t="s">
        <v>617</v>
      </c>
      <c r="J12" t="s">
        <v>3</v>
      </c>
      <c r="K12" t="s">
        <v>618</v>
      </c>
      <c r="L12">
        <v>1191</v>
      </c>
      <c r="N12">
        <v>1013</v>
      </c>
      <c r="O12" t="s">
        <v>619</v>
      </c>
      <c r="P12" t="s">
        <v>619</v>
      </c>
      <c r="Q12">
        <v>1</v>
      </c>
      <c r="X12">
        <v>329.05</v>
      </c>
      <c r="Y12">
        <v>0</v>
      </c>
      <c r="Z12">
        <v>0</v>
      </c>
      <c r="AA12">
        <v>0</v>
      </c>
      <c r="AB12">
        <v>0</v>
      </c>
      <c r="AC12">
        <v>0</v>
      </c>
      <c r="AD12">
        <v>1</v>
      </c>
      <c r="AE12">
        <v>1</v>
      </c>
      <c r="AF12" t="s">
        <v>37</v>
      </c>
      <c r="AG12">
        <v>378.40749999999997</v>
      </c>
      <c r="AH12">
        <v>2</v>
      </c>
      <c r="AI12">
        <v>45037431</v>
      </c>
      <c r="AJ12">
        <v>14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</row>
    <row r="13" spans="1:44" x14ac:dyDescent="0.2">
      <c r="A13">
        <f>ROW(Source!A34)</f>
        <v>34</v>
      </c>
      <c r="B13">
        <v>45038493</v>
      </c>
      <c r="C13">
        <v>45037433</v>
      </c>
      <c r="D13">
        <v>22652952</v>
      </c>
      <c r="E13">
        <v>22652947</v>
      </c>
      <c r="F13">
        <v>1</v>
      </c>
      <c r="G13">
        <v>22652947</v>
      </c>
      <c r="H13">
        <v>1</v>
      </c>
      <c r="I13" t="s">
        <v>617</v>
      </c>
      <c r="J13" t="s">
        <v>3</v>
      </c>
      <c r="K13" t="s">
        <v>618</v>
      </c>
      <c r="L13">
        <v>1191</v>
      </c>
      <c r="N13">
        <v>1013</v>
      </c>
      <c r="O13" t="s">
        <v>619</v>
      </c>
      <c r="P13" t="s">
        <v>619</v>
      </c>
      <c r="Q13">
        <v>1</v>
      </c>
      <c r="X13">
        <v>47.3</v>
      </c>
      <c r="Y13">
        <v>0</v>
      </c>
      <c r="Z13">
        <v>0</v>
      </c>
      <c r="AA13">
        <v>0</v>
      </c>
      <c r="AB13">
        <v>0</v>
      </c>
      <c r="AC13">
        <v>0</v>
      </c>
      <c r="AD13">
        <v>1</v>
      </c>
      <c r="AE13">
        <v>1</v>
      </c>
      <c r="AF13" t="s">
        <v>3</v>
      </c>
      <c r="AG13">
        <v>47.3</v>
      </c>
      <c r="AH13">
        <v>2</v>
      </c>
      <c r="AI13">
        <v>45037434</v>
      </c>
      <c r="AJ13">
        <v>15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</row>
    <row r="14" spans="1:44" x14ac:dyDescent="0.2">
      <c r="A14">
        <f>ROW(Source!A34)</f>
        <v>34</v>
      </c>
      <c r="B14">
        <v>45038494</v>
      </c>
      <c r="C14">
        <v>45037433</v>
      </c>
      <c r="D14">
        <v>22653672</v>
      </c>
      <c r="E14">
        <v>22652947</v>
      </c>
      <c r="F14">
        <v>1</v>
      </c>
      <c r="G14">
        <v>22652947</v>
      </c>
      <c r="H14">
        <v>2</v>
      </c>
      <c r="I14" t="s">
        <v>630</v>
      </c>
      <c r="J14" t="s">
        <v>3</v>
      </c>
      <c r="K14" t="s">
        <v>631</v>
      </c>
      <c r="L14">
        <v>1344</v>
      </c>
      <c r="N14">
        <v>1008</v>
      </c>
      <c r="O14" t="s">
        <v>632</v>
      </c>
      <c r="P14" t="s">
        <v>632</v>
      </c>
      <c r="Q14">
        <v>1</v>
      </c>
      <c r="X14">
        <v>203.98</v>
      </c>
      <c r="Y14">
        <v>0</v>
      </c>
      <c r="Z14">
        <v>1</v>
      </c>
      <c r="AA14">
        <v>0</v>
      </c>
      <c r="AB14">
        <v>0</v>
      </c>
      <c r="AC14">
        <v>0</v>
      </c>
      <c r="AD14">
        <v>1</v>
      </c>
      <c r="AE14">
        <v>0</v>
      </c>
      <c r="AF14" t="s">
        <v>3</v>
      </c>
      <c r="AG14">
        <v>203.98</v>
      </c>
      <c r="AH14">
        <v>2</v>
      </c>
      <c r="AI14">
        <v>45037435</v>
      </c>
      <c r="AJ14">
        <v>16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</row>
    <row r="15" spans="1:44" x14ac:dyDescent="0.2">
      <c r="A15">
        <f>ROW(Source!A34)</f>
        <v>34</v>
      </c>
      <c r="B15">
        <v>45038495</v>
      </c>
      <c r="C15">
        <v>45037433</v>
      </c>
      <c r="D15">
        <v>22674637</v>
      </c>
      <c r="E15">
        <v>22652947</v>
      </c>
      <c r="F15">
        <v>1</v>
      </c>
      <c r="G15">
        <v>22652947</v>
      </c>
      <c r="H15">
        <v>3</v>
      </c>
      <c r="I15" t="s">
        <v>27</v>
      </c>
      <c r="J15" t="s">
        <v>3</v>
      </c>
      <c r="K15" t="s">
        <v>50</v>
      </c>
      <c r="L15">
        <v>1348</v>
      </c>
      <c r="N15">
        <v>1009</v>
      </c>
      <c r="O15" t="s">
        <v>29</v>
      </c>
      <c r="P15" t="s">
        <v>29</v>
      </c>
      <c r="Q15">
        <v>1000</v>
      </c>
      <c r="X15">
        <v>2.5</v>
      </c>
      <c r="Y15">
        <v>0</v>
      </c>
      <c r="Z15">
        <v>0</v>
      </c>
      <c r="AA15">
        <v>0</v>
      </c>
      <c r="AB15">
        <v>0</v>
      </c>
      <c r="AC15">
        <v>0</v>
      </c>
      <c r="AD15">
        <v>1</v>
      </c>
      <c r="AE15">
        <v>0</v>
      </c>
      <c r="AF15" t="s">
        <v>3</v>
      </c>
      <c r="AG15">
        <v>2.5</v>
      </c>
      <c r="AH15">
        <v>2</v>
      </c>
      <c r="AI15">
        <v>45037440</v>
      </c>
      <c r="AJ15">
        <v>17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</row>
    <row r="16" spans="1:44" x14ac:dyDescent="0.2">
      <c r="A16">
        <f>ROW(Source!A35)</f>
        <v>35</v>
      </c>
      <c r="B16">
        <v>45038493</v>
      </c>
      <c r="C16">
        <v>45037433</v>
      </c>
      <c r="D16">
        <v>22652952</v>
      </c>
      <c r="E16">
        <v>22652947</v>
      </c>
      <c r="F16">
        <v>1</v>
      </c>
      <c r="G16">
        <v>22652947</v>
      </c>
      <c r="H16">
        <v>1</v>
      </c>
      <c r="I16" t="s">
        <v>617</v>
      </c>
      <c r="J16" t="s">
        <v>3</v>
      </c>
      <c r="K16" t="s">
        <v>618</v>
      </c>
      <c r="L16">
        <v>1191</v>
      </c>
      <c r="N16">
        <v>1013</v>
      </c>
      <c r="O16" t="s">
        <v>619</v>
      </c>
      <c r="P16" t="s">
        <v>619</v>
      </c>
      <c r="Q16">
        <v>1</v>
      </c>
      <c r="X16">
        <v>47.3</v>
      </c>
      <c r="Y16">
        <v>0</v>
      </c>
      <c r="Z16">
        <v>0</v>
      </c>
      <c r="AA16">
        <v>0</v>
      </c>
      <c r="AB16">
        <v>0</v>
      </c>
      <c r="AC16">
        <v>0</v>
      </c>
      <c r="AD16">
        <v>1</v>
      </c>
      <c r="AE16">
        <v>1</v>
      </c>
      <c r="AF16" t="s">
        <v>3</v>
      </c>
      <c r="AG16">
        <v>47.3</v>
      </c>
      <c r="AH16">
        <v>2</v>
      </c>
      <c r="AI16">
        <v>45037434</v>
      </c>
      <c r="AJ16">
        <v>18</v>
      </c>
      <c r="AK16">
        <v>0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0</v>
      </c>
    </row>
    <row r="17" spans="1:44" x14ac:dyDescent="0.2">
      <c r="A17">
        <f>ROW(Source!A35)</f>
        <v>35</v>
      </c>
      <c r="B17">
        <v>45038494</v>
      </c>
      <c r="C17">
        <v>45037433</v>
      </c>
      <c r="D17">
        <v>22653672</v>
      </c>
      <c r="E17">
        <v>22652947</v>
      </c>
      <c r="F17">
        <v>1</v>
      </c>
      <c r="G17">
        <v>22652947</v>
      </c>
      <c r="H17">
        <v>2</v>
      </c>
      <c r="I17" t="s">
        <v>630</v>
      </c>
      <c r="J17" t="s">
        <v>3</v>
      </c>
      <c r="K17" t="s">
        <v>631</v>
      </c>
      <c r="L17">
        <v>1344</v>
      </c>
      <c r="N17">
        <v>1008</v>
      </c>
      <c r="O17" t="s">
        <v>632</v>
      </c>
      <c r="P17" t="s">
        <v>632</v>
      </c>
      <c r="Q17">
        <v>1</v>
      </c>
      <c r="X17">
        <v>203.98</v>
      </c>
      <c r="Y17">
        <v>0</v>
      </c>
      <c r="Z17">
        <v>1</v>
      </c>
      <c r="AA17">
        <v>0</v>
      </c>
      <c r="AB17">
        <v>0</v>
      </c>
      <c r="AC17">
        <v>0</v>
      </c>
      <c r="AD17">
        <v>1</v>
      </c>
      <c r="AE17">
        <v>0</v>
      </c>
      <c r="AF17" t="s">
        <v>3</v>
      </c>
      <c r="AG17">
        <v>203.98</v>
      </c>
      <c r="AH17">
        <v>2</v>
      </c>
      <c r="AI17">
        <v>45037435</v>
      </c>
      <c r="AJ17">
        <v>19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</row>
    <row r="18" spans="1:44" x14ac:dyDescent="0.2">
      <c r="A18">
        <f>ROW(Source!A35)</f>
        <v>35</v>
      </c>
      <c r="B18">
        <v>45038495</v>
      </c>
      <c r="C18">
        <v>45037433</v>
      </c>
      <c r="D18">
        <v>22674637</v>
      </c>
      <c r="E18">
        <v>22652947</v>
      </c>
      <c r="F18">
        <v>1</v>
      </c>
      <c r="G18">
        <v>22652947</v>
      </c>
      <c r="H18">
        <v>3</v>
      </c>
      <c r="I18" t="s">
        <v>27</v>
      </c>
      <c r="J18" t="s">
        <v>3</v>
      </c>
      <c r="K18" t="s">
        <v>50</v>
      </c>
      <c r="L18">
        <v>1348</v>
      </c>
      <c r="N18">
        <v>1009</v>
      </c>
      <c r="O18" t="s">
        <v>29</v>
      </c>
      <c r="P18" t="s">
        <v>29</v>
      </c>
      <c r="Q18">
        <v>1000</v>
      </c>
      <c r="X18">
        <v>2.5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</v>
      </c>
      <c r="AE18">
        <v>0</v>
      </c>
      <c r="AF18" t="s">
        <v>3</v>
      </c>
      <c r="AG18">
        <v>2.5</v>
      </c>
      <c r="AH18">
        <v>2</v>
      </c>
      <c r="AI18">
        <v>45037440</v>
      </c>
      <c r="AJ18">
        <v>20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</row>
    <row r="19" spans="1:44" x14ac:dyDescent="0.2">
      <c r="A19">
        <f>ROW(Source!A38)</f>
        <v>38</v>
      </c>
      <c r="B19">
        <v>45038496</v>
      </c>
      <c r="C19">
        <v>45037441</v>
      </c>
      <c r="D19">
        <v>22652952</v>
      </c>
      <c r="E19">
        <v>22652947</v>
      </c>
      <c r="F19">
        <v>1</v>
      </c>
      <c r="G19">
        <v>22652947</v>
      </c>
      <c r="H19">
        <v>1</v>
      </c>
      <c r="I19" t="s">
        <v>617</v>
      </c>
      <c r="J19" t="s">
        <v>3</v>
      </c>
      <c r="K19" t="s">
        <v>618</v>
      </c>
      <c r="L19">
        <v>1191</v>
      </c>
      <c r="N19">
        <v>1013</v>
      </c>
      <c r="O19" t="s">
        <v>619</v>
      </c>
      <c r="P19" t="s">
        <v>619</v>
      </c>
      <c r="Q19">
        <v>1</v>
      </c>
      <c r="X19">
        <v>4.29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1</v>
      </c>
      <c r="AF19" t="s">
        <v>37</v>
      </c>
      <c r="AG19">
        <v>4.9334999999999996</v>
      </c>
      <c r="AH19">
        <v>2</v>
      </c>
      <c r="AI19">
        <v>45037442</v>
      </c>
      <c r="AJ19">
        <v>21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</row>
    <row r="20" spans="1:44" x14ac:dyDescent="0.2">
      <c r="A20">
        <f>ROW(Source!A38)</f>
        <v>38</v>
      </c>
      <c r="B20">
        <v>45038497</v>
      </c>
      <c r="C20">
        <v>45037441</v>
      </c>
      <c r="D20">
        <v>22725479</v>
      </c>
      <c r="E20">
        <v>1</v>
      </c>
      <c r="F20">
        <v>1</v>
      </c>
      <c r="G20">
        <v>22652947</v>
      </c>
      <c r="H20">
        <v>2</v>
      </c>
      <c r="I20" t="s">
        <v>620</v>
      </c>
      <c r="J20" t="s">
        <v>621</v>
      </c>
      <c r="K20" t="s">
        <v>622</v>
      </c>
      <c r="L20">
        <v>1367</v>
      </c>
      <c r="N20">
        <v>1011</v>
      </c>
      <c r="O20" t="s">
        <v>623</v>
      </c>
      <c r="P20" t="s">
        <v>623</v>
      </c>
      <c r="Q20">
        <v>1</v>
      </c>
      <c r="X20">
        <v>0.3</v>
      </c>
      <c r="Y20">
        <v>0</v>
      </c>
      <c r="Z20">
        <v>60.77</v>
      </c>
      <c r="AA20">
        <v>18.48</v>
      </c>
      <c r="AB20">
        <v>0</v>
      </c>
      <c r="AC20">
        <v>0</v>
      </c>
      <c r="AD20">
        <v>1</v>
      </c>
      <c r="AE20">
        <v>0</v>
      </c>
      <c r="AF20" t="s">
        <v>36</v>
      </c>
      <c r="AG20">
        <v>0.375</v>
      </c>
      <c r="AH20">
        <v>2</v>
      </c>
      <c r="AI20">
        <v>45037443</v>
      </c>
      <c r="AJ20">
        <v>22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</row>
    <row r="21" spans="1:44" x14ac:dyDescent="0.2">
      <c r="A21">
        <f>ROW(Source!A38)</f>
        <v>38</v>
      </c>
      <c r="B21">
        <v>45038498</v>
      </c>
      <c r="C21">
        <v>45037441</v>
      </c>
      <c r="D21">
        <v>22725196</v>
      </c>
      <c r="E21">
        <v>1</v>
      </c>
      <c r="F21">
        <v>1</v>
      </c>
      <c r="G21">
        <v>22652947</v>
      </c>
      <c r="H21">
        <v>2</v>
      </c>
      <c r="I21" t="s">
        <v>633</v>
      </c>
      <c r="J21" t="s">
        <v>634</v>
      </c>
      <c r="K21" t="s">
        <v>635</v>
      </c>
      <c r="L21">
        <v>1367</v>
      </c>
      <c r="N21">
        <v>1011</v>
      </c>
      <c r="O21" t="s">
        <v>623</v>
      </c>
      <c r="P21" t="s">
        <v>623</v>
      </c>
      <c r="Q21">
        <v>1</v>
      </c>
      <c r="X21">
        <v>0.3</v>
      </c>
      <c r="Y21">
        <v>0</v>
      </c>
      <c r="Z21">
        <v>106.74</v>
      </c>
      <c r="AA21">
        <v>19.2</v>
      </c>
      <c r="AB21">
        <v>0</v>
      </c>
      <c r="AC21">
        <v>0</v>
      </c>
      <c r="AD21">
        <v>1</v>
      </c>
      <c r="AE21">
        <v>0</v>
      </c>
      <c r="AF21" t="s">
        <v>36</v>
      </c>
      <c r="AG21">
        <v>0.375</v>
      </c>
      <c r="AH21">
        <v>2</v>
      </c>
      <c r="AI21">
        <v>45037444</v>
      </c>
      <c r="AJ21">
        <v>23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</row>
    <row r="22" spans="1:44" x14ac:dyDescent="0.2">
      <c r="A22">
        <f>ROW(Source!A38)</f>
        <v>38</v>
      </c>
      <c r="B22">
        <v>45038499</v>
      </c>
      <c r="C22">
        <v>45037441</v>
      </c>
      <c r="D22">
        <v>22725285</v>
      </c>
      <c r="E22">
        <v>1</v>
      </c>
      <c r="F22">
        <v>1</v>
      </c>
      <c r="G22">
        <v>22652947</v>
      </c>
      <c r="H22">
        <v>2</v>
      </c>
      <c r="I22" t="s">
        <v>636</v>
      </c>
      <c r="J22" t="s">
        <v>637</v>
      </c>
      <c r="K22" t="s">
        <v>638</v>
      </c>
      <c r="L22">
        <v>1367</v>
      </c>
      <c r="N22">
        <v>1011</v>
      </c>
      <c r="O22" t="s">
        <v>623</v>
      </c>
      <c r="P22" t="s">
        <v>623</v>
      </c>
      <c r="Q22">
        <v>1</v>
      </c>
      <c r="X22">
        <v>0.3</v>
      </c>
      <c r="Y22">
        <v>0</v>
      </c>
      <c r="Z22">
        <v>148.88999999999999</v>
      </c>
      <c r="AA22">
        <v>28.61</v>
      </c>
      <c r="AB22">
        <v>0</v>
      </c>
      <c r="AC22">
        <v>0</v>
      </c>
      <c r="AD22">
        <v>1</v>
      </c>
      <c r="AE22">
        <v>0</v>
      </c>
      <c r="AF22" t="s">
        <v>36</v>
      </c>
      <c r="AG22">
        <v>0.375</v>
      </c>
      <c r="AH22">
        <v>2</v>
      </c>
      <c r="AI22">
        <v>45037445</v>
      </c>
      <c r="AJ22">
        <v>24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</row>
    <row r="23" spans="1:44" x14ac:dyDescent="0.2">
      <c r="A23">
        <f>ROW(Source!A38)</f>
        <v>38</v>
      </c>
      <c r="B23">
        <v>45038500</v>
      </c>
      <c r="C23">
        <v>45037441</v>
      </c>
      <c r="D23">
        <v>22725287</v>
      </c>
      <c r="E23">
        <v>1</v>
      </c>
      <c r="F23">
        <v>1</v>
      </c>
      <c r="G23">
        <v>22652947</v>
      </c>
      <c r="H23">
        <v>2</v>
      </c>
      <c r="I23" t="s">
        <v>639</v>
      </c>
      <c r="J23" t="s">
        <v>640</v>
      </c>
      <c r="K23" t="s">
        <v>641</v>
      </c>
      <c r="L23">
        <v>1367</v>
      </c>
      <c r="N23">
        <v>1011</v>
      </c>
      <c r="O23" t="s">
        <v>623</v>
      </c>
      <c r="P23" t="s">
        <v>623</v>
      </c>
      <c r="Q23">
        <v>1</v>
      </c>
      <c r="X23">
        <v>0.3</v>
      </c>
      <c r="Y23">
        <v>0</v>
      </c>
      <c r="Z23">
        <v>249.15</v>
      </c>
      <c r="AA23">
        <v>42.85</v>
      </c>
      <c r="AB23">
        <v>0</v>
      </c>
      <c r="AC23">
        <v>0</v>
      </c>
      <c r="AD23">
        <v>1</v>
      </c>
      <c r="AE23">
        <v>0</v>
      </c>
      <c r="AF23" t="s">
        <v>36</v>
      </c>
      <c r="AG23">
        <v>0.375</v>
      </c>
      <c r="AH23">
        <v>2</v>
      </c>
      <c r="AI23">
        <v>45037446</v>
      </c>
      <c r="AJ23">
        <v>25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</row>
    <row r="24" spans="1:44" x14ac:dyDescent="0.2">
      <c r="A24">
        <f>ROW(Source!A38)</f>
        <v>38</v>
      </c>
      <c r="B24">
        <v>45038501</v>
      </c>
      <c r="C24">
        <v>45037441</v>
      </c>
      <c r="D24">
        <v>22725271</v>
      </c>
      <c r="E24">
        <v>1</v>
      </c>
      <c r="F24">
        <v>1</v>
      </c>
      <c r="G24">
        <v>22652947</v>
      </c>
      <c r="H24">
        <v>2</v>
      </c>
      <c r="I24" t="s">
        <v>642</v>
      </c>
      <c r="J24" t="s">
        <v>643</v>
      </c>
      <c r="K24" t="s">
        <v>644</v>
      </c>
      <c r="L24">
        <v>1367</v>
      </c>
      <c r="N24">
        <v>1011</v>
      </c>
      <c r="O24" t="s">
        <v>623</v>
      </c>
      <c r="P24" t="s">
        <v>623</v>
      </c>
      <c r="Q24">
        <v>1</v>
      </c>
      <c r="X24">
        <v>0.3</v>
      </c>
      <c r="Y24">
        <v>0</v>
      </c>
      <c r="Z24">
        <v>84.82</v>
      </c>
      <c r="AA24">
        <v>22.85</v>
      </c>
      <c r="AB24">
        <v>0</v>
      </c>
      <c r="AC24">
        <v>0</v>
      </c>
      <c r="AD24">
        <v>1</v>
      </c>
      <c r="AE24">
        <v>0</v>
      </c>
      <c r="AF24" t="s">
        <v>36</v>
      </c>
      <c r="AG24">
        <v>0.375</v>
      </c>
      <c r="AH24">
        <v>2</v>
      </c>
      <c r="AI24">
        <v>45037447</v>
      </c>
      <c r="AJ24">
        <v>26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</row>
    <row r="25" spans="1:44" x14ac:dyDescent="0.2">
      <c r="A25">
        <f>ROW(Source!A38)</f>
        <v>38</v>
      </c>
      <c r="B25">
        <v>45038502</v>
      </c>
      <c r="C25">
        <v>45037441</v>
      </c>
      <c r="D25">
        <v>22725302</v>
      </c>
      <c r="E25">
        <v>1</v>
      </c>
      <c r="F25">
        <v>1</v>
      </c>
      <c r="G25">
        <v>22652947</v>
      </c>
      <c r="H25">
        <v>2</v>
      </c>
      <c r="I25" t="s">
        <v>645</v>
      </c>
      <c r="J25" t="s">
        <v>646</v>
      </c>
      <c r="K25" t="s">
        <v>647</v>
      </c>
      <c r="L25">
        <v>1367</v>
      </c>
      <c r="N25">
        <v>1011</v>
      </c>
      <c r="O25" t="s">
        <v>623</v>
      </c>
      <c r="P25" t="s">
        <v>623</v>
      </c>
      <c r="Q25">
        <v>1</v>
      </c>
      <c r="X25">
        <v>0.3</v>
      </c>
      <c r="Y25">
        <v>0</v>
      </c>
      <c r="Z25">
        <v>124.6</v>
      </c>
      <c r="AA25">
        <v>28.4</v>
      </c>
      <c r="AB25">
        <v>0</v>
      </c>
      <c r="AC25">
        <v>0</v>
      </c>
      <c r="AD25">
        <v>1</v>
      </c>
      <c r="AE25">
        <v>0</v>
      </c>
      <c r="AF25" t="s">
        <v>36</v>
      </c>
      <c r="AG25">
        <v>0.375</v>
      </c>
      <c r="AH25">
        <v>2</v>
      </c>
      <c r="AI25">
        <v>45037448</v>
      </c>
      <c r="AJ25">
        <v>27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</row>
    <row r="26" spans="1:44" x14ac:dyDescent="0.2">
      <c r="A26">
        <f>ROW(Source!A38)</f>
        <v>38</v>
      </c>
      <c r="B26">
        <v>45038503</v>
      </c>
      <c r="C26">
        <v>45037441</v>
      </c>
      <c r="D26">
        <v>22725275</v>
      </c>
      <c r="E26">
        <v>1</v>
      </c>
      <c r="F26">
        <v>1</v>
      </c>
      <c r="G26">
        <v>22652947</v>
      </c>
      <c r="H26">
        <v>2</v>
      </c>
      <c r="I26" t="s">
        <v>648</v>
      </c>
      <c r="J26" t="s">
        <v>649</v>
      </c>
      <c r="K26" t="s">
        <v>650</v>
      </c>
      <c r="L26">
        <v>1367</v>
      </c>
      <c r="N26">
        <v>1011</v>
      </c>
      <c r="O26" t="s">
        <v>623</v>
      </c>
      <c r="P26" t="s">
        <v>623</v>
      </c>
      <c r="Q26">
        <v>1</v>
      </c>
      <c r="X26">
        <v>0.3</v>
      </c>
      <c r="Y26">
        <v>0</v>
      </c>
      <c r="Z26">
        <v>88.4</v>
      </c>
      <c r="AA26">
        <v>23.18</v>
      </c>
      <c r="AB26">
        <v>0</v>
      </c>
      <c r="AC26">
        <v>0</v>
      </c>
      <c r="AD26">
        <v>1</v>
      </c>
      <c r="AE26">
        <v>0</v>
      </c>
      <c r="AF26" t="s">
        <v>36</v>
      </c>
      <c r="AG26">
        <v>0.375</v>
      </c>
      <c r="AH26">
        <v>2</v>
      </c>
      <c r="AI26">
        <v>45037449</v>
      </c>
      <c r="AJ26">
        <v>28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</row>
    <row r="27" spans="1:44" x14ac:dyDescent="0.2">
      <c r="A27">
        <f>ROW(Source!A38)</f>
        <v>38</v>
      </c>
      <c r="B27">
        <v>45038504</v>
      </c>
      <c r="C27">
        <v>45037441</v>
      </c>
      <c r="D27">
        <v>22725276</v>
      </c>
      <c r="E27">
        <v>1</v>
      </c>
      <c r="F27">
        <v>1</v>
      </c>
      <c r="G27">
        <v>22652947</v>
      </c>
      <c r="H27">
        <v>2</v>
      </c>
      <c r="I27" t="s">
        <v>651</v>
      </c>
      <c r="J27" t="s">
        <v>652</v>
      </c>
      <c r="K27" t="s">
        <v>653</v>
      </c>
      <c r="L27">
        <v>1367</v>
      </c>
      <c r="N27">
        <v>1011</v>
      </c>
      <c r="O27" t="s">
        <v>623</v>
      </c>
      <c r="P27" t="s">
        <v>623</v>
      </c>
      <c r="Q27">
        <v>1</v>
      </c>
      <c r="X27">
        <v>0.9</v>
      </c>
      <c r="Y27">
        <v>0</v>
      </c>
      <c r="Z27">
        <v>178.02</v>
      </c>
      <c r="AA27">
        <v>23.5</v>
      </c>
      <c r="AB27">
        <v>0</v>
      </c>
      <c r="AC27">
        <v>0</v>
      </c>
      <c r="AD27">
        <v>1</v>
      </c>
      <c r="AE27">
        <v>0</v>
      </c>
      <c r="AF27" t="s">
        <v>36</v>
      </c>
      <c r="AG27">
        <v>1.125</v>
      </c>
      <c r="AH27">
        <v>2</v>
      </c>
      <c r="AI27">
        <v>45037450</v>
      </c>
      <c r="AJ27">
        <v>29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</row>
    <row r="28" spans="1:44" x14ac:dyDescent="0.2">
      <c r="A28">
        <f>ROW(Source!A38)</f>
        <v>38</v>
      </c>
      <c r="B28">
        <v>45038505</v>
      </c>
      <c r="C28">
        <v>45037441</v>
      </c>
      <c r="D28">
        <v>22719662</v>
      </c>
      <c r="E28">
        <v>1</v>
      </c>
      <c r="F28">
        <v>1</v>
      </c>
      <c r="G28">
        <v>22652947</v>
      </c>
      <c r="H28">
        <v>3</v>
      </c>
      <c r="I28" t="s">
        <v>654</v>
      </c>
      <c r="J28" t="s">
        <v>655</v>
      </c>
      <c r="K28" t="s">
        <v>656</v>
      </c>
      <c r="L28">
        <v>1348</v>
      </c>
      <c r="N28">
        <v>1009</v>
      </c>
      <c r="O28" t="s">
        <v>29</v>
      </c>
      <c r="P28" t="s">
        <v>29</v>
      </c>
      <c r="Q28">
        <v>1000</v>
      </c>
      <c r="X28">
        <v>0.04</v>
      </c>
      <c r="Y28">
        <v>1445.87</v>
      </c>
      <c r="Z28">
        <v>0</v>
      </c>
      <c r="AA28">
        <v>0</v>
      </c>
      <c r="AB28">
        <v>0</v>
      </c>
      <c r="AC28">
        <v>0</v>
      </c>
      <c r="AD28">
        <v>1</v>
      </c>
      <c r="AE28">
        <v>0</v>
      </c>
      <c r="AF28" t="s">
        <v>3</v>
      </c>
      <c r="AG28">
        <v>0.04</v>
      </c>
      <c r="AH28">
        <v>2</v>
      </c>
      <c r="AI28">
        <v>45037451</v>
      </c>
      <c r="AJ28">
        <v>30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</row>
    <row r="29" spans="1:44" x14ac:dyDescent="0.2">
      <c r="A29">
        <f>ROW(Source!A38)</f>
        <v>38</v>
      </c>
      <c r="B29">
        <v>45038506</v>
      </c>
      <c r="C29">
        <v>45037441</v>
      </c>
      <c r="D29">
        <v>22667664</v>
      </c>
      <c r="E29">
        <v>22652947</v>
      </c>
      <c r="F29">
        <v>1</v>
      </c>
      <c r="G29">
        <v>22652947</v>
      </c>
      <c r="H29">
        <v>3</v>
      </c>
      <c r="I29" t="s">
        <v>788</v>
      </c>
      <c r="J29" t="s">
        <v>3</v>
      </c>
      <c r="K29" t="s">
        <v>789</v>
      </c>
      <c r="L29">
        <v>1348</v>
      </c>
      <c r="N29">
        <v>1009</v>
      </c>
      <c r="O29" t="s">
        <v>29</v>
      </c>
      <c r="P29" t="s">
        <v>29</v>
      </c>
      <c r="Q29">
        <v>1000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 t="s">
        <v>3</v>
      </c>
      <c r="AG29">
        <v>0</v>
      </c>
      <c r="AH29">
        <v>3</v>
      </c>
      <c r="AI29">
        <v>-1</v>
      </c>
      <c r="AJ29" t="s">
        <v>3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</row>
    <row r="30" spans="1:44" x14ac:dyDescent="0.2">
      <c r="A30">
        <f>ROW(Source!A39)</f>
        <v>39</v>
      </c>
      <c r="B30">
        <v>45038496</v>
      </c>
      <c r="C30">
        <v>45037441</v>
      </c>
      <c r="D30">
        <v>22652952</v>
      </c>
      <c r="E30">
        <v>22652947</v>
      </c>
      <c r="F30">
        <v>1</v>
      </c>
      <c r="G30">
        <v>22652947</v>
      </c>
      <c r="H30">
        <v>1</v>
      </c>
      <c r="I30" t="s">
        <v>617</v>
      </c>
      <c r="J30" t="s">
        <v>3</v>
      </c>
      <c r="K30" t="s">
        <v>618</v>
      </c>
      <c r="L30">
        <v>1191</v>
      </c>
      <c r="N30">
        <v>1013</v>
      </c>
      <c r="O30" t="s">
        <v>619</v>
      </c>
      <c r="P30" t="s">
        <v>619</v>
      </c>
      <c r="Q30">
        <v>1</v>
      </c>
      <c r="X30">
        <v>4.29</v>
      </c>
      <c r="Y30">
        <v>0</v>
      </c>
      <c r="Z30">
        <v>0</v>
      </c>
      <c r="AA30">
        <v>0</v>
      </c>
      <c r="AB30">
        <v>0</v>
      </c>
      <c r="AC30">
        <v>0</v>
      </c>
      <c r="AD30">
        <v>1</v>
      </c>
      <c r="AE30">
        <v>1</v>
      </c>
      <c r="AF30" t="s">
        <v>37</v>
      </c>
      <c r="AG30">
        <v>4.9334999999999996</v>
      </c>
      <c r="AH30">
        <v>2</v>
      </c>
      <c r="AI30">
        <v>45037442</v>
      </c>
      <c r="AJ30">
        <v>32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0</v>
      </c>
    </row>
    <row r="31" spans="1:44" x14ac:dyDescent="0.2">
      <c r="A31">
        <f>ROW(Source!A39)</f>
        <v>39</v>
      </c>
      <c r="B31">
        <v>45038497</v>
      </c>
      <c r="C31">
        <v>45037441</v>
      </c>
      <c r="D31">
        <v>22725479</v>
      </c>
      <c r="E31">
        <v>1</v>
      </c>
      <c r="F31">
        <v>1</v>
      </c>
      <c r="G31">
        <v>22652947</v>
      </c>
      <c r="H31">
        <v>2</v>
      </c>
      <c r="I31" t="s">
        <v>620</v>
      </c>
      <c r="J31" t="s">
        <v>621</v>
      </c>
      <c r="K31" t="s">
        <v>622</v>
      </c>
      <c r="L31">
        <v>1367</v>
      </c>
      <c r="N31">
        <v>1011</v>
      </c>
      <c r="O31" t="s">
        <v>623</v>
      </c>
      <c r="P31" t="s">
        <v>623</v>
      </c>
      <c r="Q31">
        <v>1</v>
      </c>
      <c r="X31">
        <v>0.3</v>
      </c>
      <c r="Y31">
        <v>0</v>
      </c>
      <c r="Z31">
        <v>60.77</v>
      </c>
      <c r="AA31">
        <v>18.48</v>
      </c>
      <c r="AB31">
        <v>0</v>
      </c>
      <c r="AC31">
        <v>0</v>
      </c>
      <c r="AD31">
        <v>1</v>
      </c>
      <c r="AE31">
        <v>0</v>
      </c>
      <c r="AF31" t="s">
        <v>36</v>
      </c>
      <c r="AG31">
        <v>0.375</v>
      </c>
      <c r="AH31">
        <v>2</v>
      </c>
      <c r="AI31">
        <v>45037443</v>
      </c>
      <c r="AJ31">
        <v>33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</row>
    <row r="32" spans="1:44" x14ac:dyDescent="0.2">
      <c r="A32">
        <f>ROW(Source!A39)</f>
        <v>39</v>
      </c>
      <c r="B32">
        <v>45038498</v>
      </c>
      <c r="C32">
        <v>45037441</v>
      </c>
      <c r="D32">
        <v>22725196</v>
      </c>
      <c r="E32">
        <v>1</v>
      </c>
      <c r="F32">
        <v>1</v>
      </c>
      <c r="G32">
        <v>22652947</v>
      </c>
      <c r="H32">
        <v>2</v>
      </c>
      <c r="I32" t="s">
        <v>633</v>
      </c>
      <c r="J32" t="s">
        <v>634</v>
      </c>
      <c r="K32" t="s">
        <v>635</v>
      </c>
      <c r="L32">
        <v>1367</v>
      </c>
      <c r="N32">
        <v>1011</v>
      </c>
      <c r="O32" t="s">
        <v>623</v>
      </c>
      <c r="P32" t="s">
        <v>623</v>
      </c>
      <c r="Q32">
        <v>1</v>
      </c>
      <c r="X32">
        <v>0.3</v>
      </c>
      <c r="Y32">
        <v>0</v>
      </c>
      <c r="Z32">
        <v>106.74</v>
      </c>
      <c r="AA32">
        <v>19.2</v>
      </c>
      <c r="AB32">
        <v>0</v>
      </c>
      <c r="AC32">
        <v>0</v>
      </c>
      <c r="AD32">
        <v>1</v>
      </c>
      <c r="AE32">
        <v>0</v>
      </c>
      <c r="AF32" t="s">
        <v>36</v>
      </c>
      <c r="AG32">
        <v>0.375</v>
      </c>
      <c r="AH32">
        <v>2</v>
      </c>
      <c r="AI32">
        <v>45037444</v>
      </c>
      <c r="AJ32">
        <v>34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</row>
    <row r="33" spans="1:44" x14ac:dyDescent="0.2">
      <c r="A33">
        <f>ROW(Source!A39)</f>
        <v>39</v>
      </c>
      <c r="B33">
        <v>45038499</v>
      </c>
      <c r="C33">
        <v>45037441</v>
      </c>
      <c r="D33">
        <v>22725285</v>
      </c>
      <c r="E33">
        <v>1</v>
      </c>
      <c r="F33">
        <v>1</v>
      </c>
      <c r="G33">
        <v>22652947</v>
      </c>
      <c r="H33">
        <v>2</v>
      </c>
      <c r="I33" t="s">
        <v>636</v>
      </c>
      <c r="J33" t="s">
        <v>637</v>
      </c>
      <c r="K33" t="s">
        <v>638</v>
      </c>
      <c r="L33">
        <v>1367</v>
      </c>
      <c r="N33">
        <v>1011</v>
      </c>
      <c r="O33" t="s">
        <v>623</v>
      </c>
      <c r="P33" t="s">
        <v>623</v>
      </c>
      <c r="Q33">
        <v>1</v>
      </c>
      <c r="X33">
        <v>0.3</v>
      </c>
      <c r="Y33">
        <v>0</v>
      </c>
      <c r="Z33">
        <v>148.88999999999999</v>
      </c>
      <c r="AA33">
        <v>28.61</v>
      </c>
      <c r="AB33">
        <v>0</v>
      </c>
      <c r="AC33">
        <v>0</v>
      </c>
      <c r="AD33">
        <v>1</v>
      </c>
      <c r="AE33">
        <v>0</v>
      </c>
      <c r="AF33" t="s">
        <v>36</v>
      </c>
      <c r="AG33">
        <v>0.375</v>
      </c>
      <c r="AH33">
        <v>2</v>
      </c>
      <c r="AI33">
        <v>45037445</v>
      </c>
      <c r="AJ33">
        <v>35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</row>
    <row r="34" spans="1:44" x14ac:dyDescent="0.2">
      <c r="A34">
        <f>ROW(Source!A39)</f>
        <v>39</v>
      </c>
      <c r="B34">
        <v>45038500</v>
      </c>
      <c r="C34">
        <v>45037441</v>
      </c>
      <c r="D34">
        <v>22725287</v>
      </c>
      <c r="E34">
        <v>1</v>
      </c>
      <c r="F34">
        <v>1</v>
      </c>
      <c r="G34">
        <v>22652947</v>
      </c>
      <c r="H34">
        <v>2</v>
      </c>
      <c r="I34" t="s">
        <v>639</v>
      </c>
      <c r="J34" t="s">
        <v>640</v>
      </c>
      <c r="K34" t="s">
        <v>641</v>
      </c>
      <c r="L34">
        <v>1367</v>
      </c>
      <c r="N34">
        <v>1011</v>
      </c>
      <c r="O34" t="s">
        <v>623</v>
      </c>
      <c r="P34" t="s">
        <v>623</v>
      </c>
      <c r="Q34">
        <v>1</v>
      </c>
      <c r="X34">
        <v>0.3</v>
      </c>
      <c r="Y34">
        <v>0</v>
      </c>
      <c r="Z34">
        <v>249.15</v>
      </c>
      <c r="AA34">
        <v>42.85</v>
      </c>
      <c r="AB34">
        <v>0</v>
      </c>
      <c r="AC34">
        <v>0</v>
      </c>
      <c r="AD34">
        <v>1</v>
      </c>
      <c r="AE34">
        <v>0</v>
      </c>
      <c r="AF34" t="s">
        <v>36</v>
      </c>
      <c r="AG34">
        <v>0.375</v>
      </c>
      <c r="AH34">
        <v>2</v>
      </c>
      <c r="AI34">
        <v>45037446</v>
      </c>
      <c r="AJ34">
        <v>36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</row>
    <row r="35" spans="1:44" x14ac:dyDescent="0.2">
      <c r="A35">
        <f>ROW(Source!A39)</f>
        <v>39</v>
      </c>
      <c r="B35">
        <v>45038501</v>
      </c>
      <c r="C35">
        <v>45037441</v>
      </c>
      <c r="D35">
        <v>22725271</v>
      </c>
      <c r="E35">
        <v>1</v>
      </c>
      <c r="F35">
        <v>1</v>
      </c>
      <c r="G35">
        <v>22652947</v>
      </c>
      <c r="H35">
        <v>2</v>
      </c>
      <c r="I35" t="s">
        <v>642</v>
      </c>
      <c r="J35" t="s">
        <v>643</v>
      </c>
      <c r="K35" t="s">
        <v>644</v>
      </c>
      <c r="L35">
        <v>1367</v>
      </c>
      <c r="N35">
        <v>1011</v>
      </c>
      <c r="O35" t="s">
        <v>623</v>
      </c>
      <c r="P35" t="s">
        <v>623</v>
      </c>
      <c r="Q35">
        <v>1</v>
      </c>
      <c r="X35">
        <v>0.3</v>
      </c>
      <c r="Y35">
        <v>0</v>
      </c>
      <c r="Z35">
        <v>84.82</v>
      </c>
      <c r="AA35">
        <v>22.85</v>
      </c>
      <c r="AB35">
        <v>0</v>
      </c>
      <c r="AC35">
        <v>0</v>
      </c>
      <c r="AD35">
        <v>1</v>
      </c>
      <c r="AE35">
        <v>0</v>
      </c>
      <c r="AF35" t="s">
        <v>36</v>
      </c>
      <c r="AG35">
        <v>0.375</v>
      </c>
      <c r="AH35">
        <v>2</v>
      </c>
      <c r="AI35">
        <v>45037447</v>
      </c>
      <c r="AJ35">
        <v>37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</row>
    <row r="36" spans="1:44" x14ac:dyDescent="0.2">
      <c r="A36">
        <f>ROW(Source!A39)</f>
        <v>39</v>
      </c>
      <c r="B36">
        <v>45038502</v>
      </c>
      <c r="C36">
        <v>45037441</v>
      </c>
      <c r="D36">
        <v>22725302</v>
      </c>
      <c r="E36">
        <v>1</v>
      </c>
      <c r="F36">
        <v>1</v>
      </c>
      <c r="G36">
        <v>22652947</v>
      </c>
      <c r="H36">
        <v>2</v>
      </c>
      <c r="I36" t="s">
        <v>645</v>
      </c>
      <c r="J36" t="s">
        <v>646</v>
      </c>
      <c r="K36" t="s">
        <v>647</v>
      </c>
      <c r="L36">
        <v>1367</v>
      </c>
      <c r="N36">
        <v>1011</v>
      </c>
      <c r="O36" t="s">
        <v>623</v>
      </c>
      <c r="P36" t="s">
        <v>623</v>
      </c>
      <c r="Q36">
        <v>1</v>
      </c>
      <c r="X36">
        <v>0.3</v>
      </c>
      <c r="Y36">
        <v>0</v>
      </c>
      <c r="Z36">
        <v>124.6</v>
      </c>
      <c r="AA36">
        <v>28.4</v>
      </c>
      <c r="AB36">
        <v>0</v>
      </c>
      <c r="AC36">
        <v>0</v>
      </c>
      <c r="AD36">
        <v>1</v>
      </c>
      <c r="AE36">
        <v>0</v>
      </c>
      <c r="AF36" t="s">
        <v>36</v>
      </c>
      <c r="AG36">
        <v>0.375</v>
      </c>
      <c r="AH36">
        <v>2</v>
      </c>
      <c r="AI36">
        <v>45037448</v>
      </c>
      <c r="AJ36">
        <v>38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</row>
    <row r="37" spans="1:44" x14ac:dyDescent="0.2">
      <c r="A37">
        <f>ROW(Source!A39)</f>
        <v>39</v>
      </c>
      <c r="B37">
        <v>45038503</v>
      </c>
      <c r="C37">
        <v>45037441</v>
      </c>
      <c r="D37">
        <v>22725275</v>
      </c>
      <c r="E37">
        <v>1</v>
      </c>
      <c r="F37">
        <v>1</v>
      </c>
      <c r="G37">
        <v>22652947</v>
      </c>
      <c r="H37">
        <v>2</v>
      </c>
      <c r="I37" t="s">
        <v>648</v>
      </c>
      <c r="J37" t="s">
        <v>649</v>
      </c>
      <c r="K37" t="s">
        <v>650</v>
      </c>
      <c r="L37">
        <v>1367</v>
      </c>
      <c r="N37">
        <v>1011</v>
      </c>
      <c r="O37" t="s">
        <v>623</v>
      </c>
      <c r="P37" t="s">
        <v>623</v>
      </c>
      <c r="Q37">
        <v>1</v>
      </c>
      <c r="X37">
        <v>0.3</v>
      </c>
      <c r="Y37">
        <v>0</v>
      </c>
      <c r="Z37">
        <v>88.4</v>
      </c>
      <c r="AA37">
        <v>23.18</v>
      </c>
      <c r="AB37">
        <v>0</v>
      </c>
      <c r="AC37">
        <v>0</v>
      </c>
      <c r="AD37">
        <v>1</v>
      </c>
      <c r="AE37">
        <v>0</v>
      </c>
      <c r="AF37" t="s">
        <v>36</v>
      </c>
      <c r="AG37">
        <v>0.375</v>
      </c>
      <c r="AH37">
        <v>2</v>
      </c>
      <c r="AI37">
        <v>45037449</v>
      </c>
      <c r="AJ37">
        <v>39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</row>
    <row r="38" spans="1:44" x14ac:dyDescent="0.2">
      <c r="A38">
        <f>ROW(Source!A39)</f>
        <v>39</v>
      </c>
      <c r="B38">
        <v>45038504</v>
      </c>
      <c r="C38">
        <v>45037441</v>
      </c>
      <c r="D38">
        <v>22725276</v>
      </c>
      <c r="E38">
        <v>1</v>
      </c>
      <c r="F38">
        <v>1</v>
      </c>
      <c r="G38">
        <v>22652947</v>
      </c>
      <c r="H38">
        <v>2</v>
      </c>
      <c r="I38" t="s">
        <v>651</v>
      </c>
      <c r="J38" t="s">
        <v>652</v>
      </c>
      <c r="K38" t="s">
        <v>653</v>
      </c>
      <c r="L38">
        <v>1367</v>
      </c>
      <c r="N38">
        <v>1011</v>
      </c>
      <c r="O38" t="s">
        <v>623</v>
      </c>
      <c r="P38" t="s">
        <v>623</v>
      </c>
      <c r="Q38">
        <v>1</v>
      </c>
      <c r="X38">
        <v>0.9</v>
      </c>
      <c r="Y38">
        <v>0</v>
      </c>
      <c r="Z38">
        <v>178.02</v>
      </c>
      <c r="AA38">
        <v>23.5</v>
      </c>
      <c r="AB38">
        <v>0</v>
      </c>
      <c r="AC38">
        <v>0</v>
      </c>
      <c r="AD38">
        <v>1</v>
      </c>
      <c r="AE38">
        <v>0</v>
      </c>
      <c r="AF38" t="s">
        <v>36</v>
      </c>
      <c r="AG38">
        <v>1.125</v>
      </c>
      <c r="AH38">
        <v>2</v>
      </c>
      <c r="AI38">
        <v>45037450</v>
      </c>
      <c r="AJ38">
        <v>40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0</v>
      </c>
    </row>
    <row r="39" spans="1:44" x14ac:dyDescent="0.2">
      <c r="A39">
        <f>ROW(Source!A39)</f>
        <v>39</v>
      </c>
      <c r="B39">
        <v>45038505</v>
      </c>
      <c r="C39">
        <v>45037441</v>
      </c>
      <c r="D39">
        <v>22719662</v>
      </c>
      <c r="E39">
        <v>1</v>
      </c>
      <c r="F39">
        <v>1</v>
      </c>
      <c r="G39">
        <v>22652947</v>
      </c>
      <c r="H39">
        <v>3</v>
      </c>
      <c r="I39" t="s">
        <v>654</v>
      </c>
      <c r="J39" t="s">
        <v>655</v>
      </c>
      <c r="K39" t="s">
        <v>656</v>
      </c>
      <c r="L39">
        <v>1348</v>
      </c>
      <c r="N39">
        <v>1009</v>
      </c>
      <c r="O39" t="s">
        <v>29</v>
      </c>
      <c r="P39" t="s">
        <v>29</v>
      </c>
      <c r="Q39">
        <v>1000</v>
      </c>
      <c r="X39">
        <v>0.04</v>
      </c>
      <c r="Y39">
        <v>1445.87</v>
      </c>
      <c r="Z39">
        <v>0</v>
      </c>
      <c r="AA39">
        <v>0</v>
      </c>
      <c r="AB39">
        <v>0</v>
      </c>
      <c r="AC39">
        <v>0</v>
      </c>
      <c r="AD39">
        <v>1</v>
      </c>
      <c r="AE39">
        <v>0</v>
      </c>
      <c r="AF39" t="s">
        <v>3</v>
      </c>
      <c r="AG39">
        <v>0.04</v>
      </c>
      <c r="AH39">
        <v>2</v>
      </c>
      <c r="AI39">
        <v>45037451</v>
      </c>
      <c r="AJ39">
        <v>41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</row>
    <row r="40" spans="1:44" x14ac:dyDescent="0.2">
      <c r="A40">
        <f>ROW(Source!A39)</f>
        <v>39</v>
      </c>
      <c r="B40">
        <v>45038506</v>
      </c>
      <c r="C40">
        <v>45037441</v>
      </c>
      <c r="D40">
        <v>22667664</v>
      </c>
      <c r="E40">
        <v>22652947</v>
      </c>
      <c r="F40">
        <v>1</v>
      </c>
      <c r="G40">
        <v>22652947</v>
      </c>
      <c r="H40">
        <v>3</v>
      </c>
      <c r="I40" t="s">
        <v>788</v>
      </c>
      <c r="J40" t="s">
        <v>3</v>
      </c>
      <c r="K40" t="s">
        <v>789</v>
      </c>
      <c r="L40">
        <v>1348</v>
      </c>
      <c r="N40">
        <v>1009</v>
      </c>
      <c r="O40" t="s">
        <v>29</v>
      </c>
      <c r="P40" t="s">
        <v>29</v>
      </c>
      <c r="Q40">
        <v>1000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 t="s">
        <v>3</v>
      </c>
      <c r="AG40">
        <v>0</v>
      </c>
      <c r="AH40">
        <v>3</v>
      </c>
      <c r="AI40">
        <v>-1</v>
      </c>
      <c r="AJ40" t="s">
        <v>3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</row>
    <row r="41" spans="1:44" x14ac:dyDescent="0.2">
      <c r="A41">
        <f>ROW(Source!A42)</f>
        <v>42</v>
      </c>
      <c r="B41">
        <v>45038507</v>
      </c>
      <c r="C41">
        <v>45037465</v>
      </c>
      <c r="D41">
        <v>22652952</v>
      </c>
      <c r="E41">
        <v>22652947</v>
      </c>
      <c r="F41">
        <v>1</v>
      </c>
      <c r="G41">
        <v>22652947</v>
      </c>
      <c r="H41">
        <v>1</v>
      </c>
      <c r="I41" t="s">
        <v>617</v>
      </c>
      <c r="J41" t="s">
        <v>3</v>
      </c>
      <c r="K41" t="s">
        <v>618</v>
      </c>
      <c r="L41">
        <v>1191</v>
      </c>
      <c r="N41">
        <v>1013</v>
      </c>
      <c r="O41" t="s">
        <v>619</v>
      </c>
      <c r="P41" t="s">
        <v>619</v>
      </c>
      <c r="Q41">
        <v>1</v>
      </c>
      <c r="X41">
        <v>0.53</v>
      </c>
      <c r="Y41">
        <v>0</v>
      </c>
      <c r="Z41">
        <v>0</v>
      </c>
      <c r="AA41">
        <v>0</v>
      </c>
      <c r="AB41">
        <v>0</v>
      </c>
      <c r="AC41">
        <v>0</v>
      </c>
      <c r="AD41">
        <v>1</v>
      </c>
      <c r="AE41">
        <v>1</v>
      </c>
      <c r="AF41" t="s">
        <v>68</v>
      </c>
      <c r="AG41">
        <v>5.4855</v>
      </c>
      <c r="AH41">
        <v>2</v>
      </c>
      <c r="AI41">
        <v>45037466</v>
      </c>
      <c r="AJ41">
        <v>43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</row>
    <row r="42" spans="1:44" x14ac:dyDescent="0.2">
      <c r="A42">
        <f>ROW(Source!A42)</f>
        <v>42</v>
      </c>
      <c r="B42">
        <v>45038508</v>
      </c>
      <c r="C42">
        <v>45037465</v>
      </c>
      <c r="D42">
        <v>22725196</v>
      </c>
      <c r="E42">
        <v>1</v>
      </c>
      <c r="F42">
        <v>1</v>
      </c>
      <c r="G42">
        <v>22652947</v>
      </c>
      <c r="H42">
        <v>2</v>
      </c>
      <c r="I42" t="s">
        <v>633</v>
      </c>
      <c r="J42" t="s">
        <v>634</v>
      </c>
      <c r="K42" t="s">
        <v>635</v>
      </c>
      <c r="L42">
        <v>1367</v>
      </c>
      <c r="N42">
        <v>1011</v>
      </c>
      <c r="O42" t="s">
        <v>623</v>
      </c>
      <c r="P42" t="s">
        <v>623</v>
      </c>
      <c r="Q42">
        <v>1</v>
      </c>
      <c r="X42">
        <v>7.4999999999999997E-2</v>
      </c>
      <c r="Y42">
        <v>0</v>
      </c>
      <c r="Z42">
        <v>106.74</v>
      </c>
      <c r="AA42">
        <v>19.2</v>
      </c>
      <c r="AB42">
        <v>0</v>
      </c>
      <c r="AC42">
        <v>0</v>
      </c>
      <c r="AD42">
        <v>1</v>
      </c>
      <c r="AE42">
        <v>0</v>
      </c>
      <c r="AF42" t="s">
        <v>67</v>
      </c>
      <c r="AG42">
        <v>0.84374999999999989</v>
      </c>
      <c r="AH42">
        <v>2</v>
      </c>
      <c r="AI42">
        <v>45037467</v>
      </c>
      <c r="AJ42">
        <v>44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</row>
    <row r="43" spans="1:44" x14ac:dyDescent="0.2">
      <c r="A43">
        <f>ROW(Source!A42)</f>
        <v>42</v>
      </c>
      <c r="B43">
        <v>45038509</v>
      </c>
      <c r="C43">
        <v>45037465</v>
      </c>
      <c r="D43">
        <v>22725302</v>
      </c>
      <c r="E43">
        <v>1</v>
      </c>
      <c r="F43">
        <v>1</v>
      </c>
      <c r="G43">
        <v>22652947</v>
      </c>
      <c r="H43">
        <v>2</v>
      </c>
      <c r="I43" t="s">
        <v>645</v>
      </c>
      <c r="J43" t="s">
        <v>646</v>
      </c>
      <c r="K43" t="s">
        <v>647</v>
      </c>
      <c r="L43">
        <v>1367</v>
      </c>
      <c r="N43">
        <v>1011</v>
      </c>
      <c r="O43" t="s">
        <v>623</v>
      </c>
      <c r="P43" t="s">
        <v>623</v>
      </c>
      <c r="Q43">
        <v>1</v>
      </c>
      <c r="X43">
        <v>7.4999999999999997E-2</v>
      </c>
      <c r="Y43">
        <v>0</v>
      </c>
      <c r="Z43">
        <v>124.6</v>
      </c>
      <c r="AA43">
        <v>28.4</v>
      </c>
      <c r="AB43">
        <v>0</v>
      </c>
      <c r="AC43">
        <v>0</v>
      </c>
      <c r="AD43">
        <v>1</v>
      </c>
      <c r="AE43">
        <v>0</v>
      </c>
      <c r="AF43" t="s">
        <v>67</v>
      </c>
      <c r="AG43">
        <v>0.84374999999999989</v>
      </c>
      <c r="AH43">
        <v>2</v>
      </c>
      <c r="AI43">
        <v>45037468</v>
      </c>
      <c r="AJ43">
        <v>45</v>
      </c>
      <c r="AK43">
        <v>0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0</v>
      </c>
    </row>
    <row r="44" spans="1:44" x14ac:dyDescent="0.2">
      <c r="A44">
        <f>ROW(Source!A42)</f>
        <v>42</v>
      </c>
      <c r="B44">
        <v>45038510</v>
      </c>
      <c r="C44">
        <v>45037465</v>
      </c>
      <c r="D44">
        <v>22667664</v>
      </c>
      <c r="E44">
        <v>22652947</v>
      </c>
      <c r="F44">
        <v>1</v>
      </c>
      <c r="G44">
        <v>22652947</v>
      </c>
      <c r="H44">
        <v>3</v>
      </c>
      <c r="I44" t="s">
        <v>788</v>
      </c>
      <c r="J44" t="s">
        <v>3</v>
      </c>
      <c r="K44" t="s">
        <v>789</v>
      </c>
      <c r="L44">
        <v>1348</v>
      </c>
      <c r="N44">
        <v>1009</v>
      </c>
      <c r="O44" t="s">
        <v>29</v>
      </c>
      <c r="P44" t="s">
        <v>29</v>
      </c>
      <c r="Q44">
        <v>1000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 t="s">
        <v>66</v>
      </c>
      <c r="AG44">
        <v>0</v>
      </c>
      <c r="AH44">
        <v>3</v>
      </c>
      <c r="AI44">
        <v>-1</v>
      </c>
      <c r="AJ44" t="s">
        <v>3</v>
      </c>
      <c r="AK44">
        <v>0</v>
      </c>
      <c r="AL44">
        <v>0</v>
      </c>
      <c r="AM44">
        <v>0</v>
      </c>
      <c r="AN44">
        <v>0</v>
      </c>
      <c r="AO44">
        <v>0</v>
      </c>
      <c r="AP44">
        <v>0</v>
      </c>
      <c r="AQ44">
        <v>0</v>
      </c>
      <c r="AR44">
        <v>0</v>
      </c>
    </row>
    <row r="45" spans="1:44" x14ac:dyDescent="0.2">
      <c r="A45">
        <f>ROW(Source!A43)</f>
        <v>43</v>
      </c>
      <c r="B45">
        <v>45038507</v>
      </c>
      <c r="C45">
        <v>45037465</v>
      </c>
      <c r="D45">
        <v>22652952</v>
      </c>
      <c r="E45">
        <v>22652947</v>
      </c>
      <c r="F45">
        <v>1</v>
      </c>
      <c r="G45">
        <v>22652947</v>
      </c>
      <c r="H45">
        <v>1</v>
      </c>
      <c r="I45" t="s">
        <v>617</v>
      </c>
      <c r="J45" t="s">
        <v>3</v>
      </c>
      <c r="K45" t="s">
        <v>618</v>
      </c>
      <c r="L45">
        <v>1191</v>
      </c>
      <c r="N45">
        <v>1013</v>
      </c>
      <c r="O45" t="s">
        <v>619</v>
      </c>
      <c r="P45" t="s">
        <v>619</v>
      </c>
      <c r="Q45">
        <v>1</v>
      </c>
      <c r="X45">
        <v>0.53</v>
      </c>
      <c r="Y45">
        <v>0</v>
      </c>
      <c r="Z45">
        <v>0</v>
      </c>
      <c r="AA45">
        <v>0</v>
      </c>
      <c r="AB45">
        <v>0</v>
      </c>
      <c r="AC45">
        <v>0</v>
      </c>
      <c r="AD45">
        <v>1</v>
      </c>
      <c r="AE45">
        <v>1</v>
      </c>
      <c r="AF45" t="s">
        <v>68</v>
      </c>
      <c r="AG45">
        <v>5.4855</v>
      </c>
      <c r="AH45">
        <v>2</v>
      </c>
      <c r="AI45">
        <v>45037466</v>
      </c>
      <c r="AJ45">
        <v>47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</row>
    <row r="46" spans="1:44" x14ac:dyDescent="0.2">
      <c r="A46">
        <f>ROW(Source!A43)</f>
        <v>43</v>
      </c>
      <c r="B46">
        <v>45038508</v>
      </c>
      <c r="C46">
        <v>45037465</v>
      </c>
      <c r="D46">
        <v>22725196</v>
      </c>
      <c r="E46">
        <v>1</v>
      </c>
      <c r="F46">
        <v>1</v>
      </c>
      <c r="G46">
        <v>22652947</v>
      </c>
      <c r="H46">
        <v>2</v>
      </c>
      <c r="I46" t="s">
        <v>633</v>
      </c>
      <c r="J46" t="s">
        <v>634</v>
      </c>
      <c r="K46" t="s">
        <v>635</v>
      </c>
      <c r="L46">
        <v>1367</v>
      </c>
      <c r="N46">
        <v>1011</v>
      </c>
      <c r="O46" t="s">
        <v>623</v>
      </c>
      <c r="P46" t="s">
        <v>623</v>
      </c>
      <c r="Q46">
        <v>1</v>
      </c>
      <c r="X46">
        <v>7.4999999999999997E-2</v>
      </c>
      <c r="Y46">
        <v>0</v>
      </c>
      <c r="Z46">
        <v>106.74</v>
      </c>
      <c r="AA46">
        <v>19.2</v>
      </c>
      <c r="AB46">
        <v>0</v>
      </c>
      <c r="AC46">
        <v>0</v>
      </c>
      <c r="AD46">
        <v>1</v>
      </c>
      <c r="AE46">
        <v>0</v>
      </c>
      <c r="AF46" t="s">
        <v>67</v>
      </c>
      <c r="AG46">
        <v>0.84374999999999989</v>
      </c>
      <c r="AH46">
        <v>2</v>
      </c>
      <c r="AI46">
        <v>45037467</v>
      </c>
      <c r="AJ46">
        <v>48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</row>
    <row r="47" spans="1:44" x14ac:dyDescent="0.2">
      <c r="A47">
        <f>ROW(Source!A43)</f>
        <v>43</v>
      </c>
      <c r="B47">
        <v>45038509</v>
      </c>
      <c r="C47">
        <v>45037465</v>
      </c>
      <c r="D47">
        <v>22725302</v>
      </c>
      <c r="E47">
        <v>1</v>
      </c>
      <c r="F47">
        <v>1</v>
      </c>
      <c r="G47">
        <v>22652947</v>
      </c>
      <c r="H47">
        <v>2</v>
      </c>
      <c r="I47" t="s">
        <v>645</v>
      </c>
      <c r="J47" t="s">
        <v>646</v>
      </c>
      <c r="K47" t="s">
        <v>647</v>
      </c>
      <c r="L47">
        <v>1367</v>
      </c>
      <c r="N47">
        <v>1011</v>
      </c>
      <c r="O47" t="s">
        <v>623</v>
      </c>
      <c r="P47" t="s">
        <v>623</v>
      </c>
      <c r="Q47">
        <v>1</v>
      </c>
      <c r="X47">
        <v>7.4999999999999997E-2</v>
      </c>
      <c r="Y47">
        <v>0</v>
      </c>
      <c r="Z47">
        <v>124.6</v>
      </c>
      <c r="AA47">
        <v>28.4</v>
      </c>
      <c r="AB47">
        <v>0</v>
      </c>
      <c r="AC47">
        <v>0</v>
      </c>
      <c r="AD47">
        <v>1</v>
      </c>
      <c r="AE47">
        <v>0</v>
      </c>
      <c r="AF47" t="s">
        <v>67</v>
      </c>
      <c r="AG47">
        <v>0.84374999999999989</v>
      </c>
      <c r="AH47">
        <v>2</v>
      </c>
      <c r="AI47">
        <v>45037468</v>
      </c>
      <c r="AJ47">
        <v>49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</row>
    <row r="48" spans="1:44" x14ac:dyDescent="0.2">
      <c r="A48">
        <f>ROW(Source!A43)</f>
        <v>43</v>
      </c>
      <c r="B48">
        <v>45038510</v>
      </c>
      <c r="C48">
        <v>45037465</v>
      </c>
      <c r="D48">
        <v>22667664</v>
      </c>
      <c r="E48">
        <v>22652947</v>
      </c>
      <c r="F48">
        <v>1</v>
      </c>
      <c r="G48">
        <v>22652947</v>
      </c>
      <c r="H48">
        <v>3</v>
      </c>
      <c r="I48" t="s">
        <v>788</v>
      </c>
      <c r="J48" t="s">
        <v>3</v>
      </c>
      <c r="K48" t="s">
        <v>789</v>
      </c>
      <c r="L48">
        <v>1348</v>
      </c>
      <c r="N48">
        <v>1009</v>
      </c>
      <c r="O48" t="s">
        <v>29</v>
      </c>
      <c r="P48" t="s">
        <v>29</v>
      </c>
      <c r="Q48">
        <v>1000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 t="s">
        <v>66</v>
      </c>
      <c r="AG48">
        <v>0</v>
      </c>
      <c r="AH48">
        <v>3</v>
      </c>
      <c r="AI48">
        <v>-1</v>
      </c>
      <c r="AJ48" t="s">
        <v>3</v>
      </c>
      <c r="AK48">
        <v>0</v>
      </c>
      <c r="AL48">
        <v>0</v>
      </c>
      <c r="AM48">
        <v>0</v>
      </c>
      <c r="AN48">
        <v>0</v>
      </c>
      <c r="AO48">
        <v>0</v>
      </c>
      <c r="AP48">
        <v>0</v>
      </c>
      <c r="AQ48">
        <v>0</v>
      </c>
      <c r="AR48">
        <v>0</v>
      </c>
    </row>
    <row r="49" spans="1:44" x14ac:dyDescent="0.2">
      <c r="A49">
        <f>ROW(Source!A46)</f>
        <v>46</v>
      </c>
      <c r="B49">
        <v>45038511</v>
      </c>
      <c r="C49">
        <v>45037475</v>
      </c>
      <c r="D49">
        <v>22652952</v>
      </c>
      <c r="E49">
        <v>22652947</v>
      </c>
      <c r="F49">
        <v>1</v>
      </c>
      <c r="G49">
        <v>22652947</v>
      </c>
      <c r="H49">
        <v>1</v>
      </c>
      <c r="I49" t="s">
        <v>617</v>
      </c>
      <c r="J49" t="s">
        <v>3</v>
      </c>
      <c r="K49" t="s">
        <v>618</v>
      </c>
      <c r="L49">
        <v>1191</v>
      </c>
      <c r="N49">
        <v>1013</v>
      </c>
      <c r="O49" t="s">
        <v>619</v>
      </c>
      <c r="P49" t="s">
        <v>619</v>
      </c>
      <c r="Q49">
        <v>1</v>
      </c>
      <c r="X49">
        <v>40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1</v>
      </c>
      <c r="AE49">
        <v>1</v>
      </c>
      <c r="AF49" t="s">
        <v>37</v>
      </c>
      <c r="AG49">
        <v>46</v>
      </c>
      <c r="AH49">
        <v>2</v>
      </c>
      <c r="AI49">
        <v>45037476</v>
      </c>
      <c r="AJ49">
        <v>51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</row>
    <row r="50" spans="1:44" x14ac:dyDescent="0.2">
      <c r="A50">
        <f>ROW(Source!A46)</f>
        <v>46</v>
      </c>
      <c r="B50">
        <v>45038512</v>
      </c>
      <c r="C50">
        <v>45037475</v>
      </c>
      <c r="D50">
        <v>22666237</v>
      </c>
      <c r="E50">
        <v>22652947</v>
      </c>
      <c r="F50">
        <v>1</v>
      </c>
      <c r="G50">
        <v>22652947</v>
      </c>
      <c r="H50">
        <v>3</v>
      </c>
      <c r="I50" t="s">
        <v>790</v>
      </c>
      <c r="J50" t="s">
        <v>3</v>
      </c>
      <c r="K50" t="s">
        <v>79</v>
      </c>
      <c r="L50">
        <v>1339</v>
      </c>
      <c r="N50">
        <v>1007</v>
      </c>
      <c r="O50" t="s">
        <v>80</v>
      </c>
      <c r="P50" t="s">
        <v>80</v>
      </c>
      <c r="Q50">
        <v>1</v>
      </c>
      <c r="X50">
        <v>15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 t="s">
        <v>3</v>
      </c>
      <c r="AG50">
        <v>15</v>
      </c>
      <c r="AH50">
        <v>3</v>
      </c>
      <c r="AI50">
        <v>-1</v>
      </c>
      <c r="AJ50" t="s">
        <v>3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0</v>
      </c>
    </row>
    <row r="51" spans="1:44" x14ac:dyDescent="0.2">
      <c r="A51">
        <f>ROW(Source!A47)</f>
        <v>47</v>
      </c>
      <c r="B51">
        <v>45038511</v>
      </c>
      <c r="C51">
        <v>45037475</v>
      </c>
      <c r="D51">
        <v>22652952</v>
      </c>
      <c r="E51">
        <v>22652947</v>
      </c>
      <c r="F51">
        <v>1</v>
      </c>
      <c r="G51">
        <v>22652947</v>
      </c>
      <c r="H51">
        <v>1</v>
      </c>
      <c r="I51" t="s">
        <v>617</v>
      </c>
      <c r="J51" t="s">
        <v>3</v>
      </c>
      <c r="K51" t="s">
        <v>618</v>
      </c>
      <c r="L51">
        <v>1191</v>
      </c>
      <c r="N51">
        <v>1013</v>
      </c>
      <c r="O51" t="s">
        <v>619</v>
      </c>
      <c r="P51" t="s">
        <v>619</v>
      </c>
      <c r="Q51">
        <v>1</v>
      </c>
      <c r="X51">
        <v>40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1</v>
      </c>
      <c r="AE51">
        <v>1</v>
      </c>
      <c r="AF51" t="s">
        <v>37</v>
      </c>
      <c r="AG51">
        <v>46</v>
      </c>
      <c r="AH51">
        <v>2</v>
      </c>
      <c r="AI51">
        <v>45037476</v>
      </c>
      <c r="AJ51">
        <v>53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</row>
    <row r="52" spans="1:44" x14ac:dyDescent="0.2">
      <c r="A52">
        <f>ROW(Source!A47)</f>
        <v>47</v>
      </c>
      <c r="B52">
        <v>45038512</v>
      </c>
      <c r="C52">
        <v>45037475</v>
      </c>
      <c r="D52">
        <v>22666237</v>
      </c>
      <c r="E52">
        <v>22652947</v>
      </c>
      <c r="F52">
        <v>1</v>
      </c>
      <c r="G52">
        <v>22652947</v>
      </c>
      <c r="H52">
        <v>3</v>
      </c>
      <c r="I52" t="s">
        <v>790</v>
      </c>
      <c r="J52" t="s">
        <v>3</v>
      </c>
      <c r="K52" t="s">
        <v>79</v>
      </c>
      <c r="L52">
        <v>1339</v>
      </c>
      <c r="N52">
        <v>1007</v>
      </c>
      <c r="O52" t="s">
        <v>80</v>
      </c>
      <c r="P52" t="s">
        <v>80</v>
      </c>
      <c r="Q52">
        <v>1</v>
      </c>
      <c r="X52">
        <v>15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 t="s">
        <v>3</v>
      </c>
      <c r="AG52">
        <v>15</v>
      </c>
      <c r="AH52">
        <v>3</v>
      </c>
      <c r="AI52">
        <v>-1</v>
      </c>
      <c r="AJ52" t="s">
        <v>3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</row>
    <row r="53" spans="1:44" x14ac:dyDescent="0.2">
      <c r="A53">
        <f>ROW(Source!A50)</f>
        <v>50</v>
      </c>
      <c r="B53">
        <v>45038513</v>
      </c>
      <c r="C53">
        <v>45037481</v>
      </c>
      <c r="D53">
        <v>22652952</v>
      </c>
      <c r="E53">
        <v>22652947</v>
      </c>
      <c r="F53">
        <v>1</v>
      </c>
      <c r="G53">
        <v>22652947</v>
      </c>
      <c r="H53">
        <v>1</v>
      </c>
      <c r="I53" t="s">
        <v>617</v>
      </c>
      <c r="J53" t="s">
        <v>3</v>
      </c>
      <c r="K53" t="s">
        <v>618</v>
      </c>
      <c r="L53">
        <v>1191</v>
      </c>
      <c r="N53">
        <v>1013</v>
      </c>
      <c r="O53" t="s">
        <v>619</v>
      </c>
      <c r="P53" t="s">
        <v>619</v>
      </c>
      <c r="Q53">
        <v>1</v>
      </c>
      <c r="X53">
        <v>5.25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</v>
      </c>
      <c r="AE53">
        <v>1</v>
      </c>
      <c r="AF53" t="s">
        <v>37</v>
      </c>
      <c r="AG53">
        <v>6.0374999999999996</v>
      </c>
      <c r="AH53">
        <v>2</v>
      </c>
      <c r="AI53">
        <v>45037482</v>
      </c>
      <c r="AJ53">
        <v>55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</row>
    <row r="54" spans="1:44" x14ac:dyDescent="0.2">
      <c r="A54">
        <f>ROW(Source!A50)</f>
        <v>50</v>
      </c>
      <c r="B54">
        <v>45038514</v>
      </c>
      <c r="C54">
        <v>45037481</v>
      </c>
      <c r="D54">
        <v>22700967</v>
      </c>
      <c r="E54">
        <v>1</v>
      </c>
      <c r="F54">
        <v>1</v>
      </c>
      <c r="G54">
        <v>22652947</v>
      </c>
      <c r="H54">
        <v>3</v>
      </c>
      <c r="I54" t="s">
        <v>273</v>
      </c>
      <c r="J54" t="s">
        <v>275</v>
      </c>
      <c r="K54" t="s">
        <v>274</v>
      </c>
      <c r="L54">
        <v>1339</v>
      </c>
      <c r="N54">
        <v>1007</v>
      </c>
      <c r="O54" t="s">
        <v>80</v>
      </c>
      <c r="P54" t="s">
        <v>80</v>
      </c>
      <c r="Q54">
        <v>1</v>
      </c>
      <c r="X54">
        <v>10</v>
      </c>
      <c r="Y54">
        <v>7.07</v>
      </c>
      <c r="Z54">
        <v>0</v>
      </c>
      <c r="AA54">
        <v>0</v>
      </c>
      <c r="AB54">
        <v>0</v>
      </c>
      <c r="AC54">
        <v>0</v>
      </c>
      <c r="AD54">
        <v>1</v>
      </c>
      <c r="AE54">
        <v>0</v>
      </c>
      <c r="AF54" t="s">
        <v>3</v>
      </c>
      <c r="AG54">
        <v>10</v>
      </c>
      <c r="AH54">
        <v>2</v>
      </c>
      <c r="AI54">
        <v>45037483</v>
      </c>
      <c r="AJ54">
        <v>56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</row>
    <row r="55" spans="1:44" x14ac:dyDescent="0.2">
      <c r="A55">
        <f>ROW(Source!A50)</f>
        <v>50</v>
      </c>
      <c r="B55">
        <v>45038515</v>
      </c>
      <c r="C55">
        <v>45037481</v>
      </c>
      <c r="D55">
        <v>22670983</v>
      </c>
      <c r="E55">
        <v>22652947</v>
      </c>
      <c r="F55">
        <v>1</v>
      </c>
      <c r="G55">
        <v>22652947</v>
      </c>
      <c r="H55">
        <v>3</v>
      </c>
      <c r="I55" t="s">
        <v>791</v>
      </c>
      <c r="J55" t="s">
        <v>3</v>
      </c>
      <c r="K55" t="s">
        <v>792</v>
      </c>
      <c r="L55">
        <v>1346</v>
      </c>
      <c r="N55">
        <v>1009</v>
      </c>
      <c r="O55" t="s">
        <v>89</v>
      </c>
      <c r="P55" t="s">
        <v>89</v>
      </c>
      <c r="Q55">
        <v>1</v>
      </c>
      <c r="X55">
        <v>4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 t="s">
        <v>3</v>
      </c>
      <c r="AG55">
        <v>4</v>
      </c>
      <c r="AH55">
        <v>3</v>
      </c>
      <c r="AI55">
        <v>-1</v>
      </c>
      <c r="AJ55" t="s">
        <v>3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</row>
    <row r="56" spans="1:44" x14ac:dyDescent="0.2">
      <c r="A56">
        <f>ROW(Source!A51)</f>
        <v>51</v>
      </c>
      <c r="B56">
        <v>45038513</v>
      </c>
      <c r="C56">
        <v>45037481</v>
      </c>
      <c r="D56">
        <v>22652952</v>
      </c>
      <c r="E56">
        <v>22652947</v>
      </c>
      <c r="F56">
        <v>1</v>
      </c>
      <c r="G56">
        <v>22652947</v>
      </c>
      <c r="H56">
        <v>1</v>
      </c>
      <c r="I56" t="s">
        <v>617</v>
      </c>
      <c r="J56" t="s">
        <v>3</v>
      </c>
      <c r="K56" t="s">
        <v>618</v>
      </c>
      <c r="L56">
        <v>1191</v>
      </c>
      <c r="N56">
        <v>1013</v>
      </c>
      <c r="O56" t="s">
        <v>619</v>
      </c>
      <c r="P56" t="s">
        <v>619</v>
      </c>
      <c r="Q56">
        <v>1</v>
      </c>
      <c r="X56">
        <v>5.25</v>
      </c>
      <c r="Y56">
        <v>0</v>
      </c>
      <c r="Z56">
        <v>0</v>
      </c>
      <c r="AA56">
        <v>0</v>
      </c>
      <c r="AB56">
        <v>0</v>
      </c>
      <c r="AC56">
        <v>0</v>
      </c>
      <c r="AD56">
        <v>1</v>
      </c>
      <c r="AE56">
        <v>1</v>
      </c>
      <c r="AF56" t="s">
        <v>37</v>
      </c>
      <c r="AG56">
        <v>6.0374999999999996</v>
      </c>
      <c r="AH56">
        <v>2</v>
      </c>
      <c r="AI56">
        <v>45037482</v>
      </c>
      <c r="AJ56">
        <v>58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</row>
    <row r="57" spans="1:44" x14ac:dyDescent="0.2">
      <c r="A57">
        <f>ROW(Source!A51)</f>
        <v>51</v>
      </c>
      <c r="B57">
        <v>45038514</v>
      </c>
      <c r="C57">
        <v>45037481</v>
      </c>
      <c r="D57">
        <v>22700967</v>
      </c>
      <c r="E57">
        <v>1</v>
      </c>
      <c r="F57">
        <v>1</v>
      </c>
      <c r="G57">
        <v>22652947</v>
      </c>
      <c r="H57">
        <v>3</v>
      </c>
      <c r="I57" t="s">
        <v>273</v>
      </c>
      <c r="J57" t="s">
        <v>275</v>
      </c>
      <c r="K57" t="s">
        <v>274</v>
      </c>
      <c r="L57">
        <v>1339</v>
      </c>
      <c r="N57">
        <v>1007</v>
      </c>
      <c r="O57" t="s">
        <v>80</v>
      </c>
      <c r="P57" t="s">
        <v>80</v>
      </c>
      <c r="Q57">
        <v>1</v>
      </c>
      <c r="X57">
        <v>10</v>
      </c>
      <c r="Y57">
        <v>7.07</v>
      </c>
      <c r="Z57">
        <v>0</v>
      </c>
      <c r="AA57">
        <v>0</v>
      </c>
      <c r="AB57">
        <v>0</v>
      </c>
      <c r="AC57">
        <v>0</v>
      </c>
      <c r="AD57">
        <v>1</v>
      </c>
      <c r="AE57">
        <v>0</v>
      </c>
      <c r="AF57" t="s">
        <v>3</v>
      </c>
      <c r="AG57">
        <v>10</v>
      </c>
      <c r="AH57">
        <v>2</v>
      </c>
      <c r="AI57">
        <v>45037483</v>
      </c>
      <c r="AJ57">
        <v>59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</row>
    <row r="58" spans="1:44" x14ac:dyDescent="0.2">
      <c r="A58">
        <f>ROW(Source!A51)</f>
        <v>51</v>
      </c>
      <c r="B58">
        <v>45038515</v>
      </c>
      <c r="C58">
        <v>45037481</v>
      </c>
      <c r="D58">
        <v>22670983</v>
      </c>
      <c r="E58">
        <v>22652947</v>
      </c>
      <c r="F58">
        <v>1</v>
      </c>
      <c r="G58">
        <v>22652947</v>
      </c>
      <c r="H58">
        <v>3</v>
      </c>
      <c r="I58" t="s">
        <v>791</v>
      </c>
      <c r="J58" t="s">
        <v>3</v>
      </c>
      <c r="K58" t="s">
        <v>792</v>
      </c>
      <c r="L58">
        <v>1346</v>
      </c>
      <c r="N58">
        <v>1009</v>
      </c>
      <c r="O58" t="s">
        <v>89</v>
      </c>
      <c r="P58" t="s">
        <v>89</v>
      </c>
      <c r="Q58">
        <v>1</v>
      </c>
      <c r="X58">
        <v>4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 t="s">
        <v>3</v>
      </c>
      <c r="AG58">
        <v>4</v>
      </c>
      <c r="AH58">
        <v>3</v>
      </c>
      <c r="AI58">
        <v>-1</v>
      </c>
      <c r="AJ58" t="s">
        <v>3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</row>
    <row r="59" spans="1:44" x14ac:dyDescent="0.2">
      <c r="A59">
        <f>ROW(Source!A54)</f>
        <v>54</v>
      </c>
      <c r="B59">
        <v>45038516</v>
      </c>
      <c r="C59">
        <v>45037489</v>
      </c>
      <c r="D59">
        <v>22652952</v>
      </c>
      <c r="E59">
        <v>22652947</v>
      </c>
      <c r="F59">
        <v>1</v>
      </c>
      <c r="G59">
        <v>22652947</v>
      </c>
      <c r="H59">
        <v>1</v>
      </c>
      <c r="I59" t="s">
        <v>617</v>
      </c>
      <c r="J59" t="s">
        <v>3</v>
      </c>
      <c r="K59" t="s">
        <v>618</v>
      </c>
      <c r="L59">
        <v>1191</v>
      </c>
      <c r="N59">
        <v>1013</v>
      </c>
      <c r="O59" t="s">
        <v>619</v>
      </c>
      <c r="P59" t="s">
        <v>619</v>
      </c>
      <c r="Q59">
        <v>1</v>
      </c>
      <c r="X59">
        <v>0.12</v>
      </c>
      <c r="Y59">
        <v>0</v>
      </c>
      <c r="Z59">
        <v>0</v>
      </c>
      <c r="AA59">
        <v>0</v>
      </c>
      <c r="AB59">
        <v>0</v>
      </c>
      <c r="AC59">
        <v>0</v>
      </c>
      <c r="AD59">
        <v>1</v>
      </c>
      <c r="AE59">
        <v>1</v>
      </c>
      <c r="AF59" t="s">
        <v>3</v>
      </c>
      <c r="AG59">
        <v>0.12</v>
      </c>
      <c r="AH59">
        <v>2</v>
      </c>
      <c r="AI59">
        <v>45037490</v>
      </c>
      <c r="AJ59">
        <v>61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</row>
    <row r="60" spans="1:44" x14ac:dyDescent="0.2">
      <c r="A60">
        <f>ROW(Source!A54)</f>
        <v>54</v>
      </c>
      <c r="B60">
        <v>45038517</v>
      </c>
      <c r="C60">
        <v>45037489</v>
      </c>
      <c r="D60">
        <v>22725578</v>
      </c>
      <c r="E60">
        <v>1</v>
      </c>
      <c r="F60">
        <v>1</v>
      </c>
      <c r="G60">
        <v>22652947</v>
      </c>
      <c r="H60">
        <v>2</v>
      </c>
      <c r="I60" t="s">
        <v>657</v>
      </c>
      <c r="J60" t="s">
        <v>658</v>
      </c>
      <c r="K60" t="s">
        <v>659</v>
      </c>
      <c r="L60">
        <v>1367</v>
      </c>
      <c r="N60">
        <v>1011</v>
      </c>
      <c r="O60" t="s">
        <v>623</v>
      </c>
      <c r="P60" t="s">
        <v>623</v>
      </c>
      <c r="Q60">
        <v>1</v>
      </c>
      <c r="X60">
        <v>0.02</v>
      </c>
      <c r="Y60">
        <v>0</v>
      </c>
      <c r="Z60">
        <v>43.4</v>
      </c>
      <c r="AA60">
        <v>2.68</v>
      </c>
      <c r="AB60">
        <v>0</v>
      </c>
      <c r="AC60">
        <v>0</v>
      </c>
      <c r="AD60">
        <v>1</v>
      </c>
      <c r="AE60">
        <v>0</v>
      </c>
      <c r="AF60" t="s">
        <v>3</v>
      </c>
      <c r="AG60">
        <v>0.02</v>
      </c>
      <c r="AH60">
        <v>2</v>
      </c>
      <c r="AI60">
        <v>45037491</v>
      </c>
      <c r="AJ60">
        <v>62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</row>
    <row r="61" spans="1:44" x14ac:dyDescent="0.2">
      <c r="A61">
        <f>ROW(Source!A54)</f>
        <v>54</v>
      </c>
      <c r="B61">
        <v>45038518</v>
      </c>
      <c r="C61">
        <v>45037489</v>
      </c>
      <c r="D61">
        <v>22725860</v>
      </c>
      <c r="E61">
        <v>1</v>
      </c>
      <c r="F61">
        <v>1</v>
      </c>
      <c r="G61">
        <v>22652947</v>
      </c>
      <c r="H61">
        <v>2</v>
      </c>
      <c r="I61" t="s">
        <v>660</v>
      </c>
      <c r="J61" t="s">
        <v>661</v>
      </c>
      <c r="K61" t="s">
        <v>662</v>
      </c>
      <c r="L61">
        <v>1367</v>
      </c>
      <c r="N61">
        <v>1011</v>
      </c>
      <c r="O61" t="s">
        <v>623</v>
      </c>
      <c r="P61" t="s">
        <v>623</v>
      </c>
      <c r="Q61">
        <v>1</v>
      </c>
      <c r="X61">
        <v>0.01</v>
      </c>
      <c r="Y61">
        <v>0</v>
      </c>
      <c r="Z61">
        <v>76.81</v>
      </c>
      <c r="AA61">
        <v>14.36</v>
      </c>
      <c r="AB61">
        <v>0</v>
      </c>
      <c r="AC61">
        <v>0</v>
      </c>
      <c r="AD61">
        <v>1</v>
      </c>
      <c r="AE61">
        <v>0</v>
      </c>
      <c r="AF61" t="s">
        <v>3</v>
      </c>
      <c r="AG61">
        <v>0.01</v>
      </c>
      <c r="AH61">
        <v>2</v>
      </c>
      <c r="AI61">
        <v>45037492</v>
      </c>
      <c r="AJ61">
        <v>63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</row>
    <row r="62" spans="1:44" x14ac:dyDescent="0.2">
      <c r="A62">
        <f>ROW(Source!A54)</f>
        <v>54</v>
      </c>
      <c r="B62">
        <v>45038519</v>
      </c>
      <c r="C62">
        <v>45037489</v>
      </c>
      <c r="D62">
        <v>22725906</v>
      </c>
      <c r="E62">
        <v>1</v>
      </c>
      <c r="F62">
        <v>1</v>
      </c>
      <c r="G62">
        <v>22652947</v>
      </c>
      <c r="H62">
        <v>2</v>
      </c>
      <c r="I62" t="s">
        <v>663</v>
      </c>
      <c r="J62" t="s">
        <v>664</v>
      </c>
      <c r="K62" t="s">
        <v>665</v>
      </c>
      <c r="L62">
        <v>1367</v>
      </c>
      <c r="N62">
        <v>1011</v>
      </c>
      <c r="O62" t="s">
        <v>623</v>
      </c>
      <c r="P62" t="s">
        <v>623</v>
      </c>
      <c r="Q62">
        <v>1</v>
      </c>
      <c r="X62">
        <v>0.01</v>
      </c>
      <c r="Y62">
        <v>0</v>
      </c>
      <c r="Z62">
        <v>0.68</v>
      </c>
      <c r="AA62">
        <v>0.04</v>
      </c>
      <c r="AB62">
        <v>0</v>
      </c>
      <c r="AC62">
        <v>0</v>
      </c>
      <c r="AD62">
        <v>1</v>
      </c>
      <c r="AE62">
        <v>0</v>
      </c>
      <c r="AF62" t="s">
        <v>3</v>
      </c>
      <c r="AG62">
        <v>0.01</v>
      </c>
      <c r="AH62">
        <v>2</v>
      </c>
      <c r="AI62">
        <v>45037493</v>
      </c>
      <c r="AJ62">
        <v>64</v>
      </c>
      <c r="AK62">
        <v>0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</row>
    <row r="63" spans="1:44" x14ac:dyDescent="0.2">
      <c r="A63">
        <f>ROW(Source!A54)</f>
        <v>54</v>
      </c>
      <c r="B63">
        <v>45038520</v>
      </c>
      <c r="C63">
        <v>45037489</v>
      </c>
      <c r="D63">
        <v>22653672</v>
      </c>
      <c r="E63">
        <v>22652947</v>
      </c>
      <c r="F63">
        <v>1</v>
      </c>
      <c r="G63">
        <v>22652947</v>
      </c>
      <c r="H63">
        <v>2</v>
      </c>
      <c r="I63" t="s">
        <v>630</v>
      </c>
      <c r="J63" t="s">
        <v>3</v>
      </c>
      <c r="K63" t="s">
        <v>631</v>
      </c>
      <c r="L63">
        <v>1344</v>
      </c>
      <c r="N63">
        <v>1008</v>
      </c>
      <c r="O63" t="s">
        <v>632</v>
      </c>
      <c r="P63" t="s">
        <v>632</v>
      </c>
      <c r="Q63">
        <v>1</v>
      </c>
      <c r="X63">
        <v>0.01</v>
      </c>
      <c r="Y63">
        <v>0</v>
      </c>
      <c r="Z63">
        <v>1</v>
      </c>
      <c r="AA63">
        <v>0</v>
      </c>
      <c r="AB63">
        <v>0</v>
      </c>
      <c r="AC63">
        <v>0</v>
      </c>
      <c r="AD63">
        <v>1</v>
      </c>
      <c r="AE63">
        <v>0</v>
      </c>
      <c r="AF63" t="s">
        <v>3</v>
      </c>
      <c r="AG63">
        <v>0.01</v>
      </c>
      <c r="AH63">
        <v>3</v>
      </c>
      <c r="AI63">
        <v>-1</v>
      </c>
      <c r="AJ63" t="s">
        <v>3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</row>
    <row r="64" spans="1:44" x14ac:dyDescent="0.2">
      <c r="A64">
        <f>ROW(Source!A54)</f>
        <v>54</v>
      </c>
      <c r="B64">
        <v>45038521</v>
      </c>
      <c r="C64">
        <v>45037489</v>
      </c>
      <c r="D64">
        <v>22702279</v>
      </c>
      <c r="E64">
        <v>1</v>
      </c>
      <c r="F64">
        <v>1</v>
      </c>
      <c r="G64">
        <v>22652947</v>
      </c>
      <c r="H64">
        <v>3</v>
      </c>
      <c r="I64" t="s">
        <v>666</v>
      </c>
      <c r="J64" t="s">
        <v>667</v>
      </c>
      <c r="K64" t="s">
        <v>668</v>
      </c>
      <c r="L64">
        <v>1348</v>
      </c>
      <c r="N64">
        <v>1009</v>
      </c>
      <c r="O64" t="s">
        <v>29</v>
      </c>
      <c r="P64" t="s">
        <v>29</v>
      </c>
      <c r="Q64">
        <v>1000</v>
      </c>
      <c r="X64">
        <v>3.0000000000000001E-5</v>
      </c>
      <c r="Y64">
        <v>7191.81</v>
      </c>
      <c r="Z64">
        <v>0</v>
      </c>
      <c r="AA64">
        <v>0</v>
      </c>
      <c r="AB64">
        <v>0</v>
      </c>
      <c r="AC64">
        <v>0</v>
      </c>
      <c r="AD64">
        <v>1</v>
      </c>
      <c r="AE64">
        <v>0</v>
      </c>
      <c r="AF64" t="s">
        <v>3</v>
      </c>
      <c r="AG64">
        <v>3.0000000000000001E-5</v>
      </c>
      <c r="AH64">
        <v>2</v>
      </c>
      <c r="AI64">
        <v>45037494</v>
      </c>
      <c r="AJ64">
        <v>65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0</v>
      </c>
      <c r="AQ64">
        <v>0</v>
      </c>
      <c r="AR64">
        <v>0</v>
      </c>
    </row>
    <row r="65" spans="1:44" x14ac:dyDescent="0.2">
      <c r="A65">
        <f>ROW(Source!A54)</f>
        <v>54</v>
      </c>
      <c r="B65">
        <v>45038522</v>
      </c>
      <c r="C65">
        <v>45037489</v>
      </c>
      <c r="D65">
        <v>22667103</v>
      </c>
      <c r="E65">
        <v>22652947</v>
      </c>
      <c r="F65">
        <v>1</v>
      </c>
      <c r="G65">
        <v>22652947</v>
      </c>
      <c r="H65">
        <v>3</v>
      </c>
      <c r="I65" t="s">
        <v>793</v>
      </c>
      <c r="J65" t="s">
        <v>3</v>
      </c>
      <c r="K65" t="s">
        <v>794</v>
      </c>
      <c r="L65">
        <v>1327</v>
      </c>
      <c r="N65">
        <v>1005</v>
      </c>
      <c r="O65" t="s">
        <v>101</v>
      </c>
      <c r="P65" t="s">
        <v>101</v>
      </c>
      <c r="Q65">
        <v>1</v>
      </c>
      <c r="X65">
        <v>1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 t="s">
        <v>3</v>
      </c>
      <c r="AG65">
        <v>1</v>
      </c>
      <c r="AH65">
        <v>3</v>
      </c>
      <c r="AI65">
        <v>-1</v>
      </c>
      <c r="AJ65" t="s">
        <v>3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</row>
    <row r="66" spans="1:44" x14ac:dyDescent="0.2">
      <c r="A66">
        <f>ROW(Source!A55)</f>
        <v>55</v>
      </c>
      <c r="B66">
        <v>45038516</v>
      </c>
      <c r="C66">
        <v>45037489</v>
      </c>
      <c r="D66">
        <v>22652952</v>
      </c>
      <c r="E66">
        <v>22652947</v>
      </c>
      <c r="F66">
        <v>1</v>
      </c>
      <c r="G66">
        <v>22652947</v>
      </c>
      <c r="H66">
        <v>1</v>
      </c>
      <c r="I66" t="s">
        <v>617</v>
      </c>
      <c r="J66" t="s">
        <v>3</v>
      </c>
      <c r="K66" t="s">
        <v>618</v>
      </c>
      <c r="L66">
        <v>1191</v>
      </c>
      <c r="N66">
        <v>1013</v>
      </c>
      <c r="O66" t="s">
        <v>619</v>
      </c>
      <c r="P66" t="s">
        <v>619</v>
      </c>
      <c r="Q66">
        <v>1</v>
      </c>
      <c r="X66">
        <v>0.12</v>
      </c>
      <c r="Y66">
        <v>0</v>
      </c>
      <c r="Z66">
        <v>0</v>
      </c>
      <c r="AA66">
        <v>0</v>
      </c>
      <c r="AB66">
        <v>0</v>
      </c>
      <c r="AC66">
        <v>0</v>
      </c>
      <c r="AD66">
        <v>1</v>
      </c>
      <c r="AE66">
        <v>1</v>
      </c>
      <c r="AF66" t="s">
        <v>3</v>
      </c>
      <c r="AG66">
        <v>0.12</v>
      </c>
      <c r="AH66">
        <v>2</v>
      </c>
      <c r="AI66">
        <v>45037490</v>
      </c>
      <c r="AJ66">
        <v>67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</row>
    <row r="67" spans="1:44" x14ac:dyDescent="0.2">
      <c r="A67">
        <f>ROW(Source!A55)</f>
        <v>55</v>
      </c>
      <c r="B67">
        <v>45038517</v>
      </c>
      <c r="C67">
        <v>45037489</v>
      </c>
      <c r="D67">
        <v>22725578</v>
      </c>
      <c r="E67">
        <v>1</v>
      </c>
      <c r="F67">
        <v>1</v>
      </c>
      <c r="G67">
        <v>22652947</v>
      </c>
      <c r="H67">
        <v>2</v>
      </c>
      <c r="I67" t="s">
        <v>657</v>
      </c>
      <c r="J67" t="s">
        <v>658</v>
      </c>
      <c r="K67" t="s">
        <v>659</v>
      </c>
      <c r="L67">
        <v>1367</v>
      </c>
      <c r="N67">
        <v>1011</v>
      </c>
      <c r="O67" t="s">
        <v>623</v>
      </c>
      <c r="P67" t="s">
        <v>623</v>
      </c>
      <c r="Q67">
        <v>1</v>
      </c>
      <c r="X67">
        <v>0.02</v>
      </c>
      <c r="Y67">
        <v>0</v>
      </c>
      <c r="Z67">
        <v>43.4</v>
      </c>
      <c r="AA67">
        <v>2.68</v>
      </c>
      <c r="AB67">
        <v>0</v>
      </c>
      <c r="AC67">
        <v>0</v>
      </c>
      <c r="AD67">
        <v>1</v>
      </c>
      <c r="AE67">
        <v>0</v>
      </c>
      <c r="AF67" t="s">
        <v>3</v>
      </c>
      <c r="AG67">
        <v>0.02</v>
      </c>
      <c r="AH67">
        <v>2</v>
      </c>
      <c r="AI67">
        <v>45037491</v>
      </c>
      <c r="AJ67">
        <v>68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</row>
    <row r="68" spans="1:44" x14ac:dyDescent="0.2">
      <c r="A68">
        <f>ROW(Source!A55)</f>
        <v>55</v>
      </c>
      <c r="B68">
        <v>45038518</v>
      </c>
      <c r="C68">
        <v>45037489</v>
      </c>
      <c r="D68">
        <v>22725860</v>
      </c>
      <c r="E68">
        <v>1</v>
      </c>
      <c r="F68">
        <v>1</v>
      </c>
      <c r="G68">
        <v>22652947</v>
      </c>
      <c r="H68">
        <v>2</v>
      </c>
      <c r="I68" t="s">
        <v>660</v>
      </c>
      <c r="J68" t="s">
        <v>661</v>
      </c>
      <c r="K68" t="s">
        <v>662</v>
      </c>
      <c r="L68">
        <v>1367</v>
      </c>
      <c r="N68">
        <v>1011</v>
      </c>
      <c r="O68" t="s">
        <v>623</v>
      </c>
      <c r="P68" t="s">
        <v>623</v>
      </c>
      <c r="Q68">
        <v>1</v>
      </c>
      <c r="X68">
        <v>0.01</v>
      </c>
      <c r="Y68">
        <v>0</v>
      </c>
      <c r="Z68">
        <v>76.81</v>
      </c>
      <c r="AA68">
        <v>14.36</v>
      </c>
      <c r="AB68">
        <v>0</v>
      </c>
      <c r="AC68">
        <v>0</v>
      </c>
      <c r="AD68">
        <v>1</v>
      </c>
      <c r="AE68">
        <v>0</v>
      </c>
      <c r="AF68" t="s">
        <v>3</v>
      </c>
      <c r="AG68">
        <v>0.01</v>
      </c>
      <c r="AH68">
        <v>2</v>
      </c>
      <c r="AI68">
        <v>45037492</v>
      </c>
      <c r="AJ68">
        <v>69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0</v>
      </c>
      <c r="AQ68">
        <v>0</v>
      </c>
      <c r="AR68">
        <v>0</v>
      </c>
    </row>
    <row r="69" spans="1:44" x14ac:dyDescent="0.2">
      <c r="A69">
        <f>ROW(Source!A55)</f>
        <v>55</v>
      </c>
      <c r="B69">
        <v>45038519</v>
      </c>
      <c r="C69">
        <v>45037489</v>
      </c>
      <c r="D69">
        <v>22725906</v>
      </c>
      <c r="E69">
        <v>1</v>
      </c>
      <c r="F69">
        <v>1</v>
      </c>
      <c r="G69">
        <v>22652947</v>
      </c>
      <c r="H69">
        <v>2</v>
      </c>
      <c r="I69" t="s">
        <v>663</v>
      </c>
      <c r="J69" t="s">
        <v>664</v>
      </c>
      <c r="K69" t="s">
        <v>665</v>
      </c>
      <c r="L69">
        <v>1367</v>
      </c>
      <c r="N69">
        <v>1011</v>
      </c>
      <c r="O69" t="s">
        <v>623</v>
      </c>
      <c r="P69" t="s">
        <v>623</v>
      </c>
      <c r="Q69">
        <v>1</v>
      </c>
      <c r="X69">
        <v>0.01</v>
      </c>
      <c r="Y69">
        <v>0</v>
      </c>
      <c r="Z69">
        <v>0.68</v>
      </c>
      <c r="AA69">
        <v>0.04</v>
      </c>
      <c r="AB69">
        <v>0</v>
      </c>
      <c r="AC69">
        <v>0</v>
      </c>
      <c r="AD69">
        <v>1</v>
      </c>
      <c r="AE69">
        <v>0</v>
      </c>
      <c r="AF69" t="s">
        <v>3</v>
      </c>
      <c r="AG69">
        <v>0.01</v>
      </c>
      <c r="AH69">
        <v>2</v>
      </c>
      <c r="AI69">
        <v>45037493</v>
      </c>
      <c r="AJ69">
        <v>70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0</v>
      </c>
      <c r="AQ69">
        <v>0</v>
      </c>
      <c r="AR69">
        <v>0</v>
      </c>
    </row>
    <row r="70" spans="1:44" x14ac:dyDescent="0.2">
      <c r="A70">
        <f>ROW(Source!A55)</f>
        <v>55</v>
      </c>
      <c r="B70">
        <v>45038520</v>
      </c>
      <c r="C70">
        <v>45037489</v>
      </c>
      <c r="D70">
        <v>22653672</v>
      </c>
      <c r="E70">
        <v>22652947</v>
      </c>
      <c r="F70">
        <v>1</v>
      </c>
      <c r="G70">
        <v>22652947</v>
      </c>
      <c r="H70">
        <v>2</v>
      </c>
      <c r="I70" t="s">
        <v>630</v>
      </c>
      <c r="J70" t="s">
        <v>3</v>
      </c>
      <c r="K70" t="s">
        <v>631</v>
      </c>
      <c r="L70">
        <v>1344</v>
      </c>
      <c r="N70">
        <v>1008</v>
      </c>
      <c r="O70" t="s">
        <v>632</v>
      </c>
      <c r="P70" t="s">
        <v>632</v>
      </c>
      <c r="Q70">
        <v>1</v>
      </c>
      <c r="X70">
        <v>0.01</v>
      </c>
      <c r="Y70">
        <v>0</v>
      </c>
      <c r="Z70">
        <v>1</v>
      </c>
      <c r="AA70">
        <v>0</v>
      </c>
      <c r="AB70">
        <v>0</v>
      </c>
      <c r="AC70">
        <v>0</v>
      </c>
      <c r="AD70">
        <v>1</v>
      </c>
      <c r="AE70">
        <v>0</v>
      </c>
      <c r="AF70" t="s">
        <v>3</v>
      </c>
      <c r="AG70">
        <v>0.01</v>
      </c>
      <c r="AH70">
        <v>3</v>
      </c>
      <c r="AI70">
        <v>-1</v>
      </c>
      <c r="AJ70" t="s">
        <v>3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</row>
    <row r="71" spans="1:44" x14ac:dyDescent="0.2">
      <c r="A71">
        <f>ROW(Source!A55)</f>
        <v>55</v>
      </c>
      <c r="B71">
        <v>45038521</v>
      </c>
      <c r="C71">
        <v>45037489</v>
      </c>
      <c r="D71">
        <v>22702279</v>
      </c>
      <c r="E71">
        <v>1</v>
      </c>
      <c r="F71">
        <v>1</v>
      </c>
      <c r="G71">
        <v>22652947</v>
      </c>
      <c r="H71">
        <v>3</v>
      </c>
      <c r="I71" t="s">
        <v>666</v>
      </c>
      <c r="J71" t="s">
        <v>667</v>
      </c>
      <c r="K71" t="s">
        <v>668</v>
      </c>
      <c r="L71">
        <v>1348</v>
      </c>
      <c r="N71">
        <v>1009</v>
      </c>
      <c r="O71" t="s">
        <v>29</v>
      </c>
      <c r="P71" t="s">
        <v>29</v>
      </c>
      <c r="Q71">
        <v>1000</v>
      </c>
      <c r="X71">
        <v>3.0000000000000001E-5</v>
      </c>
      <c r="Y71">
        <v>7191.81</v>
      </c>
      <c r="Z71">
        <v>0</v>
      </c>
      <c r="AA71">
        <v>0</v>
      </c>
      <c r="AB71">
        <v>0</v>
      </c>
      <c r="AC71">
        <v>0</v>
      </c>
      <c r="AD71">
        <v>1</v>
      </c>
      <c r="AE71">
        <v>0</v>
      </c>
      <c r="AF71" t="s">
        <v>3</v>
      </c>
      <c r="AG71">
        <v>3.0000000000000001E-5</v>
      </c>
      <c r="AH71">
        <v>2</v>
      </c>
      <c r="AI71">
        <v>45037494</v>
      </c>
      <c r="AJ71">
        <v>71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</row>
    <row r="72" spans="1:44" x14ac:dyDescent="0.2">
      <c r="A72">
        <f>ROW(Source!A55)</f>
        <v>55</v>
      </c>
      <c r="B72">
        <v>45038522</v>
      </c>
      <c r="C72">
        <v>45037489</v>
      </c>
      <c r="D72">
        <v>22667103</v>
      </c>
      <c r="E72">
        <v>22652947</v>
      </c>
      <c r="F72">
        <v>1</v>
      </c>
      <c r="G72">
        <v>22652947</v>
      </c>
      <c r="H72">
        <v>3</v>
      </c>
      <c r="I72" t="s">
        <v>793</v>
      </c>
      <c r="J72" t="s">
        <v>3</v>
      </c>
      <c r="K72" t="s">
        <v>794</v>
      </c>
      <c r="L72">
        <v>1327</v>
      </c>
      <c r="N72">
        <v>1005</v>
      </c>
      <c r="O72" t="s">
        <v>101</v>
      </c>
      <c r="P72" t="s">
        <v>101</v>
      </c>
      <c r="Q72">
        <v>1</v>
      </c>
      <c r="X72">
        <v>1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 t="s">
        <v>3</v>
      </c>
      <c r="AG72">
        <v>1</v>
      </c>
      <c r="AH72">
        <v>3</v>
      </c>
      <c r="AI72">
        <v>-1</v>
      </c>
      <c r="AJ72" t="s">
        <v>3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</row>
    <row r="73" spans="1:44" x14ac:dyDescent="0.2">
      <c r="A73">
        <f>ROW(Source!A58)</f>
        <v>58</v>
      </c>
      <c r="B73">
        <v>45038523</v>
      </c>
      <c r="C73">
        <v>45037503</v>
      </c>
      <c r="D73">
        <v>22652952</v>
      </c>
      <c r="E73">
        <v>22652947</v>
      </c>
      <c r="F73">
        <v>1</v>
      </c>
      <c r="G73">
        <v>22652947</v>
      </c>
      <c r="H73">
        <v>1</v>
      </c>
      <c r="I73" t="s">
        <v>617</v>
      </c>
      <c r="J73" t="s">
        <v>3</v>
      </c>
      <c r="K73" t="s">
        <v>618</v>
      </c>
      <c r="L73">
        <v>1191</v>
      </c>
      <c r="N73">
        <v>1013</v>
      </c>
      <c r="O73" t="s">
        <v>619</v>
      </c>
      <c r="P73" t="s">
        <v>619</v>
      </c>
      <c r="Q73">
        <v>1</v>
      </c>
      <c r="X73">
        <v>83</v>
      </c>
      <c r="Y73">
        <v>0</v>
      </c>
      <c r="Z73">
        <v>0</v>
      </c>
      <c r="AA73">
        <v>0</v>
      </c>
      <c r="AB73">
        <v>0</v>
      </c>
      <c r="AC73">
        <v>0</v>
      </c>
      <c r="AD73">
        <v>1</v>
      </c>
      <c r="AE73">
        <v>1</v>
      </c>
      <c r="AF73" t="s">
        <v>3</v>
      </c>
      <c r="AG73">
        <v>83</v>
      </c>
      <c r="AH73">
        <v>2</v>
      </c>
      <c r="AI73">
        <v>45037504</v>
      </c>
      <c r="AJ73">
        <v>73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</row>
    <row r="74" spans="1:44" x14ac:dyDescent="0.2">
      <c r="A74">
        <f>ROW(Source!A59)</f>
        <v>59</v>
      </c>
      <c r="B74">
        <v>45038523</v>
      </c>
      <c r="C74">
        <v>45037503</v>
      </c>
      <c r="D74">
        <v>22652952</v>
      </c>
      <c r="E74">
        <v>22652947</v>
      </c>
      <c r="F74">
        <v>1</v>
      </c>
      <c r="G74">
        <v>22652947</v>
      </c>
      <c r="H74">
        <v>1</v>
      </c>
      <c r="I74" t="s">
        <v>617</v>
      </c>
      <c r="J74" t="s">
        <v>3</v>
      </c>
      <c r="K74" t="s">
        <v>618</v>
      </c>
      <c r="L74">
        <v>1191</v>
      </c>
      <c r="N74">
        <v>1013</v>
      </c>
      <c r="O74" t="s">
        <v>619</v>
      </c>
      <c r="P74" t="s">
        <v>619</v>
      </c>
      <c r="Q74">
        <v>1</v>
      </c>
      <c r="X74">
        <v>83</v>
      </c>
      <c r="Y74">
        <v>0</v>
      </c>
      <c r="Z74">
        <v>0</v>
      </c>
      <c r="AA74">
        <v>0</v>
      </c>
      <c r="AB74">
        <v>0</v>
      </c>
      <c r="AC74">
        <v>0</v>
      </c>
      <c r="AD74">
        <v>1</v>
      </c>
      <c r="AE74">
        <v>1</v>
      </c>
      <c r="AF74" t="s">
        <v>3</v>
      </c>
      <c r="AG74">
        <v>83</v>
      </c>
      <c r="AH74">
        <v>2</v>
      </c>
      <c r="AI74">
        <v>45037504</v>
      </c>
      <c r="AJ74">
        <v>74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</row>
    <row r="75" spans="1:44" x14ac:dyDescent="0.2">
      <c r="A75">
        <f>ROW(Source!A60)</f>
        <v>60</v>
      </c>
      <c r="B75">
        <v>45038524</v>
      </c>
      <c r="C75">
        <v>45037506</v>
      </c>
      <c r="D75">
        <v>22653672</v>
      </c>
      <c r="E75">
        <v>22652947</v>
      </c>
      <c r="F75">
        <v>1</v>
      </c>
      <c r="G75">
        <v>22652947</v>
      </c>
      <c r="H75">
        <v>2</v>
      </c>
      <c r="I75" t="s">
        <v>630</v>
      </c>
      <c r="J75" t="s">
        <v>3</v>
      </c>
      <c r="K75" t="s">
        <v>631</v>
      </c>
      <c r="L75">
        <v>1344</v>
      </c>
      <c r="N75">
        <v>1008</v>
      </c>
      <c r="O75" t="s">
        <v>632</v>
      </c>
      <c r="P75" t="s">
        <v>632</v>
      </c>
      <c r="Q75">
        <v>1</v>
      </c>
      <c r="X75">
        <v>53.43</v>
      </c>
      <c r="Y75">
        <v>0</v>
      </c>
      <c r="Z75">
        <v>1</v>
      </c>
      <c r="AA75">
        <v>0</v>
      </c>
      <c r="AB75">
        <v>0</v>
      </c>
      <c r="AC75">
        <v>0</v>
      </c>
      <c r="AD75">
        <v>1</v>
      </c>
      <c r="AE75">
        <v>0</v>
      </c>
      <c r="AF75" t="s">
        <v>3</v>
      </c>
      <c r="AG75">
        <v>53.43</v>
      </c>
      <c r="AH75">
        <v>2</v>
      </c>
      <c r="AI75">
        <v>45037507</v>
      </c>
      <c r="AJ75">
        <v>75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</row>
    <row r="76" spans="1:44" x14ac:dyDescent="0.2">
      <c r="A76">
        <f>ROW(Source!A61)</f>
        <v>61</v>
      </c>
      <c r="B76">
        <v>45038524</v>
      </c>
      <c r="C76">
        <v>45037506</v>
      </c>
      <c r="D76">
        <v>22653672</v>
      </c>
      <c r="E76">
        <v>22652947</v>
      </c>
      <c r="F76">
        <v>1</v>
      </c>
      <c r="G76">
        <v>22652947</v>
      </c>
      <c r="H76">
        <v>2</v>
      </c>
      <c r="I76" t="s">
        <v>630</v>
      </c>
      <c r="J76" t="s">
        <v>3</v>
      </c>
      <c r="K76" t="s">
        <v>631</v>
      </c>
      <c r="L76">
        <v>1344</v>
      </c>
      <c r="N76">
        <v>1008</v>
      </c>
      <c r="O76" t="s">
        <v>632</v>
      </c>
      <c r="P76" t="s">
        <v>632</v>
      </c>
      <c r="Q76">
        <v>1</v>
      </c>
      <c r="X76">
        <v>53.43</v>
      </c>
      <c r="Y76">
        <v>0</v>
      </c>
      <c r="Z76">
        <v>1</v>
      </c>
      <c r="AA76">
        <v>0</v>
      </c>
      <c r="AB76">
        <v>0</v>
      </c>
      <c r="AC76">
        <v>0</v>
      </c>
      <c r="AD76">
        <v>1</v>
      </c>
      <c r="AE76">
        <v>0</v>
      </c>
      <c r="AF76" t="s">
        <v>3</v>
      </c>
      <c r="AG76">
        <v>53.43</v>
      </c>
      <c r="AH76">
        <v>2</v>
      </c>
      <c r="AI76">
        <v>45037507</v>
      </c>
      <c r="AJ76">
        <v>76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</row>
    <row r="77" spans="1:44" x14ac:dyDescent="0.2">
      <c r="A77">
        <f>ROW(Source!A100)</f>
        <v>100</v>
      </c>
      <c r="B77">
        <v>45038525</v>
      </c>
      <c r="C77">
        <v>45037617</v>
      </c>
      <c r="D77">
        <v>22652952</v>
      </c>
      <c r="E77">
        <v>22652947</v>
      </c>
      <c r="F77">
        <v>1</v>
      </c>
      <c r="G77">
        <v>22652947</v>
      </c>
      <c r="H77">
        <v>1</v>
      </c>
      <c r="I77" t="s">
        <v>617</v>
      </c>
      <c r="J77" t="s">
        <v>3</v>
      </c>
      <c r="K77" t="s">
        <v>618</v>
      </c>
      <c r="L77">
        <v>1191</v>
      </c>
      <c r="N77">
        <v>1013</v>
      </c>
      <c r="O77" t="s">
        <v>619</v>
      </c>
      <c r="P77" t="s">
        <v>619</v>
      </c>
      <c r="Q77">
        <v>1</v>
      </c>
      <c r="X77">
        <v>82.1</v>
      </c>
      <c r="Y77">
        <v>0</v>
      </c>
      <c r="Z77">
        <v>0</v>
      </c>
      <c r="AA77">
        <v>0</v>
      </c>
      <c r="AB77">
        <v>0</v>
      </c>
      <c r="AC77">
        <v>0</v>
      </c>
      <c r="AD77">
        <v>1</v>
      </c>
      <c r="AE77">
        <v>1</v>
      </c>
      <c r="AF77" t="s">
        <v>178</v>
      </c>
      <c r="AG77">
        <v>49.26</v>
      </c>
      <c r="AH77">
        <v>2</v>
      </c>
      <c r="AI77">
        <v>45037618</v>
      </c>
      <c r="AJ77">
        <v>77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</row>
    <row r="78" spans="1:44" x14ac:dyDescent="0.2">
      <c r="A78">
        <f>ROW(Source!A100)</f>
        <v>100</v>
      </c>
      <c r="B78">
        <v>45038526</v>
      </c>
      <c r="C78">
        <v>45037617</v>
      </c>
      <c r="D78">
        <v>22725583</v>
      </c>
      <c r="E78">
        <v>1</v>
      </c>
      <c r="F78">
        <v>1</v>
      </c>
      <c r="G78">
        <v>22652947</v>
      </c>
      <c r="H78">
        <v>2</v>
      </c>
      <c r="I78" t="s">
        <v>669</v>
      </c>
      <c r="J78" t="s">
        <v>670</v>
      </c>
      <c r="K78" t="s">
        <v>671</v>
      </c>
      <c r="L78">
        <v>1367</v>
      </c>
      <c r="N78">
        <v>1011</v>
      </c>
      <c r="O78" t="s">
        <v>623</v>
      </c>
      <c r="P78" t="s">
        <v>623</v>
      </c>
      <c r="Q78">
        <v>1</v>
      </c>
      <c r="X78">
        <v>0.06</v>
      </c>
      <c r="Y78">
        <v>0</v>
      </c>
      <c r="Z78">
        <v>6.39</v>
      </c>
      <c r="AA78">
        <v>0.32</v>
      </c>
      <c r="AB78">
        <v>0</v>
      </c>
      <c r="AC78">
        <v>0</v>
      </c>
      <c r="AD78">
        <v>1</v>
      </c>
      <c r="AE78">
        <v>0</v>
      </c>
      <c r="AF78" t="s">
        <v>178</v>
      </c>
      <c r="AG78">
        <v>3.5999999999999997E-2</v>
      </c>
      <c r="AH78">
        <v>2</v>
      </c>
      <c r="AI78">
        <v>45037619</v>
      </c>
      <c r="AJ78">
        <v>78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</row>
    <row r="79" spans="1:44" x14ac:dyDescent="0.2">
      <c r="A79">
        <f>ROW(Source!A100)</f>
        <v>100</v>
      </c>
      <c r="B79">
        <v>45038527</v>
      </c>
      <c r="C79">
        <v>45037617</v>
      </c>
      <c r="D79">
        <v>22725932</v>
      </c>
      <c r="E79">
        <v>1</v>
      </c>
      <c r="F79">
        <v>1</v>
      </c>
      <c r="G79">
        <v>22652947</v>
      </c>
      <c r="H79">
        <v>2</v>
      </c>
      <c r="I79" t="s">
        <v>672</v>
      </c>
      <c r="J79" t="s">
        <v>673</v>
      </c>
      <c r="K79" t="s">
        <v>674</v>
      </c>
      <c r="L79">
        <v>1367</v>
      </c>
      <c r="N79">
        <v>1011</v>
      </c>
      <c r="O79" t="s">
        <v>623</v>
      </c>
      <c r="P79" t="s">
        <v>623</v>
      </c>
      <c r="Q79">
        <v>1</v>
      </c>
      <c r="X79">
        <v>0.76</v>
      </c>
      <c r="Y79">
        <v>0</v>
      </c>
      <c r="Z79">
        <v>2.58</v>
      </c>
      <c r="AA79">
        <v>0.04</v>
      </c>
      <c r="AB79">
        <v>0</v>
      </c>
      <c r="AC79">
        <v>0</v>
      </c>
      <c r="AD79">
        <v>1</v>
      </c>
      <c r="AE79">
        <v>0</v>
      </c>
      <c r="AF79" t="s">
        <v>178</v>
      </c>
      <c r="AG79">
        <v>0.45599999999999996</v>
      </c>
      <c r="AH79">
        <v>2</v>
      </c>
      <c r="AI79">
        <v>45037620</v>
      </c>
      <c r="AJ79">
        <v>79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</row>
    <row r="80" spans="1:44" x14ac:dyDescent="0.2">
      <c r="A80">
        <f>ROW(Source!A100)</f>
        <v>100</v>
      </c>
      <c r="B80">
        <v>45038528</v>
      </c>
      <c r="C80">
        <v>45037617</v>
      </c>
      <c r="D80">
        <v>22653672</v>
      </c>
      <c r="E80">
        <v>22652947</v>
      </c>
      <c r="F80">
        <v>1</v>
      </c>
      <c r="G80">
        <v>22652947</v>
      </c>
      <c r="H80">
        <v>2</v>
      </c>
      <c r="I80" t="s">
        <v>630</v>
      </c>
      <c r="J80" t="s">
        <v>3</v>
      </c>
      <c r="K80" t="s">
        <v>631</v>
      </c>
      <c r="L80">
        <v>1344</v>
      </c>
      <c r="N80">
        <v>1008</v>
      </c>
      <c r="O80" t="s">
        <v>632</v>
      </c>
      <c r="P80" t="s">
        <v>632</v>
      </c>
      <c r="Q80">
        <v>1</v>
      </c>
      <c r="X80">
        <v>232.25</v>
      </c>
      <c r="Y80">
        <v>0</v>
      </c>
      <c r="Z80">
        <v>1</v>
      </c>
      <c r="AA80">
        <v>0</v>
      </c>
      <c r="AB80">
        <v>0</v>
      </c>
      <c r="AC80">
        <v>0</v>
      </c>
      <c r="AD80">
        <v>1</v>
      </c>
      <c r="AE80">
        <v>0</v>
      </c>
      <c r="AF80" t="s">
        <v>178</v>
      </c>
      <c r="AG80">
        <v>139.35</v>
      </c>
      <c r="AH80">
        <v>2</v>
      </c>
      <c r="AI80">
        <v>45037621</v>
      </c>
      <c r="AJ80">
        <v>80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</row>
    <row r="81" spans="1:44" x14ac:dyDescent="0.2">
      <c r="A81">
        <f>ROW(Source!A100)</f>
        <v>100</v>
      </c>
      <c r="B81">
        <v>45038529</v>
      </c>
      <c r="C81">
        <v>45037617</v>
      </c>
      <c r="D81">
        <v>22702279</v>
      </c>
      <c r="E81">
        <v>1</v>
      </c>
      <c r="F81">
        <v>1</v>
      </c>
      <c r="G81">
        <v>22652947</v>
      </c>
      <c r="H81">
        <v>3</v>
      </c>
      <c r="I81" t="s">
        <v>666</v>
      </c>
      <c r="J81" t="s">
        <v>667</v>
      </c>
      <c r="K81" t="s">
        <v>668</v>
      </c>
      <c r="L81">
        <v>1348</v>
      </c>
      <c r="N81">
        <v>1009</v>
      </c>
      <c r="O81" t="s">
        <v>29</v>
      </c>
      <c r="P81" t="s">
        <v>29</v>
      </c>
      <c r="Q81">
        <v>1000</v>
      </c>
      <c r="X81">
        <v>6.9999999999999999E-4</v>
      </c>
      <c r="Y81">
        <v>7191.81</v>
      </c>
      <c r="Z81">
        <v>0</v>
      </c>
      <c r="AA81">
        <v>0</v>
      </c>
      <c r="AB81">
        <v>0</v>
      </c>
      <c r="AC81">
        <v>0</v>
      </c>
      <c r="AD81">
        <v>1</v>
      </c>
      <c r="AE81">
        <v>0</v>
      </c>
      <c r="AF81" t="s">
        <v>178</v>
      </c>
      <c r="AG81">
        <v>4.1999999999999996E-4</v>
      </c>
      <c r="AH81">
        <v>2</v>
      </c>
      <c r="AI81">
        <v>45037622</v>
      </c>
      <c r="AJ81">
        <v>81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0</v>
      </c>
    </row>
    <row r="82" spans="1:44" x14ac:dyDescent="0.2">
      <c r="A82">
        <f>ROW(Source!A100)</f>
        <v>100</v>
      </c>
      <c r="B82">
        <v>45038530</v>
      </c>
      <c r="C82">
        <v>45037617</v>
      </c>
      <c r="D82">
        <v>22669278</v>
      </c>
      <c r="E82">
        <v>22652947</v>
      </c>
      <c r="F82">
        <v>1</v>
      </c>
      <c r="G82">
        <v>22652947</v>
      </c>
      <c r="H82">
        <v>3</v>
      </c>
      <c r="I82" t="s">
        <v>795</v>
      </c>
      <c r="J82" t="s">
        <v>3</v>
      </c>
      <c r="K82" t="s">
        <v>796</v>
      </c>
      <c r="L82">
        <v>1348</v>
      </c>
      <c r="N82">
        <v>1009</v>
      </c>
      <c r="O82" t="s">
        <v>29</v>
      </c>
      <c r="P82" t="s">
        <v>29</v>
      </c>
      <c r="Q82">
        <v>1000</v>
      </c>
      <c r="X82">
        <v>1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 t="s">
        <v>178</v>
      </c>
      <c r="AG82">
        <v>0.6</v>
      </c>
      <c r="AH82">
        <v>3</v>
      </c>
      <c r="AI82">
        <v>-1</v>
      </c>
      <c r="AJ82" t="s">
        <v>3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</row>
    <row r="83" spans="1:44" x14ac:dyDescent="0.2">
      <c r="A83">
        <f>ROW(Source!A100)</f>
        <v>100</v>
      </c>
      <c r="B83">
        <v>45038531</v>
      </c>
      <c r="C83">
        <v>45037617</v>
      </c>
      <c r="D83">
        <v>22674651</v>
      </c>
      <c r="E83">
        <v>22652947</v>
      </c>
      <c r="F83">
        <v>1</v>
      </c>
      <c r="G83">
        <v>22652947</v>
      </c>
      <c r="H83">
        <v>3</v>
      </c>
      <c r="I83" t="s">
        <v>675</v>
      </c>
      <c r="J83" t="s">
        <v>3</v>
      </c>
      <c r="K83" t="s">
        <v>676</v>
      </c>
      <c r="L83">
        <v>1344</v>
      </c>
      <c r="N83">
        <v>1008</v>
      </c>
      <c r="O83" t="s">
        <v>632</v>
      </c>
      <c r="P83" t="s">
        <v>632</v>
      </c>
      <c r="Q83">
        <v>1</v>
      </c>
      <c r="X83">
        <v>39.479999999999997</v>
      </c>
      <c r="Y83">
        <v>1</v>
      </c>
      <c r="Z83">
        <v>0</v>
      </c>
      <c r="AA83">
        <v>0</v>
      </c>
      <c r="AB83">
        <v>0</v>
      </c>
      <c r="AC83">
        <v>0</v>
      </c>
      <c r="AD83">
        <v>1</v>
      </c>
      <c r="AE83">
        <v>0</v>
      </c>
      <c r="AF83" t="s">
        <v>178</v>
      </c>
      <c r="AG83">
        <v>23.687999999999999</v>
      </c>
      <c r="AH83">
        <v>2</v>
      </c>
      <c r="AI83">
        <v>45037623</v>
      </c>
      <c r="AJ83">
        <v>83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</row>
    <row r="84" spans="1:44" x14ac:dyDescent="0.2">
      <c r="A84">
        <f>ROW(Source!A101)</f>
        <v>101</v>
      </c>
      <c r="B84">
        <v>45038525</v>
      </c>
      <c r="C84">
        <v>45037617</v>
      </c>
      <c r="D84">
        <v>22652952</v>
      </c>
      <c r="E84">
        <v>22652947</v>
      </c>
      <c r="F84">
        <v>1</v>
      </c>
      <c r="G84">
        <v>22652947</v>
      </c>
      <c r="H84">
        <v>1</v>
      </c>
      <c r="I84" t="s">
        <v>617</v>
      </c>
      <c r="J84" t="s">
        <v>3</v>
      </c>
      <c r="K84" t="s">
        <v>618</v>
      </c>
      <c r="L84">
        <v>1191</v>
      </c>
      <c r="N84">
        <v>1013</v>
      </c>
      <c r="O84" t="s">
        <v>619</v>
      </c>
      <c r="P84" t="s">
        <v>619</v>
      </c>
      <c r="Q84">
        <v>1</v>
      </c>
      <c r="X84">
        <v>82.1</v>
      </c>
      <c r="Y84">
        <v>0</v>
      </c>
      <c r="Z84">
        <v>0</v>
      </c>
      <c r="AA84">
        <v>0</v>
      </c>
      <c r="AB84">
        <v>0</v>
      </c>
      <c r="AC84">
        <v>0</v>
      </c>
      <c r="AD84">
        <v>1</v>
      </c>
      <c r="AE84">
        <v>1</v>
      </c>
      <c r="AF84" t="s">
        <v>178</v>
      </c>
      <c r="AG84">
        <v>49.26</v>
      </c>
      <c r="AH84">
        <v>2</v>
      </c>
      <c r="AI84">
        <v>45037618</v>
      </c>
      <c r="AJ84">
        <v>84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</row>
    <row r="85" spans="1:44" x14ac:dyDescent="0.2">
      <c r="A85">
        <f>ROW(Source!A101)</f>
        <v>101</v>
      </c>
      <c r="B85">
        <v>45038526</v>
      </c>
      <c r="C85">
        <v>45037617</v>
      </c>
      <c r="D85">
        <v>22725583</v>
      </c>
      <c r="E85">
        <v>1</v>
      </c>
      <c r="F85">
        <v>1</v>
      </c>
      <c r="G85">
        <v>22652947</v>
      </c>
      <c r="H85">
        <v>2</v>
      </c>
      <c r="I85" t="s">
        <v>669</v>
      </c>
      <c r="J85" t="s">
        <v>670</v>
      </c>
      <c r="K85" t="s">
        <v>671</v>
      </c>
      <c r="L85">
        <v>1367</v>
      </c>
      <c r="N85">
        <v>1011</v>
      </c>
      <c r="O85" t="s">
        <v>623</v>
      </c>
      <c r="P85" t="s">
        <v>623</v>
      </c>
      <c r="Q85">
        <v>1</v>
      </c>
      <c r="X85">
        <v>0.06</v>
      </c>
      <c r="Y85">
        <v>0</v>
      </c>
      <c r="Z85">
        <v>6.39</v>
      </c>
      <c r="AA85">
        <v>0.32</v>
      </c>
      <c r="AB85">
        <v>0</v>
      </c>
      <c r="AC85">
        <v>0</v>
      </c>
      <c r="AD85">
        <v>1</v>
      </c>
      <c r="AE85">
        <v>0</v>
      </c>
      <c r="AF85" t="s">
        <v>178</v>
      </c>
      <c r="AG85">
        <v>3.5999999999999997E-2</v>
      </c>
      <c r="AH85">
        <v>2</v>
      </c>
      <c r="AI85">
        <v>45037619</v>
      </c>
      <c r="AJ85">
        <v>85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</row>
    <row r="86" spans="1:44" x14ac:dyDescent="0.2">
      <c r="A86">
        <f>ROW(Source!A101)</f>
        <v>101</v>
      </c>
      <c r="B86">
        <v>45038527</v>
      </c>
      <c r="C86">
        <v>45037617</v>
      </c>
      <c r="D86">
        <v>22725932</v>
      </c>
      <c r="E86">
        <v>1</v>
      </c>
      <c r="F86">
        <v>1</v>
      </c>
      <c r="G86">
        <v>22652947</v>
      </c>
      <c r="H86">
        <v>2</v>
      </c>
      <c r="I86" t="s">
        <v>672</v>
      </c>
      <c r="J86" t="s">
        <v>673</v>
      </c>
      <c r="K86" t="s">
        <v>674</v>
      </c>
      <c r="L86">
        <v>1367</v>
      </c>
      <c r="N86">
        <v>1011</v>
      </c>
      <c r="O86" t="s">
        <v>623</v>
      </c>
      <c r="P86" t="s">
        <v>623</v>
      </c>
      <c r="Q86">
        <v>1</v>
      </c>
      <c r="X86">
        <v>0.76</v>
      </c>
      <c r="Y86">
        <v>0</v>
      </c>
      <c r="Z86">
        <v>2.58</v>
      </c>
      <c r="AA86">
        <v>0.04</v>
      </c>
      <c r="AB86">
        <v>0</v>
      </c>
      <c r="AC86">
        <v>0</v>
      </c>
      <c r="AD86">
        <v>1</v>
      </c>
      <c r="AE86">
        <v>0</v>
      </c>
      <c r="AF86" t="s">
        <v>178</v>
      </c>
      <c r="AG86">
        <v>0.45599999999999996</v>
      </c>
      <c r="AH86">
        <v>2</v>
      </c>
      <c r="AI86">
        <v>45037620</v>
      </c>
      <c r="AJ86">
        <v>86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</row>
    <row r="87" spans="1:44" x14ac:dyDescent="0.2">
      <c r="A87">
        <f>ROW(Source!A101)</f>
        <v>101</v>
      </c>
      <c r="B87">
        <v>45038528</v>
      </c>
      <c r="C87">
        <v>45037617</v>
      </c>
      <c r="D87">
        <v>22653672</v>
      </c>
      <c r="E87">
        <v>22652947</v>
      </c>
      <c r="F87">
        <v>1</v>
      </c>
      <c r="G87">
        <v>22652947</v>
      </c>
      <c r="H87">
        <v>2</v>
      </c>
      <c r="I87" t="s">
        <v>630</v>
      </c>
      <c r="J87" t="s">
        <v>3</v>
      </c>
      <c r="K87" t="s">
        <v>631</v>
      </c>
      <c r="L87">
        <v>1344</v>
      </c>
      <c r="N87">
        <v>1008</v>
      </c>
      <c r="O87" t="s">
        <v>632</v>
      </c>
      <c r="P87" t="s">
        <v>632</v>
      </c>
      <c r="Q87">
        <v>1</v>
      </c>
      <c r="X87">
        <v>232.25</v>
      </c>
      <c r="Y87">
        <v>0</v>
      </c>
      <c r="Z87">
        <v>1</v>
      </c>
      <c r="AA87">
        <v>0</v>
      </c>
      <c r="AB87">
        <v>0</v>
      </c>
      <c r="AC87">
        <v>0</v>
      </c>
      <c r="AD87">
        <v>1</v>
      </c>
      <c r="AE87">
        <v>0</v>
      </c>
      <c r="AF87" t="s">
        <v>178</v>
      </c>
      <c r="AG87">
        <v>139.35</v>
      </c>
      <c r="AH87">
        <v>2</v>
      </c>
      <c r="AI87">
        <v>45037621</v>
      </c>
      <c r="AJ87">
        <v>87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</row>
    <row r="88" spans="1:44" x14ac:dyDescent="0.2">
      <c r="A88">
        <f>ROW(Source!A101)</f>
        <v>101</v>
      </c>
      <c r="B88">
        <v>45038529</v>
      </c>
      <c r="C88">
        <v>45037617</v>
      </c>
      <c r="D88">
        <v>22702279</v>
      </c>
      <c r="E88">
        <v>1</v>
      </c>
      <c r="F88">
        <v>1</v>
      </c>
      <c r="G88">
        <v>22652947</v>
      </c>
      <c r="H88">
        <v>3</v>
      </c>
      <c r="I88" t="s">
        <v>666</v>
      </c>
      <c r="J88" t="s">
        <v>667</v>
      </c>
      <c r="K88" t="s">
        <v>668</v>
      </c>
      <c r="L88">
        <v>1348</v>
      </c>
      <c r="N88">
        <v>1009</v>
      </c>
      <c r="O88" t="s">
        <v>29</v>
      </c>
      <c r="P88" t="s">
        <v>29</v>
      </c>
      <c r="Q88">
        <v>1000</v>
      </c>
      <c r="X88">
        <v>6.9999999999999999E-4</v>
      </c>
      <c r="Y88">
        <v>7191.81</v>
      </c>
      <c r="Z88">
        <v>0</v>
      </c>
      <c r="AA88">
        <v>0</v>
      </c>
      <c r="AB88">
        <v>0</v>
      </c>
      <c r="AC88">
        <v>0</v>
      </c>
      <c r="AD88">
        <v>1</v>
      </c>
      <c r="AE88">
        <v>0</v>
      </c>
      <c r="AF88" t="s">
        <v>178</v>
      </c>
      <c r="AG88">
        <v>4.1999999999999996E-4</v>
      </c>
      <c r="AH88">
        <v>2</v>
      </c>
      <c r="AI88">
        <v>45037622</v>
      </c>
      <c r="AJ88">
        <v>88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</row>
    <row r="89" spans="1:44" x14ac:dyDescent="0.2">
      <c r="A89">
        <f>ROW(Source!A101)</f>
        <v>101</v>
      </c>
      <c r="B89">
        <v>45038530</v>
      </c>
      <c r="C89">
        <v>45037617</v>
      </c>
      <c r="D89">
        <v>22669278</v>
      </c>
      <c r="E89">
        <v>22652947</v>
      </c>
      <c r="F89">
        <v>1</v>
      </c>
      <c r="G89">
        <v>22652947</v>
      </c>
      <c r="H89">
        <v>3</v>
      </c>
      <c r="I89" t="s">
        <v>795</v>
      </c>
      <c r="J89" t="s">
        <v>3</v>
      </c>
      <c r="K89" t="s">
        <v>796</v>
      </c>
      <c r="L89">
        <v>1348</v>
      </c>
      <c r="N89">
        <v>1009</v>
      </c>
      <c r="O89" t="s">
        <v>29</v>
      </c>
      <c r="P89" t="s">
        <v>29</v>
      </c>
      <c r="Q89">
        <v>1000</v>
      </c>
      <c r="X89">
        <v>1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 t="s">
        <v>178</v>
      </c>
      <c r="AG89">
        <v>0.6</v>
      </c>
      <c r="AH89">
        <v>3</v>
      </c>
      <c r="AI89">
        <v>-1</v>
      </c>
      <c r="AJ89" t="s">
        <v>3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</row>
    <row r="90" spans="1:44" x14ac:dyDescent="0.2">
      <c r="A90">
        <f>ROW(Source!A101)</f>
        <v>101</v>
      </c>
      <c r="B90">
        <v>45038531</v>
      </c>
      <c r="C90">
        <v>45037617</v>
      </c>
      <c r="D90">
        <v>22674651</v>
      </c>
      <c r="E90">
        <v>22652947</v>
      </c>
      <c r="F90">
        <v>1</v>
      </c>
      <c r="G90">
        <v>22652947</v>
      </c>
      <c r="H90">
        <v>3</v>
      </c>
      <c r="I90" t="s">
        <v>675</v>
      </c>
      <c r="J90" t="s">
        <v>3</v>
      </c>
      <c r="K90" t="s">
        <v>676</v>
      </c>
      <c r="L90">
        <v>1344</v>
      </c>
      <c r="N90">
        <v>1008</v>
      </c>
      <c r="O90" t="s">
        <v>632</v>
      </c>
      <c r="P90" t="s">
        <v>632</v>
      </c>
      <c r="Q90">
        <v>1</v>
      </c>
      <c r="X90">
        <v>39.479999999999997</v>
      </c>
      <c r="Y90">
        <v>1</v>
      </c>
      <c r="Z90">
        <v>0</v>
      </c>
      <c r="AA90">
        <v>0</v>
      </c>
      <c r="AB90">
        <v>0</v>
      </c>
      <c r="AC90">
        <v>0</v>
      </c>
      <c r="AD90">
        <v>1</v>
      </c>
      <c r="AE90">
        <v>0</v>
      </c>
      <c r="AF90" t="s">
        <v>178</v>
      </c>
      <c r="AG90">
        <v>23.687999999999999</v>
      </c>
      <c r="AH90">
        <v>2</v>
      </c>
      <c r="AI90">
        <v>45037623</v>
      </c>
      <c r="AJ90">
        <v>90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</row>
    <row r="91" spans="1:44" x14ac:dyDescent="0.2">
      <c r="A91">
        <f>ROW(Source!A104)</f>
        <v>104</v>
      </c>
      <c r="B91">
        <v>45038532</v>
      </c>
      <c r="C91">
        <v>45037633</v>
      </c>
      <c r="D91">
        <v>22652952</v>
      </c>
      <c r="E91">
        <v>22652947</v>
      </c>
      <c r="F91">
        <v>1</v>
      </c>
      <c r="G91">
        <v>22652947</v>
      </c>
      <c r="H91">
        <v>1</v>
      </c>
      <c r="I91" t="s">
        <v>617</v>
      </c>
      <c r="J91" t="s">
        <v>3</v>
      </c>
      <c r="K91" t="s">
        <v>618</v>
      </c>
      <c r="L91">
        <v>1191</v>
      </c>
      <c r="N91">
        <v>1013</v>
      </c>
      <c r="O91" t="s">
        <v>619</v>
      </c>
      <c r="P91" t="s">
        <v>619</v>
      </c>
      <c r="Q91">
        <v>1</v>
      </c>
      <c r="X91">
        <v>91.15</v>
      </c>
      <c r="Y91">
        <v>0</v>
      </c>
      <c r="Z91">
        <v>0</v>
      </c>
      <c r="AA91">
        <v>0</v>
      </c>
      <c r="AB91">
        <v>0</v>
      </c>
      <c r="AC91">
        <v>0</v>
      </c>
      <c r="AD91">
        <v>1</v>
      </c>
      <c r="AE91">
        <v>1</v>
      </c>
      <c r="AF91" t="s">
        <v>3</v>
      </c>
      <c r="AG91">
        <v>91.15</v>
      </c>
      <c r="AH91">
        <v>2</v>
      </c>
      <c r="AI91">
        <v>45037634</v>
      </c>
      <c r="AJ91">
        <v>91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</row>
    <row r="92" spans="1:44" x14ac:dyDescent="0.2">
      <c r="A92">
        <f>ROW(Source!A105)</f>
        <v>105</v>
      </c>
      <c r="B92">
        <v>45038532</v>
      </c>
      <c r="C92">
        <v>45037633</v>
      </c>
      <c r="D92">
        <v>22652952</v>
      </c>
      <c r="E92">
        <v>22652947</v>
      </c>
      <c r="F92">
        <v>1</v>
      </c>
      <c r="G92">
        <v>22652947</v>
      </c>
      <c r="H92">
        <v>1</v>
      </c>
      <c r="I92" t="s">
        <v>617</v>
      </c>
      <c r="J92" t="s">
        <v>3</v>
      </c>
      <c r="K92" t="s">
        <v>618</v>
      </c>
      <c r="L92">
        <v>1191</v>
      </c>
      <c r="N92">
        <v>1013</v>
      </c>
      <c r="O92" t="s">
        <v>619</v>
      </c>
      <c r="P92" t="s">
        <v>619</v>
      </c>
      <c r="Q92">
        <v>1</v>
      </c>
      <c r="X92">
        <v>91.15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1</v>
      </c>
      <c r="AF92" t="s">
        <v>3</v>
      </c>
      <c r="AG92">
        <v>91.15</v>
      </c>
      <c r="AH92">
        <v>2</v>
      </c>
      <c r="AI92">
        <v>45037634</v>
      </c>
      <c r="AJ92">
        <v>93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</row>
    <row r="93" spans="1:44" x14ac:dyDescent="0.2">
      <c r="A93">
        <f>ROW(Source!A108)</f>
        <v>108</v>
      </c>
      <c r="B93">
        <v>45038533</v>
      </c>
      <c r="C93">
        <v>45037638</v>
      </c>
      <c r="D93">
        <v>22652952</v>
      </c>
      <c r="E93">
        <v>22652947</v>
      </c>
      <c r="F93">
        <v>1</v>
      </c>
      <c r="G93">
        <v>22652947</v>
      </c>
      <c r="H93">
        <v>1</v>
      </c>
      <c r="I93" t="s">
        <v>617</v>
      </c>
      <c r="J93" t="s">
        <v>3</v>
      </c>
      <c r="K93" t="s">
        <v>618</v>
      </c>
      <c r="L93">
        <v>1191</v>
      </c>
      <c r="N93">
        <v>1013</v>
      </c>
      <c r="O93" t="s">
        <v>619</v>
      </c>
      <c r="P93" t="s">
        <v>619</v>
      </c>
      <c r="Q93">
        <v>1</v>
      </c>
      <c r="X93">
        <v>13.32</v>
      </c>
      <c r="Y93">
        <v>0</v>
      </c>
      <c r="Z93">
        <v>0</v>
      </c>
      <c r="AA93">
        <v>0</v>
      </c>
      <c r="AB93">
        <v>0</v>
      </c>
      <c r="AC93">
        <v>0</v>
      </c>
      <c r="AD93">
        <v>1</v>
      </c>
      <c r="AE93">
        <v>1</v>
      </c>
      <c r="AF93" t="s">
        <v>3</v>
      </c>
      <c r="AG93">
        <v>13.32</v>
      </c>
      <c r="AH93">
        <v>2</v>
      </c>
      <c r="AI93">
        <v>45037639</v>
      </c>
      <c r="AJ93">
        <v>95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</row>
    <row r="94" spans="1:44" x14ac:dyDescent="0.2">
      <c r="A94">
        <f>ROW(Source!A108)</f>
        <v>108</v>
      </c>
      <c r="B94">
        <v>45038534</v>
      </c>
      <c r="C94">
        <v>45037638</v>
      </c>
      <c r="D94">
        <v>22653672</v>
      </c>
      <c r="E94">
        <v>22652947</v>
      </c>
      <c r="F94">
        <v>1</v>
      </c>
      <c r="G94">
        <v>22652947</v>
      </c>
      <c r="H94">
        <v>2</v>
      </c>
      <c r="I94" t="s">
        <v>630</v>
      </c>
      <c r="J94" t="s">
        <v>3</v>
      </c>
      <c r="K94" t="s">
        <v>631</v>
      </c>
      <c r="L94">
        <v>1344</v>
      </c>
      <c r="N94">
        <v>1008</v>
      </c>
      <c r="O94" t="s">
        <v>632</v>
      </c>
      <c r="P94" t="s">
        <v>632</v>
      </c>
      <c r="Q94">
        <v>1</v>
      </c>
      <c r="X94">
        <v>323.45</v>
      </c>
      <c r="Y94">
        <v>0</v>
      </c>
      <c r="Z94">
        <v>1</v>
      </c>
      <c r="AA94">
        <v>0</v>
      </c>
      <c r="AB94">
        <v>0</v>
      </c>
      <c r="AC94">
        <v>0</v>
      </c>
      <c r="AD94">
        <v>1</v>
      </c>
      <c r="AE94">
        <v>0</v>
      </c>
      <c r="AF94" t="s">
        <v>3</v>
      </c>
      <c r="AG94">
        <v>323.45</v>
      </c>
      <c r="AH94">
        <v>2</v>
      </c>
      <c r="AI94">
        <v>45037640</v>
      </c>
      <c r="AJ94">
        <v>96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</row>
    <row r="95" spans="1:44" x14ac:dyDescent="0.2">
      <c r="A95">
        <f>ROW(Source!A108)</f>
        <v>108</v>
      </c>
      <c r="B95">
        <v>45038535</v>
      </c>
      <c r="C95">
        <v>45037638</v>
      </c>
      <c r="D95">
        <v>22674637</v>
      </c>
      <c r="E95">
        <v>22652947</v>
      </c>
      <c r="F95">
        <v>1</v>
      </c>
      <c r="G95">
        <v>22652947</v>
      </c>
      <c r="H95">
        <v>3</v>
      </c>
      <c r="I95" t="s">
        <v>27</v>
      </c>
      <c r="J95" t="s">
        <v>3</v>
      </c>
      <c r="K95" t="s">
        <v>50</v>
      </c>
      <c r="L95">
        <v>1348</v>
      </c>
      <c r="N95">
        <v>1009</v>
      </c>
      <c r="O95" t="s">
        <v>29</v>
      </c>
      <c r="P95" t="s">
        <v>29</v>
      </c>
      <c r="Q95">
        <v>1000</v>
      </c>
      <c r="X95">
        <v>2.5</v>
      </c>
      <c r="Y95">
        <v>0</v>
      </c>
      <c r="Z95">
        <v>0</v>
      </c>
      <c r="AA95">
        <v>0</v>
      </c>
      <c r="AB95">
        <v>0</v>
      </c>
      <c r="AC95">
        <v>0</v>
      </c>
      <c r="AD95">
        <v>1</v>
      </c>
      <c r="AE95">
        <v>0</v>
      </c>
      <c r="AF95" t="s">
        <v>3</v>
      </c>
      <c r="AG95">
        <v>2.5</v>
      </c>
      <c r="AH95">
        <v>2</v>
      </c>
      <c r="AI95">
        <v>45037645</v>
      </c>
      <c r="AJ95">
        <v>97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</row>
    <row r="96" spans="1:44" x14ac:dyDescent="0.2">
      <c r="A96">
        <f>ROW(Source!A109)</f>
        <v>109</v>
      </c>
      <c r="B96">
        <v>45038533</v>
      </c>
      <c r="C96">
        <v>45037638</v>
      </c>
      <c r="D96">
        <v>22652952</v>
      </c>
      <c r="E96">
        <v>22652947</v>
      </c>
      <c r="F96">
        <v>1</v>
      </c>
      <c r="G96">
        <v>22652947</v>
      </c>
      <c r="H96">
        <v>1</v>
      </c>
      <c r="I96" t="s">
        <v>617</v>
      </c>
      <c r="J96" t="s">
        <v>3</v>
      </c>
      <c r="K96" t="s">
        <v>618</v>
      </c>
      <c r="L96">
        <v>1191</v>
      </c>
      <c r="N96">
        <v>1013</v>
      </c>
      <c r="O96" t="s">
        <v>619</v>
      </c>
      <c r="P96" t="s">
        <v>619</v>
      </c>
      <c r="Q96">
        <v>1</v>
      </c>
      <c r="X96">
        <v>13.32</v>
      </c>
      <c r="Y96">
        <v>0</v>
      </c>
      <c r="Z96">
        <v>0</v>
      </c>
      <c r="AA96">
        <v>0</v>
      </c>
      <c r="AB96">
        <v>0</v>
      </c>
      <c r="AC96">
        <v>0</v>
      </c>
      <c r="AD96">
        <v>1</v>
      </c>
      <c r="AE96">
        <v>1</v>
      </c>
      <c r="AF96" t="s">
        <v>3</v>
      </c>
      <c r="AG96">
        <v>13.32</v>
      </c>
      <c r="AH96">
        <v>2</v>
      </c>
      <c r="AI96">
        <v>45037639</v>
      </c>
      <c r="AJ96">
        <v>98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</row>
    <row r="97" spans="1:44" x14ac:dyDescent="0.2">
      <c r="A97">
        <f>ROW(Source!A109)</f>
        <v>109</v>
      </c>
      <c r="B97">
        <v>45038534</v>
      </c>
      <c r="C97">
        <v>45037638</v>
      </c>
      <c r="D97">
        <v>22653672</v>
      </c>
      <c r="E97">
        <v>22652947</v>
      </c>
      <c r="F97">
        <v>1</v>
      </c>
      <c r="G97">
        <v>22652947</v>
      </c>
      <c r="H97">
        <v>2</v>
      </c>
      <c r="I97" t="s">
        <v>630</v>
      </c>
      <c r="J97" t="s">
        <v>3</v>
      </c>
      <c r="K97" t="s">
        <v>631</v>
      </c>
      <c r="L97">
        <v>1344</v>
      </c>
      <c r="N97">
        <v>1008</v>
      </c>
      <c r="O97" t="s">
        <v>632</v>
      </c>
      <c r="P97" t="s">
        <v>632</v>
      </c>
      <c r="Q97">
        <v>1</v>
      </c>
      <c r="X97">
        <v>323.45</v>
      </c>
      <c r="Y97">
        <v>0</v>
      </c>
      <c r="Z97">
        <v>1</v>
      </c>
      <c r="AA97">
        <v>0</v>
      </c>
      <c r="AB97">
        <v>0</v>
      </c>
      <c r="AC97">
        <v>0</v>
      </c>
      <c r="AD97">
        <v>1</v>
      </c>
      <c r="AE97">
        <v>0</v>
      </c>
      <c r="AF97" t="s">
        <v>3</v>
      </c>
      <c r="AG97">
        <v>323.45</v>
      </c>
      <c r="AH97">
        <v>2</v>
      </c>
      <c r="AI97">
        <v>45037640</v>
      </c>
      <c r="AJ97">
        <v>99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</row>
    <row r="98" spans="1:44" x14ac:dyDescent="0.2">
      <c r="A98">
        <f>ROW(Source!A109)</f>
        <v>109</v>
      </c>
      <c r="B98">
        <v>45038535</v>
      </c>
      <c r="C98">
        <v>45037638</v>
      </c>
      <c r="D98">
        <v>22674637</v>
      </c>
      <c r="E98">
        <v>22652947</v>
      </c>
      <c r="F98">
        <v>1</v>
      </c>
      <c r="G98">
        <v>22652947</v>
      </c>
      <c r="H98">
        <v>3</v>
      </c>
      <c r="I98" t="s">
        <v>27</v>
      </c>
      <c r="J98" t="s">
        <v>3</v>
      </c>
      <c r="K98" t="s">
        <v>50</v>
      </c>
      <c r="L98">
        <v>1348</v>
      </c>
      <c r="N98">
        <v>1009</v>
      </c>
      <c r="O98" t="s">
        <v>29</v>
      </c>
      <c r="P98" t="s">
        <v>29</v>
      </c>
      <c r="Q98">
        <v>1000</v>
      </c>
      <c r="X98">
        <v>2.5</v>
      </c>
      <c r="Y98">
        <v>0</v>
      </c>
      <c r="Z98">
        <v>0</v>
      </c>
      <c r="AA98">
        <v>0</v>
      </c>
      <c r="AB98">
        <v>0</v>
      </c>
      <c r="AC98">
        <v>0</v>
      </c>
      <c r="AD98">
        <v>1</v>
      </c>
      <c r="AE98">
        <v>0</v>
      </c>
      <c r="AF98" t="s">
        <v>3</v>
      </c>
      <c r="AG98">
        <v>2.5</v>
      </c>
      <c r="AH98">
        <v>2</v>
      </c>
      <c r="AI98">
        <v>45037645</v>
      </c>
      <c r="AJ98">
        <v>100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</row>
    <row r="99" spans="1:44" x14ac:dyDescent="0.2">
      <c r="A99">
        <f>ROW(Source!A112)</f>
        <v>112</v>
      </c>
      <c r="B99">
        <v>45038536</v>
      </c>
      <c r="C99">
        <v>45037646</v>
      </c>
      <c r="D99">
        <v>22652952</v>
      </c>
      <c r="E99">
        <v>22652947</v>
      </c>
      <c r="F99">
        <v>1</v>
      </c>
      <c r="G99">
        <v>22652947</v>
      </c>
      <c r="H99">
        <v>1</v>
      </c>
      <c r="I99" t="s">
        <v>617</v>
      </c>
      <c r="J99" t="s">
        <v>3</v>
      </c>
      <c r="K99" t="s">
        <v>618</v>
      </c>
      <c r="L99">
        <v>1191</v>
      </c>
      <c r="N99">
        <v>1013</v>
      </c>
      <c r="O99" t="s">
        <v>619</v>
      </c>
      <c r="P99" t="s">
        <v>619</v>
      </c>
      <c r="Q99">
        <v>1</v>
      </c>
      <c r="X99">
        <v>42.3</v>
      </c>
      <c r="Y99">
        <v>0</v>
      </c>
      <c r="Z99">
        <v>0</v>
      </c>
      <c r="AA99">
        <v>0</v>
      </c>
      <c r="AB99">
        <v>0</v>
      </c>
      <c r="AC99">
        <v>0</v>
      </c>
      <c r="AD99">
        <v>1</v>
      </c>
      <c r="AE99">
        <v>1</v>
      </c>
      <c r="AF99" t="s">
        <v>178</v>
      </c>
      <c r="AG99">
        <v>25.38</v>
      </c>
      <c r="AH99">
        <v>2</v>
      </c>
      <c r="AI99">
        <v>45037647</v>
      </c>
      <c r="AJ99">
        <v>101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</row>
    <row r="100" spans="1:44" x14ac:dyDescent="0.2">
      <c r="A100">
        <f>ROW(Source!A112)</f>
        <v>112</v>
      </c>
      <c r="B100">
        <v>45038537</v>
      </c>
      <c r="C100">
        <v>45037646</v>
      </c>
      <c r="D100">
        <v>22725860</v>
      </c>
      <c r="E100">
        <v>1</v>
      </c>
      <c r="F100">
        <v>1</v>
      </c>
      <c r="G100">
        <v>22652947</v>
      </c>
      <c r="H100">
        <v>2</v>
      </c>
      <c r="I100" t="s">
        <v>660</v>
      </c>
      <c r="J100" t="s">
        <v>661</v>
      </c>
      <c r="K100" t="s">
        <v>662</v>
      </c>
      <c r="L100">
        <v>1367</v>
      </c>
      <c r="N100">
        <v>1011</v>
      </c>
      <c r="O100" t="s">
        <v>623</v>
      </c>
      <c r="P100" t="s">
        <v>623</v>
      </c>
      <c r="Q100">
        <v>1</v>
      </c>
      <c r="X100">
        <v>1.65</v>
      </c>
      <c r="Y100">
        <v>0</v>
      </c>
      <c r="Z100">
        <v>76.81</v>
      </c>
      <c r="AA100">
        <v>14.36</v>
      </c>
      <c r="AB100">
        <v>0</v>
      </c>
      <c r="AC100">
        <v>0</v>
      </c>
      <c r="AD100">
        <v>1</v>
      </c>
      <c r="AE100">
        <v>0</v>
      </c>
      <c r="AF100" t="s">
        <v>178</v>
      </c>
      <c r="AG100">
        <v>0.98999999999999988</v>
      </c>
      <c r="AH100">
        <v>2</v>
      </c>
      <c r="AI100">
        <v>45037648</v>
      </c>
      <c r="AJ100">
        <v>102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</row>
    <row r="101" spans="1:44" x14ac:dyDescent="0.2">
      <c r="A101">
        <f>ROW(Source!A112)</f>
        <v>112</v>
      </c>
      <c r="B101">
        <v>45038538</v>
      </c>
      <c r="C101">
        <v>45037646</v>
      </c>
      <c r="D101">
        <v>22701311</v>
      </c>
      <c r="E101">
        <v>1</v>
      </c>
      <c r="F101">
        <v>1</v>
      </c>
      <c r="G101">
        <v>22652947</v>
      </c>
      <c r="H101">
        <v>3</v>
      </c>
      <c r="I101" t="s">
        <v>677</v>
      </c>
      <c r="J101" t="s">
        <v>678</v>
      </c>
      <c r="K101" t="s">
        <v>679</v>
      </c>
      <c r="L101">
        <v>1348</v>
      </c>
      <c r="N101">
        <v>1009</v>
      </c>
      <c r="O101" t="s">
        <v>29</v>
      </c>
      <c r="P101" t="s">
        <v>29</v>
      </c>
      <c r="Q101">
        <v>1000</v>
      </c>
      <c r="X101">
        <v>5.0000000000000001E-3</v>
      </c>
      <c r="Y101">
        <v>11242.42</v>
      </c>
      <c r="Z101">
        <v>0</v>
      </c>
      <c r="AA101">
        <v>0</v>
      </c>
      <c r="AB101">
        <v>0</v>
      </c>
      <c r="AC101">
        <v>0</v>
      </c>
      <c r="AD101">
        <v>1</v>
      </c>
      <c r="AE101">
        <v>0</v>
      </c>
      <c r="AF101" t="s">
        <v>178</v>
      </c>
      <c r="AG101">
        <v>3.0000000000000001E-3</v>
      </c>
      <c r="AH101">
        <v>2</v>
      </c>
      <c r="AI101">
        <v>45037649</v>
      </c>
      <c r="AJ101">
        <v>103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</row>
    <row r="102" spans="1:44" x14ac:dyDescent="0.2">
      <c r="A102">
        <f>ROW(Source!A112)</f>
        <v>112</v>
      </c>
      <c r="B102">
        <v>45038539</v>
      </c>
      <c r="C102">
        <v>45037646</v>
      </c>
      <c r="D102">
        <v>22701667</v>
      </c>
      <c r="E102">
        <v>1</v>
      </c>
      <c r="F102">
        <v>1</v>
      </c>
      <c r="G102">
        <v>22652947</v>
      </c>
      <c r="H102">
        <v>3</v>
      </c>
      <c r="I102" t="s">
        <v>680</v>
      </c>
      <c r="J102" t="s">
        <v>681</v>
      </c>
      <c r="K102" t="s">
        <v>682</v>
      </c>
      <c r="L102">
        <v>1348</v>
      </c>
      <c r="N102">
        <v>1009</v>
      </c>
      <c r="O102" t="s">
        <v>29</v>
      </c>
      <c r="P102" t="s">
        <v>29</v>
      </c>
      <c r="Q102">
        <v>1000</v>
      </c>
      <c r="X102">
        <v>0.06</v>
      </c>
      <c r="Y102">
        <v>6870.66</v>
      </c>
      <c r="Z102">
        <v>0</v>
      </c>
      <c r="AA102">
        <v>0</v>
      </c>
      <c r="AB102">
        <v>0</v>
      </c>
      <c r="AC102">
        <v>0</v>
      </c>
      <c r="AD102">
        <v>1</v>
      </c>
      <c r="AE102">
        <v>0</v>
      </c>
      <c r="AF102" t="s">
        <v>178</v>
      </c>
      <c r="AG102">
        <v>3.5999999999999997E-2</v>
      </c>
      <c r="AH102">
        <v>2</v>
      </c>
      <c r="AI102">
        <v>45037650</v>
      </c>
      <c r="AJ102">
        <v>104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</row>
    <row r="103" spans="1:44" x14ac:dyDescent="0.2">
      <c r="A103">
        <f>ROW(Source!A112)</f>
        <v>112</v>
      </c>
      <c r="B103">
        <v>45038540</v>
      </c>
      <c r="C103">
        <v>45037646</v>
      </c>
      <c r="D103">
        <v>22675554</v>
      </c>
      <c r="E103">
        <v>22652947</v>
      </c>
      <c r="F103">
        <v>1</v>
      </c>
      <c r="G103">
        <v>22652947</v>
      </c>
      <c r="H103">
        <v>3</v>
      </c>
      <c r="I103" t="s">
        <v>797</v>
      </c>
      <c r="J103" t="s">
        <v>3</v>
      </c>
      <c r="K103" t="s">
        <v>798</v>
      </c>
      <c r="L103">
        <v>1348</v>
      </c>
      <c r="N103">
        <v>1009</v>
      </c>
      <c r="O103" t="s">
        <v>29</v>
      </c>
      <c r="P103" t="s">
        <v>29</v>
      </c>
      <c r="Q103">
        <v>1000</v>
      </c>
      <c r="X103">
        <v>1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 t="s">
        <v>178</v>
      </c>
      <c r="AG103">
        <v>0.6</v>
      </c>
      <c r="AH103">
        <v>3</v>
      </c>
      <c r="AI103">
        <v>-1</v>
      </c>
      <c r="AJ103" t="s">
        <v>3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</row>
    <row r="104" spans="1:44" x14ac:dyDescent="0.2">
      <c r="A104">
        <f>ROW(Source!A112)</f>
        <v>112</v>
      </c>
      <c r="B104">
        <v>45038541</v>
      </c>
      <c r="C104">
        <v>45037646</v>
      </c>
      <c r="D104">
        <v>22668419</v>
      </c>
      <c r="E104">
        <v>22652947</v>
      </c>
      <c r="F104">
        <v>1</v>
      </c>
      <c r="G104">
        <v>22652947</v>
      </c>
      <c r="H104">
        <v>3</v>
      </c>
      <c r="I104" t="s">
        <v>799</v>
      </c>
      <c r="J104" t="s">
        <v>3</v>
      </c>
      <c r="K104" t="s">
        <v>800</v>
      </c>
      <c r="L104">
        <v>1339</v>
      </c>
      <c r="N104">
        <v>1007</v>
      </c>
      <c r="O104" t="s">
        <v>80</v>
      </c>
      <c r="P104" t="s">
        <v>80</v>
      </c>
      <c r="Q104">
        <v>1</v>
      </c>
      <c r="X104">
        <v>0.75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 t="s">
        <v>178</v>
      </c>
      <c r="AG104">
        <v>0.44999999999999996</v>
      </c>
      <c r="AH104">
        <v>3</v>
      </c>
      <c r="AI104">
        <v>-1</v>
      </c>
      <c r="AJ104" t="s">
        <v>3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</row>
    <row r="105" spans="1:44" x14ac:dyDescent="0.2">
      <c r="A105">
        <f>ROW(Source!A113)</f>
        <v>113</v>
      </c>
      <c r="B105">
        <v>45038536</v>
      </c>
      <c r="C105">
        <v>45037646</v>
      </c>
      <c r="D105">
        <v>22652952</v>
      </c>
      <c r="E105">
        <v>22652947</v>
      </c>
      <c r="F105">
        <v>1</v>
      </c>
      <c r="G105">
        <v>22652947</v>
      </c>
      <c r="H105">
        <v>1</v>
      </c>
      <c r="I105" t="s">
        <v>617</v>
      </c>
      <c r="J105" t="s">
        <v>3</v>
      </c>
      <c r="K105" t="s">
        <v>618</v>
      </c>
      <c r="L105">
        <v>1191</v>
      </c>
      <c r="N105">
        <v>1013</v>
      </c>
      <c r="O105" t="s">
        <v>619</v>
      </c>
      <c r="P105" t="s">
        <v>619</v>
      </c>
      <c r="Q105">
        <v>1</v>
      </c>
      <c r="X105">
        <v>42.3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1</v>
      </c>
      <c r="AE105">
        <v>1</v>
      </c>
      <c r="AF105" t="s">
        <v>178</v>
      </c>
      <c r="AG105">
        <v>25.38</v>
      </c>
      <c r="AH105">
        <v>2</v>
      </c>
      <c r="AI105">
        <v>45037647</v>
      </c>
      <c r="AJ105">
        <v>106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</row>
    <row r="106" spans="1:44" x14ac:dyDescent="0.2">
      <c r="A106">
        <f>ROW(Source!A113)</f>
        <v>113</v>
      </c>
      <c r="B106">
        <v>45038537</v>
      </c>
      <c r="C106">
        <v>45037646</v>
      </c>
      <c r="D106">
        <v>22725860</v>
      </c>
      <c r="E106">
        <v>1</v>
      </c>
      <c r="F106">
        <v>1</v>
      </c>
      <c r="G106">
        <v>22652947</v>
      </c>
      <c r="H106">
        <v>2</v>
      </c>
      <c r="I106" t="s">
        <v>660</v>
      </c>
      <c r="J106" t="s">
        <v>661</v>
      </c>
      <c r="K106" t="s">
        <v>662</v>
      </c>
      <c r="L106">
        <v>1367</v>
      </c>
      <c r="N106">
        <v>1011</v>
      </c>
      <c r="O106" t="s">
        <v>623</v>
      </c>
      <c r="P106" t="s">
        <v>623</v>
      </c>
      <c r="Q106">
        <v>1</v>
      </c>
      <c r="X106">
        <v>1.65</v>
      </c>
      <c r="Y106">
        <v>0</v>
      </c>
      <c r="Z106">
        <v>76.81</v>
      </c>
      <c r="AA106">
        <v>14.36</v>
      </c>
      <c r="AB106">
        <v>0</v>
      </c>
      <c r="AC106">
        <v>0</v>
      </c>
      <c r="AD106">
        <v>1</v>
      </c>
      <c r="AE106">
        <v>0</v>
      </c>
      <c r="AF106" t="s">
        <v>178</v>
      </c>
      <c r="AG106">
        <v>0.98999999999999988</v>
      </c>
      <c r="AH106">
        <v>2</v>
      </c>
      <c r="AI106">
        <v>45037648</v>
      </c>
      <c r="AJ106">
        <v>107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</row>
    <row r="107" spans="1:44" x14ac:dyDescent="0.2">
      <c r="A107">
        <f>ROW(Source!A113)</f>
        <v>113</v>
      </c>
      <c r="B107">
        <v>45038538</v>
      </c>
      <c r="C107">
        <v>45037646</v>
      </c>
      <c r="D107">
        <v>22701311</v>
      </c>
      <c r="E107">
        <v>1</v>
      </c>
      <c r="F107">
        <v>1</v>
      </c>
      <c r="G107">
        <v>22652947</v>
      </c>
      <c r="H107">
        <v>3</v>
      </c>
      <c r="I107" t="s">
        <v>677</v>
      </c>
      <c r="J107" t="s">
        <v>678</v>
      </c>
      <c r="K107" t="s">
        <v>679</v>
      </c>
      <c r="L107">
        <v>1348</v>
      </c>
      <c r="N107">
        <v>1009</v>
      </c>
      <c r="O107" t="s">
        <v>29</v>
      </c>
      <c r="P107" t="s">
        <v>29</v>
      </c>
      <c r="Q107">
        <v>1000</v>
      </c>
      <c r="X107">
        <v>5.0000000000000001E-3</v>
      </c>
      <c r="Y107">
        <v>11242.42</v>
      </c>
      <c r="Z107">
        <v>0</v>
      </c>
      <c r="AA107">
        <v>0</v>
      </c>
      <c r="AB107">
        <v>0</v>
      </c>
      <c r="AC107">
        <v>0</v>
      </c>
      <c r="AD107">
        <v>1</v>
      </c>
      <c r="AE107">
        <v>0</v>
      </c>
      <c r="AF107" t="s">
        <v>178</v>
      </c>
      <c r="AG107">
        <v>3.0000000000000001E-3</v>
      </c>
      <c r="AH107">
        <v>2</v>
      </c>
      <c r="AI107">
        <v>45037649</v>
      </c>
      <c r="AJ107">
        <v>108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</row>
    <row r="108" spans="1:44" x14ac:dyDescent="0.2">
      <c r="A108">
        <f>ROW(Source!A113)</f>
        <v>113</v>
      </c>
      <c r="B108">
        <v>45038539</v>
      </c>
      <c r="C108">
        <v>45037646</v>
      </c>
      <c r="D108">
        <v>22701667</v>
      </c>
      <c r="E108">
        <v>1</v>
      </c>
      <c r="F108">
        <v>1</v>
      </c>
      <c r="G108">
        <v>22652947</v>
      </c>
      <c r="H108">
        <v>3</v>
      </c>
      <c r="I108" t="s">
        <v>680</v>
      </c>
      <c r="J108" t="s">
        <v>681</v>
      </c>
      <c r="K108" t="s">
        <v>682</v>
      </c>
      <c r="L108">
        <v>1348</v>
      </c>
      <c r="N108">
        <v>1009</v>
      </c>
      <c r="O108" t="s">
        <v>29</v>
      </c>
      <c r="P108" t="s">
        <v>29</v>
      </c>
      <c r="Q108">
        <v>1000</v>
      </c>
      <c r="X108">
        <v>0.06</v>
      </c>
      <c r="Y108">
        <v>6870.66</v>
      </c>
      <c r="Z108">
        <v>0</v>
      </c>
      <c r="AA108">
        <v>0</v>
      </c>
      <c r="AB108">
        <v>0</v>
      </c>
      <c r="AC108">
        <v>0</v>
      </c>
      <c r="AD108">
        <v>1</v>
      </c>
      <c r="AE108">
        <v>0</v>
      </c>
      <c r="AF108" t="s">
        <v>178</v>
      </c>
      <c r="AG108">
        <v>3.5999999999999997E-2</v>
      </c>
      <c r="AH108">
        <v>2</v>
      </c>
      <c r="AI108">
        <v>45037650</v>
      </c>
      <c r="AJ108">
        <v>109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</row>
    <row r="109" spans="1:44" x14ac:dyDescent="0.2">
      <c r="A109">
        <f>ROW(Source!A113)</f>
        <v>113</v>
      </c>
      <c r="B109">
        <v>45038540</v>
      </c>
      <c r="C109">
        <v>45037646</v>
      </c>
      <c r="D109">
        <v>22675554</v>
      </c>
      <c r="E109">
        <v>22652947</v>
      </c>
      <c r="F109">
        <v>1</v>
      </c>
      <c r="G109">
        <v>22652947</v>
      </c>
      <c r="H109">
        <v>3</v>
      </c>
      <c r="I109" t="s">
        <v>797</v>
      </c>
      <c r="J109" t="s">
        <v>3</v>
      </c>
      <c r="K109" t="s">
        <v>798</v>
      </c>
      <c r="L109">
        <v>1348</v>
      </c>
      <c r="N109">
        <v>1009</v>
      </c>
      <c r="O109" t="s">
        <v>29</v>
      </c>
      <c r="P109" t="s">
        <v>29</v>
      </c>
      <c r="Q109">
        <v>1000</v>
      </c>
      <c r="X109">
        <v>1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 t="s">
        <v>178</v>
      </c>
      <c r="AG109">
        <v>0.6</v>
      </c>
      <c r="AH109">
        <v>3</v>
      </c>
      <c r="AI109">
        <v>-1</v>
      </c>
      <c r="AJ109" t="s">
        <v>3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</row>
    <row r="110" spans="1:44" x14ac:dyDescent="0.2">
      <c r="A110">
        <f>ROW(Source!A113)</f>
        <v>113</v>
      </c>
      <c r="B110">
        <v>45038541</v>
      </c>
      <c r="C110">
        <v>45037646</v>
      </c>
      <c r="D110">
        <v>22668419</v>
      </c>
      <c r="E110">
        <v>22652947</v>
      </c>
      <c r="F110">
        <v>1</v>
      </c>
      <c r="G110">
        <v>22652947</v>
      </c>
      <c r="H110">
        <v>3</v>
      </c>
      <c r="I110" t="s">
        <v>799</v>
      </c>
      <c r="J110" t="s">
        <v>3</v>
      </c>
      <c r="K110" t="s">
        <v>800</v>
      </c>
      <c r="L110">
        <v>1339</v>
      </c>
      <c r="N110">
        <v>1007</v>
      </c>
      <c r="O110" t="s">
        <v>80</v>
      </c>
      <c r="P110" t="s">
        <v>80</v>
      </c>
      <c r="Q110">
        <v>1</v>
      </c>
      <c r="X110">
        <v>0.75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 t="s">
        <v>178</v>
      </c>
      <c r="AG110">
        <v>0.44999999999999996</v>
      </c>
      <c r="AH110">
        <v>3</v>
      </c>
      <c r="AI110">
        <v>-1</v>
      </c>
      <c r="AJ110" t="s">
        <v>3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</row>
    <row r="111" spans="1:44" x14ac:dyDescent="0.2">
      <c r="A111">
        <f>ROW(Source!A183)</f>
        <v>183</v>
      </c>
      <c r="B111">
        <v>45038542</v>
      </c>
      <c r="C111">
        <v>45037767</v>
      </c>
      <c r="D111">
        <v>22652952</v>
      </c>
      <c r="E111">
        <v>22652947</v>
      </c>
      <c r="F111">
        <v>1</v>
      </c>
      <c r="G111">
        <v>22652947</v>
      </c>
      <c r="H111">
        <v>1</v>
      </c>
      <c r="I111" t="s">
        <v>617</v>
      </c>
      <c r="J111" t="s">
        <v>3</v>
      </c>
      <c r="K111" t="s">
        <v>618</v>
      </c>
      <c r="L111">
        <v>1191</v>
      </c>
      <c r="N111">
        <v>1013</v>
      </c>
      <c r="O111" t="s">
        <v>619</v>
      </c>
      <c r="P111" t="s">
        <v>619</v>
      </c>
      <c r="Q111">
        <v>1</v>
      </c>
      <c r="X111">
        <v>23.33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1</v>
      </c>
      <c r="AE111">
        <v>1</v>
      </c>
      <c r="AF111" t="s">
        <v>37</v>
      </c>
      <c r="AG111">
        <v>26.829499999999996</v>
      </c>
      <c r="AH111">
        <v>2</v>
      </c>
      <c r="AI111">
        <v>45037768</v>
      </c>
      <c r="AJ111">
        <v>111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0</v>
      </c>
      <c r="AQ111">
        <v>0</v>
      </c>
      <c r="AR111">
        <v>0</v>
      </c>
    </row>
    <row r="112" spans="1:44" x14ac:dyDescent="0.2">
      <c r="A112">
        <f>ROW(Source!A183)</f>
        <v>183</v>
      </c>
      <c r="B112">
        <v>45038543</v>
      </c>
      <c r="C112">
        <v>45037767</v>
      </c>
      <c r="D112">
        <v>22725390</v>
      </c>
      <c r="E112">
        <v>1</v>
      </c>
      <c r="F112">
        <v>1</v>
      </c>
      <c r="G112">
        <v>22652947</v>
      </c>
      <c r="H112">
        <v>2</v>
      </c>
      <c r="I112" t="s">
        <v>683</v>
      </c>
      <c r="J112" t="s">
        <v>684</v>
      </c>
      <c r="K112" t="s">
        <v>685</v>
      </c>
      <c r="L112">
        <v>1367</v>
      </c>
      <c r="N112">
        <v>1011</v>
      </c>
      <c r="O112" t="s">
        <v>623</v>
      </c>
      <c r="P112" t="s">
        <v>623</v>
      </c>
      <c r="Q112">
        <v>1</v>
      </c>
      <c r="X112">
        <v>7.82</v>
      </c>
      <c r="Y112">
        <v>0</v>
      </c>
      <c r="Z112">
        <v>1.61</v>
      </c>
      <c r="AA112">
        <v>0.04</v>
      </c>
      <c r="AB112">
        <v>0</v>
      </c>
      <c r="AC112">
        <v>0</v>
      </c>
      <c r="AD112">
        <v>1</v>
      </c>
      <c r="AE112">
        <v>0</v>
      </c>
      <c r="AF112" t="s">
        <v>36</v>
      </c>
      <c r="AG112">
        <v>9.7750000000000004</v>
      </c>
      <c r="AH112">
        <v>2</v>
      </c>
      <c r="AI112">
        <v>45037769</v>
      </c>
      <c r="AJ112">
        <v>112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</row>
    <row r="113" spans="1:44" x14ac:dyDescent="0.2">
      <c r="A113">
        <f>ROW(Source!A183)</f>
        <v>183</v>
      </c>
      <c r="B113">
        <v>45038544</v>
      </c>
      <c r="C113">
        <v>45037767</v>
      </c>
      <c r="D113">
        <v>22700967</v>
      </c>
      <c r="E113">
        <v>1</v>
      </c>
      <c r="F113">
        <v>1</v>
      </c>
      <c r="G113">
        <v>22652947</v>
      </c>
      <c r="H113">
        <v>3</v>
      </c>
      <c r="I113" t="s">
        <v>273</v>
      </c>
      <c r="J113" t="s">
        <v>275</v>
      </c>
      <c r="K113" t="s">
        <v>274</v>
      </c>
      <c r="L113">
        <v>1339</v>
      </c>
      <c r="N113">
        <v>1007</v>
      </c>
      <c r="O113" t="s">
        <v>80</v>
      </c>
      <c r="P113" t="s">
        <v>80</v>
      </c>
      <c r="Q113">
        <v>1</v>
      </c>
      <c r="X113">
        <v>3.5</v>
      </c>
      <c r="Y113">
        <v>7.07</v>
      </c>
      <c r="Z113">
        <v>0</v>
      </c>
      <c r="AA113">
        <v>0</v>
      </c>
      <c r="AB113">
        <v>0</v>
      </c>
      <c r="AC113">
        <v>0</v>
      </c>
      <c r="AD113">
        <v>1</v>
      </c>
      <c r="AE113">
        <v>0</v>
      </c>
      <c r="AF113" t="s">
        <v>3</v>
      </c>
      <c r="AG113">
        <v>3.5</v>
      </c>
      <c r="AH113">
        <v>2</v>
      </c>
      <c r="AI113">
        <v>45037770</v>
      </c>
      <c r="AJ113">
        <v>113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</row>
    <row r="114" spans="1:44" x14ac:dyDescent="0.2">
      <c r="A114">
        <f>ROW(Source!A183)</f>
        <v>183</v>
      </c>
      <c r="B114">
        <v>45038545</v>
      </c>
      <c r="C114">
        <v>45037767</v>
      </c>
      <c r="D114">
        <v>22669053</v>
      </c>
      <c r="E114">
        <v>22652947</v>
      </c>
      <c r="F114">
        <v>1</v>
      </c>
      <c r="G114">
        <v>22652947</v>
      </c>
      <c r="H114">
        <v>3</v>
      </c>
      <c r="I114" t="s">
        <v>799</v>
      </c>
      <c r="J114" t="s">
        <v>3</v>
      </c>
      <c r="K114" t="s">
        <v>801</v>
      </c>
      <c r="L114">
        <v>1339</v>
      </c>
      <c r="N114">
        <v>1007</v>
      </c>
      <c r="O114" t="s">
        <v>80</v>
      </c>
      <c r="P114" t="s">
        <v>80</v>
      </c>
      <c r="Q114">
        <v>1</v>
      </c>
      <c r="X114">
        <v>2.04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 t="s">
        <v>3</v>
      </c>
      <c r="AG114">
        <v>2.04</v>
      </c>
      <c r="AH114">
        <v>3</v>
      </c>
      <c r="AI114">
        <v>-1</v>
      </c>
      <c r="AJ114" t="s">
        <v>3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</row>
    <row r="115" spans="1:44" x14ac:dyDescent="0.2">
      <c r="A115">
        <f>ROW(Source!A184)</f>
        <v>184</v>
      </c>
      <c r="B115">
        <v>45038542</v>
      </c>
      <c r="C115">
        <v>45037767</v>
      </c>
      <c r="D115">
        <v>22652952</v>
      </c>
      <c r="E115">
        <v>22652947</v>
      </c>
      <c r="F115">
        <v>1</v>
      </c>
      <c r="G115">
        <v>22652947</v>
      </c>
      <c r="H115">
        <v>1</v>
      </c>
      <c r="I115" t="s">
        <v>617</v>
      </c>
      <c r="J115" t="s">
        <v>3</v>
      </c>
      <c r="K115" t="s">
        <v>618</v>
      </c>
      <c r="L115">
        <v>1191</v>
      </c>
      <c r="N115">
        <v>1013</v>
      </c>
      <c r="O115" t="s">
        <v>619</v>
      </c>
      <c r="P115" t="s">
        <v>619</v>
      </c>
      <c r="Q115">
        <v>1</v>
      </c>
      <c r="X115">
        <v>23.33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1</v>
      </c>
      <c r="AE115">
        <v>1</v>
      </c>
      <c r="AF115" t="s">
        <v>37</v>
      </c>
      <c r="AG115">
        <v>26.829499999999996</v>
      </c>
      <c r="AH115">
        <v>2</v>
      </c>
      <c r="AI115">
        <v>45037768</v>
      </c>
      <c r="AJ115">
        <v>115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</row>
    <row r="116" spans="1:44" x14ac:dyDescent="0.2">
      <c r="A116">
        <f>ROW(Source!A184)</f>
        <v>184</v>
      </c>
      <c r="B116">
        <v>45038543</v>
      </c>
      <c r="C116">
        <v>45037767</v>
      </c>
      <c r="D116">
        <v>22725390</v>
      </c>
      <c r="E116">
        <v>1</v>
      </c>
      <c r="F116">
        <v>1</v>
      </c>
      <c r="G116">
        <v>22652947</v>
      </c>
      <c r="H116">
        <v>2</v>
      </c>
      <c r="I116" t="s">
        <v>683</v>
      </c>
      <c r="J116" t="s">
        <v>684</v>
      </c>
      <c r="K116" t="s">
        <v>685</v>
      </c>
      <c r="L116">
        <v>1367</v>
      </c>
      <c r="N116">
        <v>1011</v>
      </c>
      <c r="O116" t="s">
        <v>623</v>
      </c>
      <c r="P116" t="s">
        <v>623</v>
      </c>
      <c r="Q116">
        <v>1</v>
      </c>
      <c r="X116">
        <v>7.82</v>
      </c>
      <c r="Y116">
        <v>0</v>
      </c>
      <c r="Z116">
        <v>1.61</v>
      </c>
      <c r="AA116">
        <v>0.04</v>
      </c>
      <c r="AB116">
        <v>0</v>
      </c>
      <c r="AC116">
        <v>0</v>
      </c>
      <c r="AD116">
        <v>1</v>
      </c>
      <c r="AE116">
        <v>0</v>
      </c>
      <c r="AF116" t="s">
        <v>36</v>
      </c>
      <c r="AG116">
        <v>9.7750000000000004</v>
      </c>
      <c r="AH116">
        <v>2</v>
      </c>
      <c r="AI116">
        <v>45037769</v>
      </c>
      <c r="AJ116">
        <v>116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</row>
    <row r="117" spans="1:44" x14ac:dyDescent="0.2">
      <c r="A117">
        <f>ROW(Source!A184)</f>
        <v>184</v>
      </c>
      <c r="B117">
        <v>45038544</v>
      </c>
      <c r="C117">
        <v>45037767</v>
      </c>
      <c r="D117">
        <v>22700967</v>
      </c>
      <c r="E117">
        <v>1</v>
      </c>
      <c r="F117">
        <v>1</v>
      </c>
      <c r="G117">
        <v>22652947</v>
      </c>
      <c r="H117">
        <v>3</v>
      </c>
      <c r="I117" t="s">
        <v>273</v>
      </c>
      <c r="J117" t="s">
        <v>275</v>
      </c>
      <c r="K117" t="s">
        <v>274</v>
      </c>
      <c r="L117">
        <v>1339</v>
      </c>
      <c r="N117">
        <v>1007</v>
      </c>
      <c r="O117" t="s">
        <v>80</v>
      </c>
      <c r="P117" t="s">
        <v>80</v>
      </c>
      <c r="Q117">
        <v>1</v>
      </c>
      <c r="X117">
        <v>3.5</v>
      </c>
      <c r="Y117">
        <v>7.07</v>
      </c>
      <c r="Z117">
        <v>0</v>
      </c>
      <c r="AA117">
        <v>0</v>
      </c>
      <c r="AB117">
        <v>0</v>
      </c>
      <c r="AC117">
        <v>0</v>
      </c>
      <c r="AD117">
        <v>1</v>
      </c>
      <c r="AE117">
        <v>0</v>
      </c>
      <c r="AF117" t="s">
        <v>3</v>
      </c>
      <c r="AG117">
        <v>3.5</v>
      </c>
      <c r="AH117">
        <v>2</v>
      </c>
      <c r="AI117">
        <v>45037770</v>
      </c>
      <c r="AJ117">
        <v>117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</row>
    <row r="118" spans="1:44" x14ac:dyDescent="0.2">
      <c r="A118">
        <f>ROW(Source!A184)</f>
        <v>184</v>
      </c>
      <c r="B118">
        <v>45038545</v>
      </c>
      <c r="C118">
        <v>45037767</v>
      </c>
      <c r="D118">
        <v>22669053</v>
      </c>
      <c r="E118">
        <v>22652947</v>
      </c>
      <c r="F118">
        <v>1</v>
      </c>
      <c r="G118">
        <v>22652947</v>
      </c>
      <c r="H118">
        <v>3</v>
      </c>
      <c r="I118" t="s">
        <v>799</v>
      </c>
      <c r="J118" t="s">
        <v>3</v>
      </c>
      <c r="K118" t="s">
        <v>801</v>
      </c>
      <c r="L118">
        <v>1339</v>
      </c>
      <c r="N118">
        <v>1007</v>
      </c>
      <c r="O118" t="s">
        <v>80</v>
      </c>
      <c r="P118" t="s">
        <v>80</v>
      </c>
      <c r="Q118">
        <v>1</v>
      </c>
      <c r="X118">
        <v>2.04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 t="s">
        <v>3</v>
      </c>
      <c r="AG118">
        <v>2.04</v>
      </c>
      <c r="AH118">
        <v>3</v>
      </c>
      <c r="AI118">
        <v>-1</v>
      </c>
      <c r="AJ118" t="s">
        <v>3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</row>
    <row r="119" spans="1:44" x14ac:dyDescent="0.2">
      <c r="A119">
        <f>ROW(Source!A187)</f>
        <v>187</v>
      </c>
      <c r="B119">
        <v>45038546</v>
      </c>
      <c r="C119">
        <v>45037777</v>
      </c>
      <c r="D119">
        <v>22652952</v>
      </c>
      <c r="E119">
        <v>22652947</v>
      </c>
      <c r="F119">
        <v>1</v>
      </c>
      <c r="G119">
        <v>22652947</v>
      </c>
      <c r="H119">
        <v>1</v>
      </c>
      <c r="I119" t="s">
        <v>617</v>
      </c>
      <c r="J119" t="s">
        <v>3</v>
      </c>
      <c r="K119" t="s">
        <v>618</v>
      </c>
      <c r="L119">
        <v>1191</v>
      </c>
      <c r="N119">
        <v>1013</v>
      </c>
      <c r="O119" t="s">
        <v>619</v>
      </c>
      <c r="P119" t="s">
        <v>619</v>
      </c>
      <c r="Q119">
        <v>1</v>
      </c>
      <c r="X119">
        <v>72.599999999999994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1</v>
      </c>
      <c r="AE119">
        <v>1</v>
      </c>
      <c r="AF119" t="s">
        <v>37</v>
      </c>
      <c r="AG119">
        <v>83.489999999999981</v>
      </c>
      <c r="AH119">
        <v>2</v>
      </c>
      <c r="AI119">
        <v>45037778</v>
      </c>
      <c r="AJ119">
        <v>119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</row>
    <row r="120" spans="1:44" x14ac:dyDescent="0.2">
      <c r="A120">
        <f>ROW(Source!A187)</f>
        <v>187</v>
      </c>
      <c r="B120">
        <v>45038547</v>
      </c>
      <c r="C120">
        <v>45037777</v>
      </c>
      <c r="D120">
        <v>22653672</v>
      </c>
      <c r="E120">
        <v>22652947</v>
      </c>
      <c r="F120">
        <v>1</v>
      </c>
      <c r="G120">
        <v>22652947</v>
      </c>
      <c r="H120">
        <v>2</v>
      </c>
      <c r="I120" t="s">
        <v>630</v>
      </c>
      <c r="J120" t="s">
        <v>3</v>
      </c>
      <c r="K120" t="s">
        <v>631</v>
      </c>
      <c r="L120">
        <v>1344</v>
      </c>
      <c r="N120">
        <v>1008</v>
      </c>
      <c r="O120" t="s">
        <v>632</v>
      </c>
      <c r="P120" t="s">
        <v>632</v>
      </c>
      <c r="Q120">
        <v>1</v>
      </c>
      <c r="X120">
        <v>228.62</v>
      </c>
      <c r="Y120">
        <v>0</v>
      </c>
      <c r="Z120">
        <v>1</v>
      </c>
      <c r="AA120">
        <v>0</v>
      </c>
      <c r="AB120">
        <v>0</v>
      </c>
      <c r="AC120">
        <v>0</v>
      </c>
      <c r="AD120">
        <v>1</v>
      </c>
      <c r="AE120">
        <v>0</v>
      </c>
      <c r="AF120" t="s">
        <v>36</v>
      </c>
      <c r="AG120">
        <v>285.77499999999998</v>
      </c>
      <c r="AH120">
        <v>2</v>
      </c>
      <c r="AI120">
        <v>45037779</v>
      </c>
      <c r="AJ120">
        <v>120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</row>
    <row r="121" spans="1:44" x14ac:dyDescent="0.2">
      <c r="A121">
        <f>ROW(Source!A187)</f>
        <v>187</v>
      </c>
      <c r="B121">
        <v>45038548</v>
      </c>
      <c r="C121">
        <v>45037777</v>
      </c>
      <c r="D121">
        <v>22719478</v>
      </c>
      <c r="E121">
        <v>1</v>
      </c>
      <c r="F121">
        <v>1</v>
      </c>
      <c r="G121">
        <v>22652947</v>
      </c>
      <c r="H121">
        <v>3</v>
      </c>
      <c r="I121" t="s">
        <v>214</v>
      </c>
      <c r="J121" t="s">
        <v>216</v>
      </c>
      <c r="K121" t="s">
        <v>215</v>
      </c>
      <c r="L121">
        <v>1339</v>
      </c>
      <c r="N121">
        <v>1007</v>
      </c>
      <c r="O121" t="s">
        <v>80</v>
      </c>
      <c r="P121" t="s">
        <v>80</v>
      </c>
      <c r="Q121">
        <v>1</v>
      </c>
      <c r="X121">
        <v>2.11</v>
      </c>
      <c r="Y121">
        <v>478.96</v>
      </c>
      <c r="Z121">
        <v>0</v>
      </c>
      <c r="AA121">
        <v>0</v>
      </c>
      <c r="AB121">
        <v>0</v>
      </c>
      <c r="AC121">
        <v>0</v>
      </c>
      <c r="AD121">
        <v>1</v>
      </c>
      <c r="AE121">
        <v>0</v>
      </c>
      <c r="AF121" t="s">
        <v>3</v>
      </c>
      <c r="AG121">
        <v>2.11</v>
      </c>
      <c r="AH121">
        <v>2</v>
      </c>
      <c r="AI121">
        <v>45037780</v>
      </c>
      <c r="AJ121">
        <v>121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</row>
    <row r="122" spans="1:44" x14ac:dyDescent="0.2">
      <c r="A122">
        <f>ROW(Source!A187)</f>
        <v>187</v>
      </c>
      <c r="B122">
        <v>45038549</v>
      </c>
      <c r="C122">
        <v>45037777</v>
      </c>
      <c r="D122">
        <v>22668797</v>
      </c>
      <c r="E122">
        <v>22652947</v>
      </c>
      <c r="F122">
        <v>1</v>
      </c>
      <c r="G122">
        <v>22652947</v>
      </c>
      <c r="H122">
        <v>3</v>
      </c>
      <c r="I122" t="s">
        <v>802</v>
      </c>
      <c r="J122" t="s">
        <v>3</v>
      </c>
      <c r="K122" t="s">
        <v>803</v>
      </c>
      <c r="L122">
        <v>1327</v>
      </c>
      <c r="N122">
        <v>1005</v>
      </c>
      <c r="O122" t="s">
        <v>101</v>
      </c>
      <c r="P122" t="s">
        <v>101</v>
      </c>
      <c r="Q122">
        <v>1</v>
      </c>
      <c r="X122">
        <v>102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 t="s">
        <v>3</v>
      </c>
      <c r="AG122">
        <v>102</v>
      </c>
      <c r="AH122">
        <v>3</v>
      </c>
      <c r="AI122">
        <v>-1</v>
      </c>
      <c r="AJ122" t="s">
        <v>3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</row>
    <row r="123" spans="1:44" x14ac:dyDescent="0.2">
      <c r="A123">
        <f>ROW(Source!A187)</f>
        <v>187</v>
      </c>
      <c r="B123">
        <v>45038550</v>
      </c>
      <c r="C123">
        <v>45037777</v>
      </c>
      <c r="D123">
        <v>22674651</v>
      </c>
      <c r="E123">
        <v>22652947</v>
      </c>
      <c r="F123">
        <v>1</v>
      </c>
      <c r="G123">
        <v>22652947</v>
      </c>
      <c r="H123">
        <v>3</v>
      </c>
      <c r="I123" t="s">
        <v>675</v>
      </c>
      <c r="J123" t="s">
        <v>3</v>
      </c>
      <c r="K123" t="s">
        <v>676</v>
      </c>
      <c r="L123">
        <v>1344</v>
      </c>
      <c r="N123">
        <v>1008</v>
      </c>
      <c r="O123" t="s">
        <v>632</v>
      </c>
      <c r="P123" t="s">
        <v>632</v>
      </c>
      <c r="Q123">
        <v>1</v>
      </c>
      <c r="X123">
        <v>5.67</v>
      </c>
      <c r="Y123">
        <v>1</v>
      </c>
      <c r="Z123">
        <v>0</v>
      </c>
      <c r="AA123">
        <v>0</v>
      </c>
      <c r="AB123">
        <v>0</v>
      </c>
      <c r="AC123">
        <v>0</v>
      </c>
      <c r="AD123">
        <v>1</v>
      </c>
      <c r="AE123">
        <v>0</v>
      </c>
      <c r="AF123" t="s">
        <v>3</v>
      </c>
      <c r="AG123">
        <v>5.67</v>
      </c>
      <c r="AH123">
        <v>2</v>
      </c>
      <c r="AI123">
        <v>45037781</v>
      </c>
      <c r="AJ123">
        <v>123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</row>
    <row r="124" spans="1:44" x14ac:dyDescent="0.2">
      <c r="A124">
        <f>ROW(Source!A188)</f>
        <v>188</v>
      </c>
      <c r="B124">
        <v>45038546</v>
      </c>
      <c r="C124">
        <v>45037777</v>
      </c>
      <c r="D124">
        <v>22652952</v>
      </c>
      <c r="E124">
        <v>22652947</v>
      </c>
      <c r="F124">
        <v>1</v>
      </c>
      <c r="G124">
        <v>22652947</v>
      </c>
      <c r="H124">
        <v>1</v>
      </c>
      <c r="I124" t="s">
        <v>617</v>
      </c>
      <c r="J124" t="s">
        <v>3</v>
      </c>
      <c r="K124" t="s">
        <v>618</v>
      </c>
      <c r="L124">
        <v>1191</v>
      </c>
      <c r="N124">
        <v>1013</v>
      </c>
      <c r="O124" t="s">
        <v>619</v>
      </c>
      <c r="P124" t="s">
        <v>619</v>
      </c>
      <c r="Q124">
        <v>1</v>
      </c>
      <c r="X124">
        <v>72.599999999999994</v>
      </c>
      <c r="Y124">
        <v>0</v>
      </c>
      <c r="Z124">
        <v>0</v>
      </c>
      <c r="AA124">
        <v>0</v>
      </c>
      <c r="AB124">
        <v>0</v>
      </c>
      <c r="AC124">
        <v>0</v>
      </c>
      <c r="AD124">
        <v>1</v>
      </c>
      <c r="AE124">
        <v>1</v>
      </c>
      <c r="AF124" t="s">
        <v>37</v>
      </c>
      <c r="AG124">
        <v>83.489999999999981</v>
      </c>
      <c r="AH124">
        <v>2</v>
      </c>
      <c r="AI124">
        <v>45037778</v>
      </c>
      <c r="AJ124">
        <v>124</v>
      </c>
      <c r="AK124">
        <v>0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0</v>
      </c>
    </row>
    <row r="125" spans="1:44" x14ac:dyDescent="0.2">
      <c r="A125">
        <f>ROW(Source!A188)</f>
        <v>188</v>
      </c>
      <c r="B125">
        <v>45038547</v>
      </c>
      <c r="C125">
        <v>45037777</v>
      </c>
      <c r="D125">
        <v>22653672</v>
      </c>
      <c r="E125">
        <v>22652947</v>
      </c>
      <c r="F125">
        <v>1</v>
      </c>
      <c r="G125">
        <v>22652947</v>
      </c>
      <c r="H125">
        <v>2</v>
      </c>
      <c r="I125" t="s">
        <v>630</v>
      </c>
      <c r="J125" t="s">
        <v>3</v>
      </c>
      <c r="K125" t="s">
        <v>631</v>
      </c>
      <c r="L125">
        <v>1344</v>
      </c>
      <c r="N125">
        <v>1008</v>
      </c>
      <c r="O125" t="s">
        <v>632</v>
      </c>
      <c r="P125" t="s">
        <v>632</v>
      </c>
      <c r="Q125">
        <v>1</v>
      </c>
      <c r="X125">
        <v>228.62</v>
      </c>
      <c r="Y125">
        <v>0</v>
      </c>
      <c r="Z125">
        <v>1</v>
      </c>
      <c r="AA125">
        <v>0</v>
      </c>
      <c r="AB125">
        <v>0</v>
      </c>
      <c r="AC125">
        <v>0</v>
      </c>
      <c r="AD125">
        <v>1</v>
      </c>
      <c r="AE125">
        <v>0</v>
      </c>
      <c r="AF125" t="s">
        <v>36</v>
      </c>
      <c r="AG125">
        <v>285.77499999999998</v>
      </c>
      <c r="AH125">
        <v>2</v>
      </c>
      <c r="AI125">
        <v>45037779</v>
      </c>
      <c r="AJ125">
        <v>125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</row>
    <row r="126" spans="1:44" x14ac:dyDescent="0.2">
      <c r="A126">
        <f>ROW(Source!A188)</f>
        <v>188</v>
      </c>
      <c r="B126">
        <v>45038548</v>
      </c>
      <c r="C126">
        <v>45037777</v>
      </c>
      <c r="D126">
        <v>22719478</v>
      </c>
      <c r="E126">
        <v>1</v>
      </c>
      <c r="F126">
        <v>1</v>
      </c>
      <c r="G126">
        <v>22652947</v>
      </c>
      <c r="H126">
        <v>3</v>
      </c>
      <c r="I126" t="s">
        <v>214</v>
      </c>
      <c r="J126" t="s">
        <v>216</v>
      </c>
      <c r="K126" t="s">
        <v>215</v>
      </c>
      <c r="L126">
        <v>1339</v>
      </c>
      <c r="N126">
        <v>1007</v>
      </c>
      <c r="O126" t="s">
        <v>80</v>
      </c>
      <c r="P126" t="s">
        <v>80</v>
      </c>
      <c r="Q126">
        <v>1</v>
      </c>
      <c r="X126">
        <v>2.11</v>
      </c>
      <c r="Y126">
        <v>478.96</v>
      </c>
      <c r="Z126">
        <v>0</v>
      </c>
      <c r="AA126">
        <v>0</v>
      </c>
      <c r="AB126">
        <v>0</v>
      </c>
      <c r="AC126">
        <v>0</v>
      </c>
      <c r="AD126">
        <v>1</v>
      </c>
      <c r="AE126">
        <v>0</v>
      </c>
      <c r="AF126" t="s">
        <v>3</v>
      </c>
      <c r="AG126">
        <v>2.11</v>
      </c>
      <c r="AH126">
        <v>2</v>
      </c>
      <c r="AI126">
        <v>45037780</v>
      </c>
      <c r="AJ126">
        <v>126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</row>
    <row r="127" spans="1:44" x14ac:dyDescent="0.2">
      <c r="A127">
        <f>ROW(Source!A188)</f>
        <v>188</v>
      </c>
      <c r="B127">
        <v>45038549</v>
      </c>
      <c r="C127">
        <v>45037777</v>
      </c>
      <c r="D127">
        <v>22668797</v>
      </c>
      <c r="E127">
        <v>22652947</v>
      </c>
      <c r="F127">
        <v>1</v>
      </c>
      <c r="G127">
        <v>22652947</v>
      </c>
      <c r="H127">
        <v>3</v>
      </c>
      <c r="I127" t="s">
        <v>802</v>
      </c>
      <c r="J127" t="s">
        <v>3</v>
      </c>
      <c r="K127" t="s">
        <v>803</v>
      </c>
      <c r="L127">
        <v>1327</v>
      </c>
      <c r="N127">
        <v>1005</v>
      </c>
      <c r="O127" t="s">
        <v>101</v>
      </c>
      <c r="P127" t="s">
        <v>101</v>
      </c>
      <c r="Q127">
        <v>1</v>
      </c>
      <c r="X127">
        <v>102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 t="s">
        <v>3</v>
      </c>
      <c r="AG127">
        <v>102</v>
      </c>
      <c r="AH127">
        <v>3</v>
      </c>
      <c r="AI127">
        <v>-1</v>
      </c>
      <c r="AJ127" t="s">
        <v>3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</row>
    <row r="128" spans="1:44" x14ac:dyDescent="0.2">
      <c r="A128">
        <f>ROW(Source!A188)</f>
        <v>188</v>
      </c>
      <c r="B128">
        <v>45038550</v>
      </c>
      <c r="C128">
        <v>45037777</v>
      </c>
      <c r="D128">
        <v>22674651</v>
      </c>
      <c r="E128">
        <v>22652947</v>
      </c>
      <c r="F128">
        <v>1</v>
      </c>
      <c r="G128">
        <v>22652947</v>
      </c>
      <c r="H128">
        <v>3</v>
      </c>
      <c r="I128" t="s">
        <v>675</v>
      </c>
      <c r="J128" t="s">
        <v>3</v>
      </c>
      <c r="K128" t="s">
        <v>676</v>
      </c>
      <c r="L128">
        <v>1344</v>
      </c>
      <c r="N128">
        <v>1008</v>
      </c>
      <c r="O128" t="s">
        <v>632</v>
      </c>
      <c r="P128" t="s">
        <v>632</v>
      </c>
      <c r="Q128">
        <v>1</v>
      </c>
      <c r="X128">
        <v>5.67</v>
      </c>
      <c r="Y128">
        <v>1</v>
      </c>
      <c r="Z128">
        <v>0</v>
      </c>
      <c r="AA128">
        <v>0</v>
      </c>
      <c r="AB128">
        <v>0</v>
      </c>
      <c r="AC128">
        <v>0</v>
      </c>
      <c r="AD128">
        <v>1</v>
      </c>
      <c r="AE128">
        <v>0</v>
      </c>
      <c r="AF128" t="s">
        <v>3</v>
      </c>
      <c r="AG128">
        <v>5.67</v>
      </c>
      <c r="AH128">
        <v>2</v>
      </c>
      <c r="AI128">
        <v>45037781</v>
      </c>
      <c r="AJ128">
        <v>128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</row>
    <row r="129" spans="1:44" x14ac:dyDescent="0.2">
      <c r="A129">
        <f>ROW(Source!A191)</f>
        <v>191</v>
      </c>
      <c r="B129">
        <v>45038551</v>
      </c>
      <c r="C129">
        <v>45037789</v>
      </c>
      <c r="D129">
        <v>22652952</v>
      </c>
      <c r="E129">
        <v>22652947</v>
      </c>
      <c r="F129">
        <v>1</v>
      </c>
      <c r="G129">
        <v>22652947</v>
      </c>
      <c r="H129">
        <v>1</v>
      </c>
      <c r="I129" t="s">
        <v>617</v>
      </c>
      <c r="J129" t="s">
        <v>3</v>
      </c>
      <c r="K129" t="s">
        <v>618</v>
      </c>
      <c r="L129">
        <v>1191</v>
      </c>
      <c r="N129">
        <v>1013</v>
      </c>
      <c r="O129" t="s">
        <v>619</v>
      </c>
      <c r="P129" t="s">
        <v>619</v>
      </c>
      <c r="Q129">
        <v>1</v>
      </c>
      <c r="X129">
        <v>84.08</v>
      </c>
      <c r="Y129">
        <v>0</v>
      </c>
      <c r="Z129">
        <v>0</v>
      </c>
      <c r="AA129">
        <v>0</v>
      </c>
      <c r="AB129">
        <v>0</v>
      </c>
      <c r="AC129">
        <v>0</v>
      </c>
      <c r="AD129">
        <v>1</v>
      </c>
      <c r="AE129">
        <v>1</v>
      </c>
      <c r="AF129" t="s">
        <v>37</v>
      </c>
      <c r="AG129">
        <v>96.691999999999993</v>
      </c>
      <c r="AH129">
        <v>2</v>
      </c>
      <c r="AI129">
        <v>45037790</v>
      </c>
      <c r="AJ129">
        <v>129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0</v>
      </c>
    </row>
    <row r="130" spans="1:44" x14ac:dyDescent="0.2">
      <c r="A130">
        <f>ROW(Source!A191)</f>
        <v>191</v>
      </c>
      <c r="B130">
        <v>45038552</v>
      </c>
      <c r="C130">
        <v>45037789</v>
      </c>
      <c r="D130">
        <v>22725894</v>
      </c>
      <c r="E130">
        <v>1</v>
      </c>
      <c r="F130">
        <v>1</v>
      </c>
      <c r="G130">
        <v>22652947</v>
      </c>
      <c r="H130">
        <v>2</v>
      </c>
      <c r="I130" t="s">
        <v>686</v>
      </c>
      <c r="J130" t="s">
        <v>687</v>
      </c>
      <c r="K130" t="s">
        <v>688</v>
      </c>
      <c r="L130">
        <v>1367</v>
      </c>
      <c r="N130">
        <v>1011</v>
      </c>
      <c r="O130" t="s">
        <v>623</v>
      </c>
      <c r="P130" t="s">
        <v>623</v>
      </c>
      <c r="Q130">
        <v>1</v>
      </c>
      <c r="X130">
        <v>27.09</v>
      </c>
      <c r="Y130">
        <v>0</v>
      </c>
      <c r="Z130">
        <v>2.36</v>
      </c>
      <c r="AA130">
        <v>0.1</v>
      </c>
      <c r="AB130">
        <v>0</v>
      </c>
      <c r="AC130">
        <v>0</v>
      </c>
      <c r="AD130">
        <v>1</v>
      </c>
      <c r="AE130">
        <v>0</v>
      </c>
      <c r="AF130" t="s">
        <v>36</v>
      </c>
      <c r="AG130">
        <v>33.862499999999997</v>
      </c>
      <c r="AH130">
        <v>2</v>
      </c>
      <c r="AI130">
        <v>45037791</v>
      </c>
      <c r="AJ130">
        <v>130</v>
      </c>
      <c r="AK130">
        <v>0</v>
      </c>
      <c r="AL130">
        <v>0</v>
      </c>
      <c r="AM130">
        <v>0</v>
      </c>
      <c r="AN130">
        <v>0</v>
      </c>
      <c r="AO130">
        <v>0</v>
      </c>
      <c r="AP130">
        <v>0</v>
      </c>
      <c r="AQ130">
        <v>0</v>
      </c>
      <c r="AR130">
        <v>0</v>
      </c>
    </row>
    <row r="131" spans="1:44" x14ac:dyDescent="0.2">
      <c r="A131">
        <f>ROW(Source!A191)</f>
        <v>191</v>
      </c>
      <c r="B131">
        <v>45038553</v>
      </c>
      <c r="C131">
        <v>45037789</v>
      </c>
      <c r="D131">
        <v>22725956</v>
      </c>
      <c r="E131">
        <v>1</v>
      </c>
      <c r="F131">
        <v>1</v>
      </c>
      <c r="G131">
        <v>22652947</v>
      </c>
      <c r="H131">
        <v>2</v>
      </c>
      <c r="I131" t="s">
        <v>689</v>
      </c>
      <c r="J131" t="s">
        <v>690</v>
      </c>
      <c r="K131" t="s">
        <v>691</v>
      </c>
      <c r="L131">
        <v>1367</v>
      </c>
      <c r="N131">
        <v>1011</v>
      </c>
      <c r="O131" t="s">
        <v>623</v>
      </c>
      <c r="P131" t="s">
        <v>623</v>
      </c>
      <c r="Q131">
        <v>1</v>
      </c>
      <c r="X131">
        <v>0.31</v>
      </c>
      <c r="Y131">
        <v>0</v>
      </c>
      <c r="Z131">
        <v>31.85</v>
      </c>
      <c r="AA131">
        <v>14.89</v>
      </c>
      <c r="AB131">
        <v>0</v>
      </c>
      <c r="AC131">
        <v>0</v>
      </c>
      <c r="AD131">
        <v>1</v>
      </c>
      <c r="AE131">
        <v>0</v>
      </c>
      <c r="AF131" t="s">
        <v>36</v>
      </c>
      <c r="AG131">
        <v>0.38750000000000001</v>
      </c>
      <c r="AH131">
        <v>2</v>
      </c>
      <c r="AI131">
        <v>45037792</v>
      </c>
      <c r="AJ131">
        <v>131</v>
      </c>
      <c r="AK131">
        <v>0</v>
      </c>
      <c r="AL131">
        <v>0</v>
      </c>
      <c r="AM131">
        <v>0</v>
      </c>
      <c r="AN131">
        <v>0</v>
      </c>
      <c r="AO131">
        <v>0</v>
      </c>
      <c r="AP131">
        <v>0</v>
      </c>
      <c r="AQ131">
        <v>0</v>
      </c>
      <c r="AR131">
        <v>0</v>
      </c>
    </row>
    <row r="132" spans="1:44" x14ac:dyDescent="0.2">
      <c r="A132">
        <f>ROW(Source!A191)</f>
        <v>191</v>
      </c>
      <c r="B132">
        <v>45038554</v>
      </c>
      <c r="C132">
        <v>45037789</v>
      </c>
      <c r="D132">
        <v>22653672</v>
      </c>
      <c r="E132">
        <v>22652947</v>
      </c>
      <c r="F132">
        <v>1</v>
      </c>
      <c r="G132">
        <v>22652947</v>
      </c>
      <c r="H132">
        <v>2</v>
      </c>
      <c r="I132" t="s">
        <v>630</v>
      </c>
      <c r="J132" t="s">
        <v>3</v>
      </c>
      <c r="K132" t="s">
        <v>631</v>
      </c>
      <c r="L132">
        <v>1344</v>
      </c>
      <c r="N132">
        <v>1008</v>
      </c>
      <c r="O132" t="s">
        <v>632</v>
      </c>
      <c r="P132" t="s">
        <v>632</v>
      </c>
      <c r="Q132">
        <v>1</v>
      </c>
      <c r="X132">
        <v>25.96</v>
      </c>
      <c r="Y132">
        <v>0</v>
      </c>
      <c r="Z132">
        <v>1</v>
      </c>
      <c r="AA132">
        <v>0</v>
      </c>
      <c r="AB132">
        <v>0</v>
      </c>
      <c r="AC132">
        <v>0</v>
      </c>
      <c r="AD132">
        <v>1</v>
      </c>
      <c r="AE132">
        <v>0</v>
      </c>
      <c r="AF132" t="s">
        <v>36</v>
      </c>
      <c r="AG132">
        <v>32.450000000000003</v>
      </c>
      <c r="AH132">
        <v>2</v>
      </c>
      <c r="AI132">
        <v>45037793</v>
      </c>
      <c r="AJ132">
        <v>132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0</v>
      </c>
    </row>
    <row r="133" spans="1:44" x14ac:dyDescent="0.2">
      <c r="A133">
        <f>ROW(Source!A191)</f>
        <v>191</v>
      </c>
      <c r="B133">
        <v>45038555</v>
      </c>
      <c r="C133">
        <v>45037789</v>
      </c>
      <c r="D133">
        <v>22700967</v>
      </c>
      <c r="E133">
        <v>1</v>
      </c>
      <c r="F133">
        <v>1</v>
      </c>
      <c r="G133">
        <v>22652947</v>
      </c>
      <c r="H133">
        <v>3</v>
      </c>
      <c r="I133" t="s">
        <v>273</v>
      </c>
      <c r="J133" t="s">
        <v>275</v>
      </c>
      <c r="K133" t="s">
        <v>274</v>
      </c>
      <c r="L133">
        <v>1339</v>
      </c>
      <c r="N133">
        <v>1007</v>
      </c>
      <c r="O133" t="s">
        <v>80</v>
      </c>
      <c r="P133" t="s">
        <v>80</v>
      </c>
      <c r="Q133">
        <v>1</v>
      </c>
      <c r="X133">
        <v>0.13300000000000001</v>
      </c>
      <c r="Y133">
        <v>7.07</v>
      </c>
      <c r="Z133">
        <v>0</v>
      </c>
      <c r="AA133">
        <v>0</v>
      </c>
      <c r="AB133">
        <v>0</v>
      </c>
      <c r="AC133">
        <v>0</v>
      </c>
      <c r="AD133">
        <v>1</v>
      </c>
      <c r="AE133">
        <v>0</v>
      </c>
      <c r="AF133" t="s">
        <v>3</v>
      </c>
      <c r="AG133">
        <v>0.13300000000000001</v>
      </c>
      <c r="AH133">
        <v>2</v>
      </c>
      <c r="AI133">
        <v>45037794</v>
      </c>
      <c r="AJ133">
        <v>133</v>
      </c>
      <c r="AK133">
        <v>0</v>
      </c>
      <c r="AL133">
        <v>0</v>
      </c>
      <c r="AM133">
        <v>0</v>
      </c>
      <c r="AN133">
        <v>0</v>
      </c>
      <c r="AO133">
        <v>0</v>
      </c>
      <c r="AP133">
        <v>0</v>
      </c>
      <c r="AQ133">
        <v>0</v>
      </c>
      <c r="AR133">
        <v>0</v>
      </c>
    </row>
    <row r="134" spans="1:44" x14ac:dyDescent="0.2">
      <c r="A134">
        <f>ROW(Source!A191)</f>
        <v>191</v>
      </c>
      <c r="B134">
        <v>45038556</v>
      </c>
      <c r="C134">
        <v>45037789</v>
      </c>
      <c r="D134">
        <v>22703080</v>
      </c>
      <c r="E134">
        <v>1</v>
      </c>
      <c r="F134">
        <v>1</v>
      </c>
      <c r="G134">
        <v>22652947</v>
      </c>
      <c r="H134">
        <v>3</v>
      </c>
      <c r="I134" t="s">
        <v>692</v>
      </c>
      <c r="J134" t="s">
        <v>693</v>
      </c>
      <c r="K134" t="s">
        <v>694</v>
      </c>
      <c r="L134">
        <v>1348</v>
      </c>
      <c r="N134">
        <v>1009</v>
      </c>
      <c r="O134" t="s">
        <v>29</v>
      </c>
      <c r="P134" t="s">
        <v>29</v>
      </c>
      <c r="Q134">
        <v>1000</v>
      </c>
      <c r="X134">
        <v>0.01</v>
      </c>
      <c r="Y134">
        <v>69883.649999999994</v>
      </c>
      <c r="Z134">
        <v>0</v>
      </c>
      <c r="AA134">
        <v>0</v>
      </c>
      <c r="AB134">
        <v>0</v>
      </c>
      <c r="AC134">
        <v>0</v>
      </c>
      <c r="AD134">
        <v>1</v>
      </c>
      <c r="AE134">
        <v>0</v>
      </c>
      <c r="AF134" t="s">
        <v>3</v>
      </c>
      <c r="AG134">
        <v>0.01</v>
      </c>
      <c r="AH134">
        <v>2</v>
      </c>
      <c r="AI134">
        <v>45037795</v>
      </c>
      <c r="AJ134">
        <v>135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0</v>
      </c>
      <c r="AQ134">
        <v>0</v>
      </c>
      <c r="AR134">
        <v>0</v>
      </c>
    </row>
    <row r="135" spans="1:44" x14ac:dyDescent="0.2">
      <c r="A135">
        <f>ROW(Source!A191)</f>
        <v>191</v>
      </c>
      <c r="B135">
        <v>45038557</v>
      </c>
      <c r="C135">
        <v>45037789</v>
      </c>
      <c r="D135">
        <v>22665989</v>
      </c>
      <c r="E135">
        <v>22652947</v>
      </c>
      <c r="F135">
        <v>1</v>
      </c>
      <c r="G135">
        <v>22652947</v>
      </c>
      <c r="H135">
        <v>3</v>
      </c>
      <c r="I135" t="s">
        <v>804</v>
      </c>
      <c r="J135" t="s">
        <v>3</v>
      </c>
      <c r="K135" t="s">
        <v>805</v>
      </c>
      <c r="L135">
        <v>1348</v>
      </c>
      <c r="N135">
        <v>1009</v>
      </c>
      <c r="O135" t="s">
        <v>29</v>
      </c>
      <c r="P135" t="s">
        <v>29</v>
      </c>
      <c r="Q135">
        <v>1000</v>
      </c>
      <c r="X135">
        <v>0</v>
      </c>
      <c r="Y135">
        <v>0</v>
      </c>
      <c r="Z135">
        <v>0</v>
      </c>
      <c r="AA135">
        <v>0</v>
      </c>
      <c r="AB135">
        <v>0</v>
      </c>
      <c r="AC135">
        <v>0</v>
      </c>
      <c r="AD135">
        <v>0</v>
      </c>
      <c r="AE135">
        <v>0</v>
      </c>
      <c r="AF135" t="s">
        <v>3</v>
      </c>
      <c r="AG135">
        <v>0</v>
      </c>
      <c r="AH135">
        <v>3</v>
      </c>
      <c r="AI135">
        <v>-1</v>
      </c>
      <c r="AJ135" t="s">
        <v>3</v>
      </c>
      <c r="AK135">
        <v>0</v>
      </c>
      <c r="AL135">
        <v>0</v>
      </c>
      <c r="AM135">
        <v>0</v>
      </c>
      <c r="AN135">
        <v>0</v>
      </c>
      <c r="AO135">
        <v>0</v>
      </c>
      <c r="AP135">
        <v>0</v>
      </c>
      <c r="AQ135">
        <v>0</v>
      </c>
      <c r="AR135">
        <v>0</v>
      </c>
    </row>
    <row r="136" spans="1:44" x14ac:dyDescent="0.2">
      <c r="A136">
        <f>ROW(Source!A191)</f>
        <v>191</v>
      </c>
      <c r="B136">
        <v>45038558</v>
      </c>
      <c r="C136">
        <v>45037789</v>
      </c>
      <c r="D136">
        <v>22667696</v>
      </c>
      <c r="E136">
        <v>22652947</v>
      </c>
      <c r="F136">
        <v>1</v>
      </c>
      <c r="G136">
        <v>22652947</v>
      </c>
      <c r="H136">
        <v>3</v>
      </c>
      <c r="I136" t="s">
        <v>806</v>
      </c>
      <c r="J136" t="s">
        <v>3</v>
      </c>
      <c r="K136" t="s">
        <v>807</v>
      </c>
      <c r="L136">
        <v>1348</v>
      </c>
      <c r="N136">
        <v>1009</v>
      </c>
      <c r="O136" t="s">
        <v>29</v>
      </c>
      <c r="P136" t="s">
        <v>29</v>
      </c>
      <c r="Q136">
        <v>1000</v>
      </c>
      <c r="X136">
        <v>0.47</v>
      </c>
      <c r="Y136">
        <v>0</v>
      </c>
      <c r="Z136">
        <v>0</v>
      </c>
      <c r="AA136">
        <v>0</v>
      </c>
      <c r="AB136">
        <v>0</v>
      </c>
      <c r="AC136">
        <v>0</v>
      </c>
      <c r="AD136">
        <v>0</v>
      </c>
      <c r="AE136">
        <v>0</v>
      </c>
      <c r="AF136" t="s">
        <v>3</v>
      </c>
      <c r="AG136">
        <v>0.47</v>
      </c>
      <c r="AH136">
        <v>3</v>
      </c>
      <c r="AI136">
        <v>-1</v>
      </c>
      <c r="AJ136" t="s">
        <v>3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0</v>
      </c>
      <c r="AQ136">
        <v>0</v>
      </c>
      <c r="AR136">
        <v>0</v>
      </c>
    </row>
    <row r="137" spans="1:44" x14ac:dyDescent="0.2">
      <c r="A137">
        <f>ROW(Source!A191)</f>
        <v>191</v>
      </c>
      <c r="B137">
        <v>45038559</v>
      </c>
      <c r="C137">
        <v>45037789</v>
      </c>
      <c r="D137">
        <v>22665981</v>
      </c>
      <c r="E137">
        <v>22652947</v>
      </c>
      <c r="F137">
        <v>1</v>
      </c>
      <c r="G137">
        <v>22652947</v>
      </c>
      <c r="H137">
        <v>3</v>
      </c>
      <c r="I137" t="s">
        <v>808</v>
      </c>
      <c r="J137" t="s">
        <v>3</v>
      </c>
      <c r="K137" t="s">
        <v>809</v>
      </c>
      <c r="L137">
        <v>1327</v>
      </c>
      <c r="N137">
        <v>1005</v>
      </c>
      <c r="O137" t="s">
        <v>101</v>
      </c>
      <c r="P137" t="s">
        <v>101</v>
      </c>
      <c r="Q137">
        <v>1</v>
      </c>
      <c r="X137">
        <v>102</v>
      </c>
      <c r="Y137">
        <v>0</v>
      </c>
      <c r="Z137">
        <v>0</v>
      </c>
      <c r="AA137">
        <v>0</v>
      </c>
      <c r="AB137">
        <v>0</v>
      </c>
      <c r="AC137">
        <v>0</v>
      </c>
      <c r="AD137">
        <v>0</v>
      </c>
      <c r="AE137">
        <v>0</v>
      </c>
      <c r="AF137" t="s">
        <v>3</v>
      </c>
      <c r="AG137">
        <v>102</v>
      </c>
      <c r="AH137">
        <v>3</v>
      </c>
      <c r="AI137">
        <v>-1</v>
      </c>
      <c r="AJ137" t="s">
        <v>3</v>
      </c>
      <c r="AK137">
        <v>0</v>
      </c>
      <c r="AL137">
        <v>0</v>
      </c>
      <c r="AM137">
        <v>0</v>
      </c>
      <c r="AN137">
        <v>0</v>
      </c>
      <c r="AO137">
        <v>0</v>
      </c>
      <c r="AP137">
        <v>0</v>
      </c>
      <c r="AQ137">
        <v>0</v>
      </c>
      <c r="AR137">
        <v>0</v>
      </c>
    </row>
    <row r="138" spans="1:44" x14ac:dyDescent="0.2">
      <c r="A138">
        <f>ROW(Source!A192)</f>
        <v>192</v>
      </c>
      <c r="B138">
        <v>45038551</v>
      </c>
      <c r="C138">
        <v>45037789</v>
      </c>
      <c r="D138">
        <v>22652952</v>
      </c>
      <c r="E138">
        <v>22652947</v>
      </c>
      <c r="F138">
        <v>1</v>
      </c>
      <c r="G138">
        <v>22652947</v>
      </c>
      <c r="H138">
        <v>1</v>
      </c>
      <c r="I138" t="s">
        <v>617</v>
      </c>
      <c r="J138" t="s">
        <v>3</v>
      </c>
      <c r="K138" t="s">
        <v>618</v>
      </c>
      <c r="L138">
        <v>1191</v>
      </c>
      <c r="N138">
        <v>1013</v>
      </c>
      <c r="O138" t="s">
        <v>619</v>
      </c>
      <c r="P138" t="s">
        <v>619</v>
      </c>
      <c r="Q138">
        <v>1</v>
      </c>
      <c r="X138">
        <v>84.08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1</v>
      </c>
      <c r="AE138">
        <v>1</v>
      </c>
      <c r="AF138" t="s">
        <v>37</v>
      </c>
      <c r="AG138">
        <v>96.691999999999993</v>
      </c>
      <c r="AH138">
        <v>2</v>
      </c>
      <c r="AI138">
        <v>45037790</v>
      </c>
      <c r="AJ138">
        <v>138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0</v>
      </c>
      <c r="AQ138">
        <v>0</v>
      </c>
      <c r="AR138">
        <v>0</v>
      </c>
    </row>
    <row r="139" spans="1:44" x14ac:dyDescent="0.2">
      <c r="A139">
        <f>ROW(Source!A192)</f>
        <v>192</v>
      </c>
      <c r="B139">
        <v>45038552</v>
      </c>
      <c r="C139">
        <v>45037789</v>
      </c>
      <c r="D139">
        <v>22725894</v>
      </c>
      <c r="E139">
        <v>1</v>
      </c>
      <c r="F139">
        <v>1</v>
      </c>
      <c r="G139">
        <v>22652947</v>
      </c>
      <c r="H139">
        <v>2</v>
      </c>
      <c r="I139" t="s">
        <v>686</v>
      </c>
      <c r="J139" t="s">
        <v>687</v>
      </c>
      <c r="K139" t="s">
        <v>688</v>
      </c>
      <c r="L139">
        <v>1367</v>
      </c>
      <c r="N139">
        <v>1011</v>
      </c>
      <c r="O139" t="s">
        <v>623</v>
      </c>
      <c r="P139" t="s">
        <v>623</v>
      </c>
      <c r="Q139">
        <v>1</v>
      </c>
      <c r="X139">
        <v>27.09</v>
      </c>
      <c r="Y139">
        <v>0</v>
      </c>
      <c r="Z139">
        <v>2.36</v>
      </c>
      <c r="AA139">
        <v>0.1</v>
      </c>
      <c r="AB139">
        <v>0</v>
      </c>
      <c r="AC139">
        <v>0</v>
      </c>
      <c r="AD139">
        <v>1</v>
      </c>
      <c r="AE139">
        <v>0</v>
      </c>
      <c r="AF139" t="s">
        <v>36</v>
      </c>
      <c r="AG139">
        <v>33.862499999999997</v>
      </c>
      <c r="AH139">
        <v>2</v>
      </c>
      <c r="AI139">
        <v>45037791</v>
      </c>
      <c r="AJ139">
        <v>139</v>
      </c>
      <c r="AK139">
        <v>0</v>
      </c>
      <c r="AL139">
        <v>0</v>
      </c>
      <c r="AM139">
        <v>0</v>
      </c>
      <c r="AN139">
        <v>0</v>
      </c>
      <c r="AO139">
        <v>0</v>
      </c>
      <c r="AP139">
        <v>0</v>
      </c>
      <c r="AQ139">
        <v>0</v>
      </c>
      <c r="AR139">
        <v>0</v>
      </c>
    </row>
    <row r="140" spans="1:44" x14ac:dyDescent="0.2">
      <c r="A140">
        <f>ROW(Source!A192)</f>
        <v>192</v>
      </c>
      <c r="B140">
        <v>45038553</v>
      </c>
      <c r="C140">
        <v>45037789</v>
      </c>
      <c r="D140">
        <v>22725956</v>
      </c>
      <c r="E140">
        <v>1</v>
      </c>
      <c r="F140">
        <v>1</v>
      </c>
      <c r="G140">
        <v>22652947</v>
      </c>
      <c r="H140">
        <v>2</v>
      </c>
      <c r="I140" t="s">
        <v>689</v>
      </c>
      <c r="J140" t="s">
        <v>690</v>
      </c>
      <c r="K140" t="s">
        <v>691</v>
      </c>
      <c r="L140">
        <v>1367</v>
      </c>
      <c r="N140">
        <v>1011</v>
      </c>
      <c r="O140" t="s">
        <v>623</v>
      </c>
      <c r="P140" t="s">
        <v>623</v>
      </c>
      <c r="Q140">
        <v>1</v>
      </c>
      <c r="X140">
        <v>0.31</v>
      </c>
      <c r="Y140">
        <v>0</v>
      </c>
      <c r="Z140">
        <v>31.85</v>
      </c>
      <c r="AA140">
        <v>14.89</v>
      </c>
      <c r="AB140">
        <v>0</v>
      </c>
      <c r="AC140">
        <v>0</v>
      </c>
      <c r="AD140">
        <v>1</v>
      </c>
      <c r="AE140">
        <v>0</v>
      </c>
      <c r="AF140" t="s">
        <v>36</v>
      </c>
      <c r="AG140">
        <v>0.38750000000000001</v>
      </c>
      <c r="AH140">
        <v>2</v>
      </c>
      <c r="AI140">
        <v>45037792</v>
      </c>
      <c r="AJ140">
        <v>140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0</v>
      </c>
      <c r="AQ140">
        <v>0</v>
      </c>
      <c r="AR140">
        <v>0</v>
      </c>
    </row>
    <row r="141" spans="1:44" x14ac:dyDescent="0.2">
      <c r="A141">
        <f>ROW(Source!A192)</f>
        <v>192</v>
      </c>
      <c r="B141">
        <v>45038554</v>
      </c>
      <c r="C141">
        <v>45037789</v>
      </c>
      <c r="D141">
        <v>22653672</v>
      </c>
      <c r="E141">
        <v>22652947</v>
      </c>
      <c r="F141">
        <v>1</v>
      </c>
      <c r="G141">
        <v>22652947</v>
      </c>
      <c r="H141">
        <v>2</v>
      </c>
      <c r="I141" t="s">
        <v>630</v>
      </c>
      <c r="J141" t="s">
        <v>3</v>
      </c>
      <c r="K141" t="s">
        <v>631</v>
      </c>
      <c r="L141">
        <v>1344</v>
      </c>
      <c r="N141">
        <v>1008</v>
      </c>
      <c r="O141" t="s">
        <v>632</v>
      </c>
      <c r="P141" t="s">
        <v>632</v>
      </c>
      <c r="Q141">
        <v>1</v>
      </c>
      <c r="X141">
        <v>25.96</v>
      </c>
      <c r="Y141">
        <v>0</v>
      </c>
      <c r="Z141">
        <v>1</v>
      </c>
      <c r="AA141">
        <v>0</v>
      </c>
      <c r="AB141">
        <v>0</v>
      </c>
      <c r="AC141">
        <v>0</v>
      </c>
      <c r="AD141">
        <v>1</v>
      </c>
      <c r="AE141">
        <v>0</v>
      </c>
      <c r="AF141" t="s">
        <v>36</v>
      </c>
      <c r="AG141">
        <v>32.450000000000003</v>
      </c>
      <c r="AH141">
        <v>2</v>
      </c>
      <c r="AI141">
        <v>45037793</v>
      </c>
      <c r="AJ141">
        <v>141</v>
      </c>
      <c r="AK141">
        <v>0</v>
      </c>
      <c r="AL141">
        <v>0</v>
      </c>
      <c r="AM141">
        <v>0</v>
      </c>
      <c r="AN141">
        <v>0</v>
      </c>
      <c r="AO141">
        <v>0</v>
      </c>
      <c r="AP141">
        <v>0</v>
      </c>
      <c r="AQ141">
        <v>0</v>
      </c>
      <c r="AR141">
        <v>0</v>
      </c>
    </row>
    <row r="142" spans="1:44" x14ac:dyDescent="0.2">
      <c r="A142">
        <f>ROW(Source!A192)</f>
        <v>192</v>
      </c>
      <c r="B142">
        <v>45038555</v>
      </c>
      <c r="C142">
        <v>45037789</v>
      </c>
      <c r="D142">
        <v>22700967</v>
      </c>
      <c r="E142">
        <v>1</v>
      </c>
      <c r="F142">
        <v>1</v>
      </c>
      <c r="G142">
        <v>22652947</v>
      </c>
      <c r="H142">
        <v>3</v>
      </c>
      <c r="I142" t="s">
        <v>273</v>
      </c>
      <c r="J142" t="s">
        <v>275</v>
      </c>
      <c r="K142" t="s">
        <v>274</v>
      </c>
      <c r="L142">
        <v>1339</v>
      </c>
      <c r="N142">
        <v>1007</v>
      </c>
      <c r="O142" t="s">
        <v>80</v>
      </c>
      <c r="P142" t="s">
        <v>80</v>
      </c>
      <c r="Q142">
        <v>1</v>
      </c>
      <c r="X142">
        <v>0.13300000000000001</v>
      </c>
      <c r="Y142">
        <v>7.07</v>
      </c>
      <c r="Z142">
        <v>0</v>
      </c>
      <c r="AA142">
        <v>0</v>
      </c>
      <c r="AB142">
        <v>0</v>
      </c>
      <c r="AC142">
        <v>0</v>
      </c>
      <c r="AD142">
        <v>1</v>
      </c>
      <c r="AE142">
        <v>0</v>
      </c>
      <c r="AF142" t="s">
        <v>3</v>
      </c>
      <c r="AG142">
        <v>0.13300000000000001</v>
      </c>
      <c r="AH142">
        <v>2</v>
      </c>
      <c r="AI142">
        <v>45037794</v>
      </c>
      <c r="AJ142">
        <v>142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0</v>
      </c>
      <c r="AQ142">
        <v>0</v>
      </c>
      <c r="AR142">
        <v>0</v>
      </c>
    </row>
    <row r="143" spans="1:44" x14ac:dyDescent="0.2">
      <c r="A143">
        <f>ROW(Source!A192)</f>
        <v>192</v>
      </c>
      <c r="B143">
        <v>45038556</v>
      </c>
      <c r="C143">
        <v>45037789</v>
      </c>
      <c r="D143">
        <v>22703080</v>
      </c>
      <c r="E143">
        <v>1</v>
      </c>
      <c r="F143">
        <v>1</v>
      </c>
      <c r="G143">
        <v>22652947</v>
      </c>
      <c r="H143">
        <v>3</v>
      </c>
      <c r="I143" t="s">
        <v>692</v>
      </c>
      <c r="J143" t="s">
        <v>693</v>
      </c>
      <c r="K143" t="s">
        <v>694</v>
      </c>
      <c r="L143">
        <v>1348</v>
      </c>
      <c r="N143">
        <v>1009</v>
      </c>
      <c r="O143" t="s">
        <v>29</v>
      </c>
      <c r="P143" t="s">
        <v>29</v>
      </c>
      <c r="Q143">
        <v>1000</v>
      </c>
      <c r="X143">
        <v>0.01</v>
      </c>
      <c r="Y143">
        <v>69883.649999999994</v>
      </c>
      <c r="Z143">
        <v>0</v>
      </c>
      <c r="AA143">
        <v>0</v>
      </c>
      <c r="AB143">
        <v>0</v>
      </c>
      <c r="AC143">
        <v>0</v>
      </c>
      <c r="AD143">
        <v>1</v>
      </c>
      <c r="AE143">
        <v>0</v>
      </c>
      <c r="AF143" t="s">
        <v>3</v>
      </c>
      <c r="AG143">
        <v>0.01</v>
      </c>
      <c r="AH143">
        <v>2</v>
      </c>
      <c r="AI143">
        <v>45037795</v>
      </c>
      <c r="AJ143">
        <v>144</v>
      </c>
      <c r="AK143">
        <v>0</v>
      </c>
      <c r="AL143">
        <v>0</v>
      </c>
      <c r="AM143">
        <v>0</v>
      </c>
      <c r="AN143">
        <v>0</v>
      </c>
      <c r="AO143">
        <v>0</v>
      </c>
      <c r="AP143">
        <v>0</v>
      </c>
      <c r="AQ143">
        <v>0</v>
      </c>
      <c r="AR143">
        <v>0</v>
      </c>
    </row>
    <row r="144" spans="1:44" x14ac:dyDescent="0.2">
      <c r="A144">
        <f>ROW(Source!A192)</f>
        <v>192</v>
      </c>
      <c r="B144">
        <v>45038557</v>
      </c>
      <c r="C144">
        <v>45037789</v>
      </c>
      <c r="D144">
        <v>22665989</v>
      </c>
      <c r="E144">
        <v>22652947</v>
      </c>
      <c r="F144">
        <v>1</v>
      </c>
      <c r="G144">
        <v>22652947</v>
      </c>
      <c r="H144">
        <v>3</v>
      </c>
      <c r="I144" t="s">
        <v>804</v>
      </c>
      <c r="J144" t="s">
        <v>3</v>
      </c>
      <c r="K144" t="s">
        <v>805</v>
      </c>
      <c r="L144">
        <v>1348</v>
      </c>
      <c r="N144">
        <v>1009</v>
      </c>
      <c r="O144" t="s">
        <v>29</v>
      </c>
      <c r="P144" t="s">
        <v>29</v>
      </c>
      <c r="Q144">
        <v>1000</v>
      </c>
      <c r="X144">
        <v>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0</v>
      </c>
      <c r="AE144">
        <v>0</v>
      </c>
      <c r="AF144" t="s">
        <v>3</v>
      </c>
      <c r="AG144">
        <v>0</v>
      </c>
      <c r="AH144">
        <v>3</v>
      </c>
      <c r="AI144">
        <v>-1</v>
      </c>
      <c r="AJ144" t="s">
        <v>3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</row>
    <row r="145" spans="1:44" x14ac:dyDescent="0.2">
      <c r="A145">
        <f>ROW(Source!A192)</f>
        <v>192</v>
      </c>
      <c r="B145">
        <v>45038558</v>
      </c>
      <c r="C145">
        <v>45037789</v>
      </c>
      <c r="D145">
        <v>22667696</v>
      </c>
      <c r="E145">
        <v>22652947</v>
      </c>
      <c r="F145">
        <v>1</v>
      </c>
      <c r="G145">
        <v>22652947</v>
      </c>
      <c r="H145">
        <v>3</v>
      </c>
      <c r="I145" t="s">
        <v>806</v>
      </c>
      <c r="J145" t="s">
        <v>3</v>
      </c>
      <c r="K145" t="s">
        <v>807</v>
      </c>
      <c r="L145">
        <v>1348</v>
      </c>
      <c r="N145">
        <v>1009</v>
      </c>
      <c r="O145" t="s">
        <v>29</v>
      </c>
      <c r="P145" t="s">
        <v>29</v>
      </c>
      <c r="Q145">
        <v>1000</v>
      </c>
      <c r="X145">
        <v>0.47</v>
      </c>
      <c r="Y145">
        <v>0</v>
      </c>
      <c r="Z145">
        <v>0</v>
      </c>
      <c r="AA145">
        <v>0</v>
      </c>
      <c r="AB145">
        <v>0</v>
      </c>
      <c r="AC145">
        <v>0</v>
      </c>
      <c r="AD145">
        <v>0</v>
      </c>
      <c r="AE145">
        <v>0</v>
      </c>
      <c r="AF145" t="s">
        <v>3</v>
      </c>
      <c r="AG145">
        <v>0.47</v>
      </c>
      <c r="AH145">
        <v>3</v>
      </c>
      <c r="AI145">
        <v>-1</v>
      </c>
      <c r="AJ145" t="s">
        <v>3</v>
      </c>
      <c r="AK145">
        <v>0</v>
      </c>
      <c r="AL145">
        <v>0</v>
      </c>
      <c r="AM145">
        <v>0</v>
      </c>
      <c r="AN145">
        <v>0</v>
      </c>
      <c r="AO145">
        <v>0</v>
      </c>
      <c r="AP145">
        <v>0</v>
      </c>
      <c r="AQ145">
        <v>0</v>
      </c>
      <c r="AR145">
        <v>0</v>
      </c>
    </row>
    <row r="146" spans="1:44" x14ac:dyDescent="0.2">
      <c r="A146">
        <f>ROW(Source!A192)</f>
        <v>192</v>
      </c>
      <c r="B146">
        <v>45038559</v>
      </c>
      <c r="C146">
        <v>45037789</v>
      </c>
      <c r="D146">
        <v>22665981</v>
      </c>
      <c r="E146">
        <v>22652947</v>
      </c>
      <c r="F146">
        <v>1</v>
      </c>
      <c r="G146">
        <v>22652947</v>
      </c>
      <c r="H146">
        <v>3</v>
      </c>
      <c r="I146" t="s">
        <v>808</v>
      </c>
      <c r="J146" t="s">
        <v>3</v>
      </c>
      <c r="K146" t="s">
        <v>809</v>
      </c>
      <c r="L146">
        <v>1327</v>
      </c>
      <c r="N146">
        <v>1005</v>
      </c>
      <c r="O146" t="s">
        <v>101</v>
      </c>
      <c r="P146" t="s">
        <v>101</v>
      </c>
      <c r="Q146">
        <v>1</v>
      </c>
      <c r="X146">
        <v>102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 t="s">
        <v>3</v>
      </c>
      <c r="AG146">
        <v>102</v>
      </c>
      <c r="AH146">
        <v>3</v>
      </c>
      <c r="AI146">
        <v>-1</v>
      </c>
      <c r="AJ146" t="s">
        <v>3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</row>
    <row r="147" spans="1:44" x14ac:dyDescent="0.2">
      <c r="A147">
        <f>ROW(Source!A199)</f>
        <v>199</v>
      </c>
      <c r="B147">
        <v>45038560</v>
      </c>
      <c r="C147">
        <v>45037811</v>
      </c>
      <c r="D147">
        <v>22652952</v>
      </c>
      <c r="E147">
        <v>22652947</v>
      </c>
      <c r="F147">
        <v>1</v>
      </c>
      <c r="G147">
        <v>22652947</v>
      </c>
      <c r="H147">
        <v>1</v>
      </c>
      <c r="I147" t="s">
        <v>617</v>
      </c>
      <c r="J147" t="s">
        <v>3</v>
      </c>
      <c r="K147" t="s">
        <v>618</v>
      </c>
      <c r="L147">
        <v>1191</v>
      </c>
      <c r="N147">
        <v>1013</v>
      </c>
      <c r="O147" t="s">
        <v>619</v>
      </c>
      <c r="P147" t="s">
        <v>619</v>
      </c>
      <c r="Q147">
        <v>1</v>
      </c>
      <c r="X147">
        <v>41.5</v>
      </c>
      <c r="Y147">
        <v>0</v>
      </c>
      <c r="Z147">
        <v>0</v>
      </c>
      <c r="AA147">
        <v>0</v>
      </c>
      <c r="AB147">
        <v>0</v>
      </c>
      <c r="AC147">
        <v>0</v>
      </c>
      <c r="AD147">
        <v>1</v>
      </c>
      <c r="AE147">
        <v>1</v>
      </c>
      <c r="AF147" t="s">
        <v>37</v>
      </c>
      <c r="AG147">
        <v>47.724999999999994</v>
      </c>
      <c r="AH147">
        <v>2</v>
      </c>
      <c r="AI147">
        <v>45037812</v>
      </c>
      <c r="AJ147">
        <v>147</v>
      </c>
      <c r="AK147">
        <v>0</v>
      </c>
      <c r="AL147">
        <v>0</v>
      </c>
      <c r="AM147">
        <v>0</v>
      </c>
      <c r="AN147">
        <v>0</v>
      </c>
      <c r="AO147">
        <v>0</v>
      </c>
      <c r="AP147">
        <v>0</v>
      </c>
      <c r="AQ147">
        <v>0</v>
      </c>
      <c r="AR147">
        <v>0</v>
      </c>
    </row>
    <row r="148" spans="1:44" x14ac:dyDescent="0.2">
      <c r="A148">
        <f>ROW(Source!A199)</f>
        <v>199</v>
      </c>
      <c r="B148">
        <v>45038561</v>
      </c>
      <c r="C148">
        <v>45037811</v>
      </c>
      <c r="D148">
        <v>22653672</v>
      </c>
      <c r="E148">
        <v>22652947</v>
      </c>
      <c r="F148">
        <v>1</v>
      </c>
      <c r="G148">
        <v>22652947</v>
      </c>
      <c r="H148">
        <v>2</v>
      </c>
      <c r="I148" t="s">
        <v>630</v>
      </c>
      <c r="J148" t="s">
        <v>3</v>
      </c>
      <c r="K148" t="s">
        <v>631</v>
      </c>
      <c r="L148">
        <v>1344</v>
      </c>
      <c r="N148">
        <v>1008</v>
      </c>
      <c r="O148" t="s">
        <v>632</v>
      </c>
      <c r="P148" t="s">
        <v>632</v>
      </c>
      <c r="Q148">
        <v>1</v>
      </c>
      <c r="X148">
        <v>81.14</v>
      </c>
      <c r="Y148">
        <v>0</v>
      </c>
      <c r="Z148">
        <v>1</v>
      </c>
      <c r="AA148">
        <v>0</v>
      </c>
      <c r="AB148">
        <v>0</v>
      </c>
      <c r="AC148">
        <v>0</v>
      </c>
      <c r="AD148">
        <v>1</v>
      </c>
      <c r="AE148">
        <v>0</v>
      </c>
      <c r="AF148" t="s">
        <v>36</v>
      </c>
      <c r="AG148">
        <v>101.425</v>
      </c>
      <c r="AH148">
        <v>2</v>
      </c>
      <c r="AI148">
        <v>45037813</v>
      </c>
      <c r="AJ148">
        <v>148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0</v>
      </c>
      <c r="AQ148">
        <v>0</v>
      </c>
      <c r="AR148">
        <v>0</v>
      </c>
    </row>
    <row r="149" spans="1:44" x14ac:dyDescent="0.2">
      <c r="A149">
        <f>ROW(Source!A199)</f>
        <v>199</v>
      </c>
      <c r="B149">
        <v>45038562</v>
      </c>
      <c r="C149">
        <v>45037811</v>
      </c>
      <c r="D149">
        <v>22669770</v>
      </c>
      <c r="E149">
        <v>22652947</v>
      </c>
      <c r="F149">
        <v>1</v>
      </c>
      <c r="G149">
        <v>22652947</v>
      </c>
      <c r="H149">
        <v>3</v>
      </c>
      <c r="I149" t="s">
        <v>810</v>
      </c>
      <c r="J149" t="s">
        <v>3</v>
      </c>
      <c r="K149" t="s">
        <v>811</v>
      </c>
      <c r="L149">
        <v>1348</v>
      </c>
      <c r="N149">
        <v>1009</v>
      </c>
      <c r="O149" t="s">
        <v>29</v>
      </c>
      <c r="P149" t="s">
        <v>29</v>
      </c>
      <c r="Q149">
        <v>1000</v>
      </c>
      <c r="X149">
        <v>2.09</v>
      </c>
      <c r="Y149">
        <v>0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 t="s">
        <v>3</v>
      </c>
      <c r="AG149">
        <v>2.09</v>
      </c>
      <c r="AH149">
        <v>3</v>
      </c>
      <c r="AI149">
        <v>-1</v>
      </c>
      <c r="AJ149" t="s">
        <v>3</v>
      </c>
      <c r="AK149">
        <v>0</v>
      </c>
      <c r="AL149">
        <v>0</v>
      </c>
      <c r="AM149">
        <v>0</v>
      </c>
      <c r="AN149">
        <v>0</v>
      </c>
      <c r="AO149">
        <v>0</v>
      </c>
      <c r="AP149">
        <v>0</v>
      </c>
      <c r="AQ149">
        <v>0</v>
      </c>
      <c r="AR149">
        <v>0</v>
      </c>
    </row>
    <row r="150" spans="1:44" x14ac:dyDescent="0.2">
      <c r="A150">
        <f>ROW(Source!A199)</f>
        <v>199</v>
      </c>
      <c r="B150">
        <v>45038563</v>
      </c>
      <c r="C150">
        <v>45037811</v>
      </c>
      <c r="D150">
        <v>22675494</v>
      </c>
      <c r="E150">
        <v>22652947</v>
      </c>
      <c r="F150">
        <v>1</v>
      </c>
      <c r="G150">
        <v>22652947</v>
      </c>
      <c r="H150">
        <v>3</v>
      </c>
      <c r="I150" t="s">
        <v>812</v>
      </c>
      <c r="J150" t="s">
        <v>3</v>
      </c>
      <c r="K150" t="s">
        <v>813</v>
      </c>
      <c r="L150">
        <v>1348</v>
      </c>
      <c r="N150">
        <v>1009</v>
      </c>
      <c r="O150" t="s">
        <v>29</v>
      </c>
      <c r="P150" t="s">
        <v>29</v>
      </c>
      <c r="Q150">
        <v>1000</v>
      </c>
      <c r="X150">
        <v>0.15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 t="s">
        <v>3</v>
      </c>
      <c r="AG150">
        <v>0.15</v>
      </c>
      <c r="AH150">
        <v>3</v>
      </c>
      <c r="AI150">
        <v>-1</v>
      </c>
      <c r="AJ150" t="s">
        <v>3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</row>
    <row r="151" spans="1:44" x14ac:dyDescent="0.2">
      <c r="A151">
        <f>ROW(Source!A200)</f>
        <v>200</v>
      </c>
      <c r="B151">
        <v>45038560</v>
      </c>
      <c r="C151">
        <v>45037811</v>
      </c>
      <c r="D151">
        <v>22652952</v>
      </c>
      <c r="E151">
        <v>22652947</v>
      </c>
      <c r="F151">
        <v>1</v>
      </c>
      <c r="G151">
        <v>22652947</v>
      </c>
      <c r="H151">
        <v>1</v>
      </c>
      <c r="I151" t="s">
        <v>617</v>
      </c>
      <c r="J151" t="s">
        <v>3</v>
      </c>
      <c r="K151" t="s">
        <v>618</v>
      </c>
      <c r="L151">
        <v>1191</v>
      </c>
      <c r="N151">
        <v>1013</v>
      </c>
      <c r="O151" t="s">
        <v>619</v>
      </c>
      <c r="P151" t="s">
        <v>619</v>
      </c>
      <c r="Q151">
        <v>1</v>
      </c>
      <c r="X151">
        <v>41.5</v>
      </c>
      <c r="Y151">
        <v>0</v>
      </c>
      <c r="Z151">
        <v>0</v>
      </c>
      <c r="AA151">
        <v>0</v>
      </c>
      <c r="AB151">
        <v>0</v>
      </c>
      <c r="AC151">
        <v>0</v>
      </c>
      <c r="AD151">
        <v>1</v>
      </c>
      <c r="AE151">
        <v>1</v>
      </c>
      <c r="AF151" t="s">
        <v>37</v>
      </c>
      <c r="AG151">
        <v>47.724999999999994</v>
      </c>
      <c r="AH151">
        <v>2</v>
      </c>
      <c r="AI151">
        <v>45037812</v>
      </c>
      <c r="AJ151">
        <v>152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0</v>
      </c>
    </row>
    <row r="152" spans="1:44" x14ac:dyDescent="0.2">
      <c r="A152">
        <f>ROW(Source!A200)</f>
        <v>200</v>
      </c>
      <c r="B152">
        <v>45038561</v>
      </c>
      <c r="C152">
        <v>45037811</v>
      </c>
      <c r="D152">
        <v>22653672</v>
      </c>
      <c r="E152">
        <v>22652947</v>
      </c>
      <c r="F152">
        <v>1</v>
      </c>
      <c r="G152">
        <v>22652947</v>
      </c>
      <c r="H152">
        <v>2</v>
      </c>
      <c r="I152" t="s">
        <v>630</v>
      </c>
      <c r="J152" t="s">
        <v>3</v>
      </c>
      <c r="K152" t="s">
        <v>631</v>
      </c>
      <c r="L152">
        <v>1344</v>
      </c>
      <c r="N152">
        <v>1008</v>
      </c>
      <c r="O152" t="s">
        <v>632</v>
      </c>
      <c r="P152" t="s">
        <v>632</v>
      </c>
      <c r="Q152">
        <v>1</v>
      </c>
      <c r="X152">
        <v>81.14</v>
      </c>
      <c r="Y152">
        <v>0</v>
      </c>
      <c r="Z152">
        <v>1</v>
      </c>
      <c r="AA152">
        <v>0</v>
      </c>
      <c r="AB152">
        <v>0</v>
      </c>
      <c r="AC152">
        <v>0</v>
      </c>
      <c r="AD152">
        <v>1</v>
      </c>
      <c r="AE152">
        <v>0</v>
      </c>
      <c r="AF152" t="s">
        <v>36</v>
      </c>
      <c r="AG152">
        <v>101.425</v>
      </c>
      <c r="AH152">
        <v>2</v>
      </c>
      <c r="AI152">
        <v>45037813</v>
      </c>
      <c r="AJ152">
        <v>153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0</v>
      </c>
      <c r="AQ152">
        <v>0</v>
      </c>
      <c r="AR152">
        <v>0</v>
      </c>
    </row>
    <row r="153" spans="1:44" x14ac:dyDescent="0.2">
      <c r="A153">
        <f>ROW(Source!A200)</f>
        <v>200</v>
      </c>
      <c r="B153">
        <v>45038562</v>
      </c>
      <c r="C153">
        <v>45037811</v>
      </c>
      <c r="D153">
        <v>22669770</v>
      </c>
      <c r="E153">
        <v>22652947</v>
      </c>
      <c r="F153">
        <v>1</v>
      </c>
      <c r="G153">
        <v>22652947</v>
      </c>
      <c r="H153">
        <v>3</v>
      </c>
      <c r="I153" t="s">
        <v>810</v>
      </c>
      <c r="J153" t="s">
        <v>3</v>
      </c>
      <c r="K153" t="s">
        <v>811</v>
      </c>
      <c r="L153">
        <v>1348</v>
      </c>
      <c r="N153">
        <v>1009</v>
      </c>
      <c r="O153" t="s">
        <v>29</v>
      </c>
      <c r="P153" t="s">
        <v>29</v>
      </c>
      <c r="Q153">
        <v>1000</v>
      </c>
      <c r="X153">
        <v>2.09</v>
      </c>
      <c r="Y153">
        <v>0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 t="s">
        <v>3</v>
      </c>
      <c r="AG153">
        <v>2.09</v>
      </c>
      <c r="AH153">
        <v>3</v>
      </c>
      <c r="AI153">
        <v>-1</v>
      </c>
      <c r="AJ153" t="s">
        <v>3</v>
      </c>
      <c r="AK153">
        <v>0</v>
      </c>
      <c r="AL153">
        <v>0</v>
      </c>
      <c r="AM153">
        <v>0</v>
      </c>
      <c r="AN153">
        <v>0</v>
      </c>
      <c r="AO153">
        <v>0</v>
      </c>
      <c r="AP153">
        <v>0</v>
      </c>
      <c r="AQ153">
        <v>0</v>
      </c>
      <c r="AR153">
        <v>0</v>
      </c>
    </row>
    <row r="154" spans="1:44" x14ac:dyDescent="0.2">
      <c r="A154">
        <f>ROW(Source!A200)</f>
        <v>200</v>
      </c>
      <c r="B154">
        <v>45038563</v>
      </c>
      <c r="C154">
        <v>45037811</v>
      </c>
      <c r="D154">
        <v>22675494</v>
      </c>
      <c r="E154">
        <v>22652947</v>
      </c>
      <c r="F154">
        <v>1</v>
      </c>
      <c r="G154">
        <v>22652947</v>
      </c>
      <c r="H154">
        <v>3</v>
      </c>
      <c r="I154" t="s">
        <v>812</v>
      </c>
      <c r="J154" t="s">
        <v>3</v>
      </c>
      <c r="K154" t="s">
        <v>813</v>
      </c>
      <c r="L154">
        <v>1348</v>
      </c>
      <c r="N154">
        <v>1009</v>
      </c>
      <c r="O154" t="s">
        <v>29</v>
      </c>
      <c r="P154" t="s">
        <v>29</v>
      </c>
      <c r="Q154">
        <v>1000</v>
      </c>
      <c r="X154">
        <v>0.15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 t="s">
        <v>3</v>
      </c>
      <c r="AG154">
        <v>0.15</v>
      </c>
      <c r="AH154">
        <v>3</v>
      </c>
      <c r="AI154">
        <v>-1</v>
      </c>
      <c r="AJ154" t="s">
        <v>3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</row>
    <row r="155" spans="1:44" x14ac:dyDescent="0.2">
      <c r="A155">
        <f>ROW(Source!A207)</f>
        <v>207</v>
      </c>
      <c r="B155">
        <v>45038564</v>
      </c>
      <c r="C155">
        <v>45037824</v>
      </c>
      <c r="D155">
        <v>22652952</v>
      </c>
      <c r="E155">
        <v>22652947</v>
      </c>
      <c r="F155">
        <v>1</v>
      </c>
      <c r="G155">
        <v>22652947</v>
      </c>
      <c r="H155">
        <v>1</v>
      </c>
      <c r="I155" t="s">
        <v>617</v>
      </c>
      <c r="J155" t="s">
        <v>3</v>
      </c>
      <c r="K155" t="s">
        <v>618</v>
      </c>
      <c r="L155">
        <v>1191</v>
      </c>
      <c r="N155">
        <v>1013</v>
      </c>
      <c r="O155" t="s">
        <v>619</v>
      </c>
      <c r="P155" t="s">
        <v>619</v>
      </c>
      <c r="Q155">
        <v>1</v>
      </c>
      <c r="X155">
        <v>179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1</v>
      </c>
      <c r="AE155">
        <v>1</v>
      </c>
      <c r="AF155" t="s">
        <v>37</v>
      </c>
      <c r="AG155">
        <v>205.85</v>
      </c>
      <c r="AH155">
        <v>2</v>
      </c>
      <c r="AI155">
        <v>45037825</v>
      </c>
      <c r="AJ155">
        <v>157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</row>
    <row r="156" spans="1:44" x14ac:dyDescent="0.2">
      <c r="A156">
        <f>ROW(Source!A207)</f>
        <v>207</v>
      </c>
      <c r="B156">
        <v>45038565</v>
      </c>
      <c r="C156">
        <v>45037824</v>
      </c>
      <c r="D156">
        <v>22653672</v>
      </c>
      <c r="E156">
        <v>22652947</v>
      </c>
      <c r="F156">
        <v>1</v>
      </c>
      <c r="G156">
        <v>22652947</v>
      </c>
      <c r="H156">
        <v>2</v>
      </c>
      <c r="I156" t="s">
        <v>630</v>
      </c>
      <c r="J156" t="s">
        <v>3</v>
      </c>
      <c r="K156" t="s">
        <v>631</v>
      </c>
      <c r="L156">
        <v>1344</v>
      </c>
      <c r="N156">
        <v>1008</v>
      </c>
      <c r="O156" t="s">
        <v>632</v>
      </c>
      <c r="P156" t="s">
        <v>632</v>
      </c>
      <c r="Q156">
        <v>1</v>
      </c>
      <c r="X156">
        <v>87.09</v>
      </c>
      <c r="Y156">
        <v>0</v>
      </c>
      <c r="Z156">
        <v>1</v>
      </c>
      <c r="AA156">
        <v>0</v>
      </c>
      <c r="AB156">
        <v>0</v>
      </c>
      <c r="AC156">
        <v>0</v>
      </c>
      <c r="AD156">
        <v>1</v>
      </c>
      <c r="AE156">
        <v>0</v>
      </c>
      <c r="AF156" t="s">
        <v>36</v>
      </c>
      <c r="AG156">
        <v>108.86250000000001</v>
      </c>
      <c r="AH156">
        <v>2</v>
      </c>
      <c r="AI156">
        <v>45037826</v>
      </c>
      <c r="AJ156">
        <v>158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</row>
    <row r="157" spans="1:44" x14ac:dyDescent="0.2">
      <c r="A157">
        <f>ROW(Source!A207)</f>
        <v>207</v>
      </c>
      <c r="B157">
        <v>45038566</v>
      </c>
      <c r="C157">
        <v>45037824</v>
      </c>
      <c r="D157">
        <v>22674561</v>
      </c>
      <c r="E157">
        <v>22652947</v>
      </c>
      <c r="F157">
        <v>1</v>
      </c>
      <c r="G157">
        <v>22652947</v>
      </c>
      <c r="H157">
        <v>3</v>
      </c>
      <c r="I157" t="s">
        <v>814</v>
      </c>
      <c r="J157" t="s">
        <v>3</v>
      </c>
      <c r="K157" t="s">
        <v>274</v>
      </c>
      <c r="L157">
        <v>1339</v>
      </c>
      <c r="N157">
        <v>1007</v>
      </c>
      <c r="O157" t="s">
        <v>80</v>
      </c>
      <c r="P157" t="s">
        <v>80</v>
      </c>
      <c r="Q157">
        <v>1</v>
      </c>
      <c r="X157">
        <v>0.24640000000000001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 t="s">
        <v>3</v>
      </c>
      <c r="AG157">
        <v>0.24640000000000001</v>
      </c>
      <c r="AH157">
        <v>3</v>
      </c>
      <c r="AI157">
        <v>-1</v>
      </c>
      <c r="AJ157" t="s">
        <v>3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</row>
    <row r="158" spans="1:44" x14ac:dyDescent="0.2">
      <c r="A158">
        <f>ROW(Source!A207)</f>
        <v>207</v>
      </c>
      <c r="B158">
        <v>45038567</v>
      </c>
      <c r="C158">
        <v>45037824</v>
      </c>
      <c r="D158">
        <v>22669113</v>
      </c>
      <c r="E158">
        <v>22652947</v>
      </c>
      <c r="F158">
        <v>1</v>
      </c>
      <c r="G158">
        <v>22652947</v>
      </c>
      <c r="H158">
        <v>3</v>
      </c>
      <c r="I158" t="s">
        <v>815</v>
      </c>
      <c r="J158" t="s">
        <v>3</v>
      </c>
      <c r="K158" t="s">
        <v>816</v>
      </c>
      <c r="L158">
        <v>1348</v>
      </c>
      <c r="N158">
        <v>1009</v>
      </c>
      <c r="O158" t="s">
        <v>29</v>
      </c>
      <c r="P158" t="s">
        <v>29</v>
      </c>
      <c r="Q158">
        <v>1000</v>
      </c>
      <c r="X158">
        <v>1.4079999999999999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 t="s">
        <v>3</v>
      </c>
      <c r="AG158">
        <v>1.4079999999999999</v>
      </c>
      <c r="AH158">
        <v>3</v>
      </c>
      <c r="AI158">
        <v>-1</v>
      </c>
      <c r="AJ158" t="s">
        <v>3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</row>
    <row r="159" spans="1:44" x14ac:dyDescent="0.2">
      <c r="A159">
        <f>ROW(Source!A207)</f>
        <v>207</v>
      </c>
      <c r="B159">
        <v>45038568</v>
      </c>
      <c r="C159">
        <v>45037824</v>
      </c>
      <c r="D159">
        <v>22669117</v>
      </c>
      <c r="E159">
        <v>22652947</v>
      </c>
      <c r="F159">
        <v>1</v>
      </c>
      <c r="G159">
        <v>22652947</v>
      </c>
      <c r="H159">
        <v>3</v>
      </c>
      <c r="I159" t="s">
        <v>817</v>
      </c>
      <c r="J159" t="s">
        <v>3</v>
      </c>
      <c r="K159" t="s">
        <v>818</v>
      </c>
      <c r="L159">
        <v>1339</v>
      </c>
      <c r="N159">
        <v>1007</v>
      </c>
      <c r="O159" t="s">
        <v>80</v>
      </c>
      <c r="P159" t="s">
        <v>80</v>
      </c>
      <c r="Q159">
        <v>1</v>
      </c>
      <c r="X159">
        <v>0.08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 t="s">
        <v>3</v>
      </c>
      <c r="AG159">
        <v>0.08</v>
      </c>
      <c r="AH159">
        <v>3</v>
      </c>
      <c r="AI159">
        <v>-1</v>
      </c>
      <c r="AJ159" t="s">
        <v>3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</row>
    <row r="160" spans="1:44" x14ac:dyDescent="0.2">
      <c r="A160">
        <f>ROW(Source!A207)</f>
        <v>207</v>
      </c>
      <c r="B160">
        <v>45038569</v>
      </c>
      <c r="C160">
        <v>45037824</v>
      </c>
      <c r="D160">
        <v>22669979</v>
      </c>
      <c r="E160">
        <v>22652947</v>
      </c>
      <c r="F160">
        <v>1</v>
      </c>
      <c r="G160">
        <v>22652947</v>
      </c>
      <c r="H160">
        <v>3</v>
      </c>
      <c r="I160" t="s">
        <v>817</v>
      </c>
      <c r="J160" t="s">
        <v>3</v>
      </c>
      <c r="K160" t="s">
        <v>819</v>
      </c>
      <c r="L160">
        <v>1339</v>
      </c>
      <c r="N160">
        <v>1007</v>
      </c>
      <c r="O160" t="s">
        <v>80</v>
      </c>
      <c r="P160" t="s">
        <v>80</v>
      </c>
      <c r="Q160">
        <v>1</v>
      </c>
      <c r="X160">
        <v>3.44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 t="s">
        <v>3</v>
      </c>
      <c r="AG160">
        <v>3.44</v>
      </c>
      <c r="AH160">
        <v>3</v>
      </c>
      <c r="AI160">
        <v>-1</v>
      </c>
      <c r="AJ160" t="s">
        <v>3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</row>
    <row r="161" spans="1:44" x14ac:dyDescent="0.2">
      <c r="A161">
        <f>ROW(Source!A207)</f>
        <v>207</v>
      </c>
      <c r="B161">
        <v>45038570</v>
      </c>
      <c r="C161">
        <v>45037824</v>
      </c>
      <c r="D161">
        <v>22674651</v>
      </c>
      <c r="E161">
        <v>22652947</v>
      </c>
      <c r="F161">
        <v>1</v>
      </c>
      <c r="G161">
        <v>22652947</v>
      </c>
      <c r="H161">
        <v>3</v>
      </c>
      <c r="I161" t="s">
        <v>675</v>
      </c>
      <c r="J161" t="s">
        <v>3</v>
      </c>
      <c r="K161" t="s">
        <v>676</v>
      </c>
      <c r="L161">
        <v>1344</v>
      </c>
      <c r="N161">
        <v>1008</v>
      </c>
      <c r="O161" t="s">
        <v>632</v>
      </c>
      <c r="P161" t="s">
        <v>632</v>
      </c>
      <c r="Q161">
        <v>1</v>
      </c>
      <c r="X161">
        <v>0.71</v>
      </c>
      <c r="Y161">
        <v>1</v>
      </c>
      <c r="Z161">
        <v>0</v>
      </c>
      <c r="AA161">
        <v>0</v>
      </c>
      <c r="AB161">
        <v>0</v>
      </c>
      <c r="AC161">
        <v>0</v>
      </c>
      <c r="AD161">
        <v>1</v>
      </c>
      <c r="AE161">
        <v>0</v>
      </c>
      <c r="AF161" t="s">
        <v>3</v>
      </c>
      <c r="AG161">
        <v>0.71</v>
      </c>
      <c r="AH161">
        <v>2</v>
      </c>
      <c r="AI161">
        <v>45037827</v>
      </c>
      <c r="AJ161">
        <v>162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</row>
    <row r="162" spans="1:44" x14ac:dyDescent="0.2">
      <c r="A162">
        <f>ROW(Source!A208)</f>
        <v>208</v>
      </c>
      <c r="B162">
        <v>45038564</v>
      </c>
      <c r="C162">
        <v>45037824</v>
      </c>
      <c r="D162">
        <v>22652952</v>
      </c>
      <c r="E162">
        <v>22652947</v>
      </c>
      <c r="F162">
        <v>1</v>
      </c>
      <c r="G162">
        <v>22652947</v>
      </c>
      <c r="H162">
        <v>1</v>
      </c>
      <c r="I162" t="s">
        <v>617</v>
      </c>
      <c r="J162" t="s">
        <v>3</v>
      </c>
      <c r="K162" t="s">
        <v>618</v>
      </c>
      <c r="L162">
        <v>1191</v>
      </c>
      <c r="N162">
        <v>1013</v>
      </c>
      <c r="O162" t="s">
        <v>619</v>
      </c>
      <c r="P162" t="s">
        <v>619</v>
      </c>
      <c r="Q162">
        <v>1</v>
      </c>
      <c r="X162">
        <v>179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1</v>
      </c>
      <c r="AE162">
        <v>1</v>
      </c>
      <c r="AF162" t="s">
        <v>37</v>
      </c>
      <c r="AG162">
        <v>205.85</v>
      </c>
      <c r="AH162">
        <v>2</v>
      </c>
      <c r="AI162">
        <v>45037825</v>
      </c>
      <c r="AJ162">
        <v>163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</row>
    <row r="163" spans="1:44" x14ac:dyDescent="0.2">
      <c r="A163">
        <f>ROW(Source!A208)</f>
        <v>208</v>
      </c>
      <c r="B163">
        <v>45038565</v>
      </c>
      <c r="C163">
        <v>45037824</v>
      </c>
      <c r="D163">
        <v>22653672</v>
      </c>
      <c r="E163">
        <v>22652947</v>
      </c>
      <c r="F163">
        <v>1</v>
      </c>
      <c r="G163">
        <v>22652947</v>
      </c>
      <c r="H163">
        <v>2</v>
      </c>
      <c r="I163" t="s">
        <v>630</v>
      </c>
      <c r="J163" t="s">
        <v>3</v>
      </c>
      <c r="K163" t="s">
        <v>631</v>
      </c>
      <c r="L163">
        <v>1344</v>
      </c>
      <c r="N163">
        <v>1008</v>
      </c>
      <c r="O163" t="s">
        <v>632</v>
      </c>
      <c r="P163" t="s">
        <v>632</v>
      </c>
      <c r="Q163">
        <v>1</v>
      </c>
      <c r="X163">
        <v>87.09</v>
      </c>
      <c r="Y163">
        <v>0</v>
      </c>
      <c r="Z163">
        <v>1</v>
      </c>
      <c r="AA163">
        <v>0</v>
      </c>
      <c r="AB163">
        <v>0</v>
      </c>
      <c r="AC163">
        <v>0</v>
      </c>
      <c r="AD163">
        <v>1</v>
      </c>
      <c r="AE163">
        <v>0</v>
      </c>
      <c r="AF163" t="s">
        <v>36</v>
      </c>
      <c r="AG163">
        <v>108.86250000000001</v>
      </c>
      <c r="AH163">
        <v>2</v>
      </c>
      <c r="AI163">
        <v>45037826</v>
      </c>
      <c r="AJ163">
        <v>164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</row>
    <row r="164" spans="1:44" x14ac:dyDescent="0.2">
      <c r="A164">
        <f>ROW(Source!A208)</f>
        <v>208</v>
      </c>
      <c r="B164">
        <v>45038566</v>
      </c>
      <c r="C164">
        <v>45037824</v>
      </c>
      <c r="D164">
        <v>22674561</v>
      </c>
      <c r="E164">
        <v>22652947</v>
      </c>
      <c r="F164">
        <v>1</v>
      </c>
      <c r="G164">
        <v>22652947</v>
      </c>
      <c r="H164">
        <v>3</v>
      </c>
      <c r="I164" t="s">
        <v>814</v>
      </c>
      <c r="J164" t="s">
        <v>3</v>
      </c>
      <c r="K164" t="s">
        <v>274</v>
      </c>
      <c r="L164">
        <v>1339</v>
      </c>
      <c r="N164">
        <v>1007</v>
      </c>
      <c r="O164" t="s">
        <v>80</v>
      </c>
      <c r="P164" t="s">
        <v>80</v>
      </c>
      <c r="Q164">
        <v>1</v>
      </c>
      <c r="X164">
        <v>0.24640000000000001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 t="s">
        <v>3</v>
      </c>
      <c r="AG164">
        <v>0.24640000000000001</v>
      </c>
      <c r="AH164">
        <v>3</v>
      </c>
      <c r="AI164">
        <v>-1</v>
      </c>
      <c r="AJ164" t="s">
        <v>3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</row>
    <row r="165" spans="1:44" x14ac:dyDescent="0.2">
      <c r="A165">
        <f>ROW(Source!A208)</f>
        <v>208</v>
      </c>
      <c r="B165">
        <v>45038567</v>
      </c>
      <c r="C165">
        <v>45037824</v>
      </c>
      <c r="D165">
        <v>22669113</v>
      </c>
      <c r="E165">
        <v>22652947</v>
      </c>
      <c r="F165">
        <v>1</v>
      </c>
      <c r="G165">
        <v>22652947</v>
      </c>
      <c r="H165">
        <v>3</v>
      </c>
      <c r="I165" t="s">
        <v>815</v>
      </c>
      <c r="J165" t="s">
        <v>3</v>
      </c>
      <c r="K165" t="s">
        <v>816</v>
      </c>
      <c r="L165">
        <v>1348</v>
      </c>
      <c r="N165">
        <v>1009</v>
      </c>
      <c r="O165" t="s">
        <v>29</v>
      </c>
      <c r="P165" t="s">
        <v>29</v>
      </c>
      <c r="Q165">
        <v>1000</v>
      </c>
      <c r="X165">
        <v>1.4079999999999999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 t="s">
        <v>3</v>
      </c>
      <c r="AG165">
        <v>1.4079999999999999</v>
      </c>
      <c r="AH165">
        <v>3</v>
      </c>
      <c r="AI165">
        <v>-1</v>
      </c>
      <c r="AJ165" t="s">
        <v>3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</row>
    <row r="166" spans="1:44" x14ac:dyDescent="0.2">
      <c r="A166">
        <f>ROW(Source!A208)</f>
        <v>208</v>
      </c>
      <c r="B166">
        <v>45038568</v>
      </c>
      <c r="C166">
        <v>45037824</v>
      </c>
      <c r="D166">
        <v>22669117</v>
      </c>
      <c r="E166">
        <v>22652947</v>
      </c>
      <c r="F166">
        <v>1</v>
      </c>
      <c r="G166">
        <v>22652947</v>
      </c>
      <c r="H166">
        <v>3</v>
      </c>
      <c r="I166" t="s">
        <v>817</v>
      </c>
      <c r="J166" t="s">
        <v>3</v>
      </c>
      <c r="K166" t="s">
        <v>818</v>
      </c>
      <c r="L166">
        <v>1339</v>
      </c>
      <c r="N166">
        <v>1007</v>
      </c>
      <c r="O166" t="s">
        <v>80</v>
      </c>
      <c r="P166" t="s">
        <v>80</v>
      </c>
      <c r="Q166">
        <v>1</v>
      </c>
      <c r="X166">
        <v>0.08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 t="s">
        <v>3</v>
      </c>
      <c r="AG166">
        <v>0.08</v>
      </c>
      <c r="AH166">
        <v>3</v>
      </c>
      <c r="AI166">
        <v>-1</v>
      </c>
      <c r="AJ166" t="s">
        <v>3</v>
      </c>
      <c r="AK166">
        <v>0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0</v>
      </c>
    </row>
    <row r="167" spans="1:44" x14ac:dyDescent="0.2">
      <c r="A167">
        <f>ROW(Source!A208)</f>
        <v>208</v>
      </c>
      <c r="B167">
        <v>45038569</v>
      </c>
      <c r="C167">
        <v>45037824</v>
      </c>
      <c r="D167">
        <v>22669979</v>
      </c>
      <c r="E167">
        <v>22652947</v>
      </c>
      <c r="F167">
        <v>1</v>
      </c>
      <c r="G167">
        <v>22652947</v>
      </c>
      <c r="H167">
        <v>3</v>
      </c>
      <c r="I167" t="s">
        <v>817</v>
      </c>
      <c r="J167" t="s">
        <v>3</v>
      </c>
      <c r="K167" t="s">
        <v>819</v>
      </c>
      <c r="L167">
        <v>1339</v>
      </c>
      <c r="N167">
        <v>1007</v>
      </c>
      <c r="O167" t="s">
        <v>80</v>
      </c>
      <c r="P167" t="s">
        <v>80</v>
      </c>
      <c r="Q167">
        <v>1</v>
      </c>
      <c r="X167">
        <v>3.44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 t="s">
        <v>3</v>
      </c>
      <c r="AG167">
        <v>3.44</v>
      </c>
      <c r="AH167">
        <v>3</v>
      </c>
      <c r="AI167">
        <v>-1</v>
      </c>
      <c r="AJ167" t="s">
        <v>3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</row>
    <row r="168" spans="1:44" x14ac:dyDescent="0.2">
      <c r="A168">
        <f>ROW(Source!A208)</f>
        <v>208</v>
      </c>
      <c r="B168">
        <v>45038570</v>
      </c>
      <c r="C168">
        <v>45037824</v>
      </c>
      <c r="D168">
        <v>22674651</v>
      </c>
      <c r="E168">
        <v>22652947</v>
      </c>
      <c r="F168">
        <v>1</v>
      </c>
      <c r="G168">
        <v>22652947</v>
      </c>
      <c r="H168">
        <v>3</v>
      </c>
      <c r="I168" t="s">
        <v>675</v>
      </c>
      <c r="J168" t="s">
        <v>3</v>
      </c>
      <c r="K168" t="s">
        <v>676</v>
      </c>
      <c r="L168">
        <v>1344</v>
      </c>
      <c r="N168">
        <v>1008</v>
      </c>
      <c r="O168" t="s">
        <v>632</v>
      </c>
      <c r="P168" t="s">
        <v>632</v>
      </c>
      <c r="Q168">
        <v>1</v>
      </c>
      <c r="X168">
        <v>0.71</v>
      </c>
      <c r="Y168">
        <v>1</v>
      </c>
      <c r="Z168">
        <v>0</v>
      </c>
      <c r="AA168">
        <v>0</v>
      </c>
      <c r="AB168">
        <v>0</v>
      </c>
      <c r="AC168">
        <v>0</v>
      </c>
      <c r="AD168">
        <v>1</v>
      </c>
      <c r="AE168">
        <v>0</v>
      </c>
      <c r="AF168" t="s">
        <v>3</v>
      </c>
      <c r="AG168">
        <v>0.71</v>
      </c>
      <c r="AH168">
        <v>2</v>
      </c>
      <c r="AI168">
        <v>45037827</v>
      </c>
      <c r="AJ168">
        <v>168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</row>
    <row r="169" spans="1:44" x14ac:dyDescent="0.2">
      <c r="A169">
        <f>ROW(Source!A215)</f>
        <v>215</v>
      </c>
      <c r="B169">
        <v>45038571</v>
      </c>
      <c r="C169">
        <v>45037841</v>
      </c>
      <c r="D169">
        <v>22652952</v>
      </c>
      <c r="E169">
        <v>22652947</v>
      </c>
      <c r="F169">
        <v>1</v>
      </c>
      <c r="G169">
        <v>22652947</v>
      </c>
      <c r="H169">
        <v>1</v>
      </c>
      <c r="I169" t="s">
        <v>617</v>
      </c>
      <c r="J169" t="s">
        <v>3</v>
      </c>
      <c r="K169" t="s">
        <v>618</v>
      </c>
      <c r="L169">
        <v>1191</v>
      </c>
      <c r="N169">
        <v>1013</v>
      </c>
      <c r="O169" t="s">
        <v>619</v>
      </c>
      <c r="P169" t="s">
        <v>619</v>
      </c>
      <c r="Q169">
        <v>1</v>
      </c>
      <c r="X169">
        <v>39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1</v>
      </c>
      <c r="AE169">
        <v>1</v>
      </c>
      <c r="AF169" t="s">
        <v>37</v>
      </c>
      <c r="AG169">
        <v>44.849999999999994</v>
      </c>
      <c r="AH169">
        <v>2</v>
      </c>
      <c r="AI169">
        <v>45037842</v>
      </c>
      <c r="AJ169">
        <v>169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</row>
    <row r="170" spans="1:44" x14ac:dyDescent="0.2">
      <c r="A170">
        <f>ROW(Source!A215)</f>
        <v>215</v>
      </c>
      <c r="B170">
        <v>45038572</v>
      </c>
      <c r="C170">
        <v>45037841</v>
      </c>
      <c r="D170">
        <v>22653672</v>
      </c>
      <c r="E170">
        <v>22652947</v>
      </c>
      <c r="F170">
        <v>1</v>
      </c>
      <c r="G170">
        <v>22652947</v>
      </c>
      <c r="H170">
        <v>2</v>
      </c>
      <c r="I170" t="s">
        <v>630</v>
      </c>
      <c r="J170" t="s">
        <v>3</v>
      </c>
      <c r="K170" t="s">
        <v>631</v>
      </c>
      <c r="L170">
        <v>1344</v>
      </c>
      <c r="N170">
        <v>1008</v>
      </c>
      <c r="O170" t="s">
        <v>632</v>
      </c>
      <c r="P170" t="s">
        <v>632</v>
      </c>
      <c r="Q170">
        <v>1</v>
      </c>
      <c r="X170">
        <v>29.03</v>
      </c>
      <c r="Y170">
        <v>0</v>
      </c>
      <c r="Z170">
        <v>1</v>
      </c>
      <c r="AA170">
        <v>0</v>
      </c>
      <c r="AB170">
        <v>0</v>
      </c>
      <c r="AC170">
        <v>0</v>
      </c>
      <c r="AD170">
        <v>1</v>
      </c>
      <c r="AE170">
        <v>0</v>
      </c>
      <c r="AF170" t="s">
        <v>36</v>
      </c>
      <c r="AG170">
        <v>36.287500000000001</v>
      </c>
      <c r="AH170">
        <v>2</v>
      </c>
      <c r="AI170">
        <v>45037843</v>
      </c>
      <c r="AJ170">
        <v>170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</row>
    <row r="171" spans="1:44" x14ac:dyDescent="0.2">
      <c r="A171">
        <f>ROW(Source!A215)</f>
        <v>215</v>
      </c>
      <c r="B171">
        <v>45038573</v>
      </c>
      <c r="C171">
        <v>45037841</v>
      </c>
      <c r="D171">
        <v>22670548</v>
      </c>
      <c r="E171">
        <v>22652947</v>
      </c>
      <c r="F171">
        <v>1</v>
      </c>
      <c r="G171">
        <v>22652947</v>
      </c>
      <c r="H171">
        <v>3</v>
      </c>
      <c r="I171" t="s">
        <v>820</v>
      </c>
      <c r="J171" t="s">
        <v>3</v>
      </c>
      <c r="K171" t="s">
        <v>821</v>
      </c>
      <c r="L171">
        <v>1348</v>
      </c>
      <c r="N171">
        <v>1009</v>
      </c>
      <c r="O171" t="s">
        <v>29</v>
      </c>
      <c r="P171" t="s">
        <v>29</v>
      </c>
      <c r="Q171">
        <v>1000</v>
      </c>
      <c r="X171">
        <v>5.0999999999999997E-2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 t="s">
        <v>3</v>
      </c>
      <c r="AG171">
        <v>5.0999999999999997E-2</v>
      </c>
      <c r="AH171">
        <v>3</v>
      </c>
      <c r="AI171">
        <v>-1</v>
      </c>
      <c r="AJ171" t="s">
        <v>3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</row>
    <row r="172" spans="1:44" x14ac:dyDescent="0.2">
      <c r="A172">
        <f>ROW(Source!A215)</f>
        <v>215</v>
      </c>
      <c r="B172">
        <v>45038574</v>
      </c>
      <c r="C172">
        <v>45037841</v>
      </c>
      <c r="D172">
        <v>22666792</v>
      </c>
      <c r="E172">
        <v>22652947</v>
      </c>
      <c r="F172">
        <v>1</v>
      </c>
      <c r="G172">
        <v>22652947</v>
      </c>
      <c r="H172">
        <v>3</v>
      </c>
      <c r="I172" t="s">
        <v>822</v>
      </c>
      <c r="J172" t="s">
        <v>3</v>
      </c>
      <c r="K172" t="s">
        <v>823</v>
      </c>
      <c r="L172">
        <v>1348</v>
      </c>
      <c r="N172">
        <v>1009</v>
      </c>
      <c r="O172" t="s">
        <v>29</v>
      </c>
      <c r="P172" t="s">
        <v>29</v>
      </c>
      <c r="Q172">
        <v>1000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 t="s">
        <v>3</v>
      </c>
      <c r="AG172">
        <v>0</v>
      </c>
      <c r="AH172">
        <v>3</v>
      </c>
      <c r="AI172">
        <v>-1</v>
      </c>
      <c r="AJ172" t="s">
        <v>3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</row>
    <row r="173" spans="1:44" x14ac:dyDescent="0.2">
      <c r="A173">
        <f>ROW(Source!A215)</f>
        <v>215</v>
      </c>
      <c r="B173">
        <v>45038575</v>
      </c>
      <c r="C173">
        <v>45037841</v>
      </c>
      <c r="D173">
        <v>22667295</v>
      </c>
      <c r="E173">
        <v>22652947</v>
      </c>
      <c r="F173">
        <v>1</v>
      </c>
      <c r="G173">
        <v>22652947</v>
      </c>
      <c r="H173">
        <v>3</v>
      </c>
      <c r="I173" t="s">
        <v>824</v>
      </c>
      <c r="J173" t="s">
        <v>3</v>
      </c>
      <c r="K173" t="s">
        <v>825</v>
      </c>
      <c r="L173">
        <v>1348</v>
      </c>
      <c r="N173">
        <v>1009</v>
      </c>
      <c r="O173" t="s">
        <v>29</v>
      </c>
      <c r="P173" t="s">
        <v>29</v>
      </c>
      <c r="Q173">
        <v>1000</v>
      </c>
      <c r="X173">
        <v>6.3E-2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 t="s">
        <v>3</v>
      </c>
      <c r="AG173">
        <v>6.3E-2</v>
      </c>
      <c r="AH173">
        <v>3</v>
      </c>
      <c r="AI173">
        <v>-1</v>
      </c>
      <c r="AJ173" t="s">
        <v>3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</row>
    <row r="174" spans="1:44" x14ac:dyDescent="0.2">
      <c r="A174">
        <f>ROW(Source!A215)</f>
        <v>215</v>
      </c>
      <c r="B174">
        <v>45038576</v>
      </c>
      <c r="C174">
        <v>45037841</v>
      </c>
      <c r="D174">
        <v>22674651</v>
      </c>
      <c r="E174">
        <v>22652947</v>
      </c>
      <c r="F174">
        <v>1</v>
      </c>
      <c r="G174">
        <v>22652947</v>
      </c>
      <c r="H174">
        <v>3</v>
      </c>
      <c r="I174" t="s">
        <v>675</v>
      </c>
      <c r="J174" t="s">
        <v>3</v>
      </c>
      <c r="K174" t="s">
        <v>676</v>
      </c>
      <c r="L174">
        <v>1344</v>
      </c>
      <c r="N174">
        <v>1008</v>
      </c>
      <c r="O174" t="s">
        <v>632</v>
      </c>
      <c r="P174" t="s">
        <v>632</v>
      </c>
      <c r="Q174">
        <v>1</v>
      </c>
      <c r="X174">
        <v>6.09</v>
      </c>
      <c r="Y174">
        <v>1</v>
      </c>
      <c r="Z174">
        <v>0</v>
      </c>
      <c r="AA174">
        <v>0</v>
      </c>
      <c r="AB174">
        <v>0</v>
      </c>
      <c r="AC174">
        <v>0</v>
      </c>
      <c r="AD174">
        <v>1</v>
      </c>
      <c r="AE174">
        <v>0</v>
      </c>
      <c r="AF174" t="s">
        <v>3</v>
      </c>
      <c r="AG174">
        <v>6.09</v>
      </c>
      <c r="AH174">
        <v>2</v>
      </c>
      <c r="AI174">
        <v>45037844</v>
      </c>
      <c r="AJ174">
        <v>173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</row>
    <row r="175" spans="1:44" x14ac:dyDescent="0.2">
      <c r="A175">
        <f>ROW(Source!A216)</f>
        <v>216</v>
      </c>
      <c r="B175">
        <v>45038571</v>
      </c>
      <c r="C175">
        <v>45037841</v>
      </c>
      <c r="D175">
        <v>22652952</v>
      </c>
      <c r="E175">
        <v>22652947</v>
      </c>
      <c r="F175">
        <v>1</v>
      </c>
      <c r="G175">
        <v>22652947</v>
      </c>
      <c r="H175">
        <v>1</v>
      </c>
      <c r="I175" t="s">
        <v>617</v>
      </c>
      <c r="J175" t="s">
        <v>3</v>
      </c>
      <c r="K175" t="s">
        <v>618</v>
      </c>
      <c r="L175">
        <v>1191</v>
      </c>
      <c r="N175">
        <v>1013</v>
      </c>
      <c r="O175" t="s">
        <v>619</v>
      </c>
      <c r="P175" t="s">
        <v>619</v>
      </c>
      <c r="Q175">
        <v>1</v>
      </c>
      <c r="X175">
        <v>39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1</v>
      </c>
      <c r="AE175">
        <v>1</v>
      </c>
      <c r="AF175" t="s">
        <v>37</v>
      </c>
      <c r="AG175">
        <v>44.849999999999994</v>
      </c>
      <c r="AH175">
        <v>2</v>
      </c>
      <c r="AI175">
        <v>45037842</v>
      </c>
      <c r="AJ175">
        <v>174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</row>
    <row r="176" spans="1:44" x14ac:dyDescent="0.2">
      <c r="A176">
        <f>ROW(Source!A216)</f>
        <v>216</v>
      </c>
      <c r="B176">
        <v>45038572</v>
      </c>
      <c r="C176">
        <v>45037841</v>
      </c>
      <c r="D176">
        <v>22653672</v>
      </c>
      <c r="E176">
        <v>22652947</v>
      </c>
      <c r="F176">
        <v>1</v>
      </c>
      <c r="G176">
        <v>22652947</v>
      </c>
      <c r="H176">
        <v>2</v>
      </c>
      <c r="I176" t="s">
        <v>630</v>
      </c>
      <c r="J176" t="s">
        <v>3</v>
      </c>
      <c r="K176" t="s">
        <v>631</v>
      </c>
      <c r="L176">
        <v>1344</v>
      </c>
      <c r="N176">
        <v>1008</v>
      </c>
      <c r="O176" t="s">
        <v>632</v>
      </c>
      <c r="P176" t="s">
        <v>632</v>
      </c>
      <c r="Q176">
        <v>1</v>
      </c>
      <c r="X176">
        <v>29.03</v>
      </c>
      <c r="Y176">
        <v>0</v>
      </c>
      <c r="Z176">
        <v>1</v>
      </c>
      <c r="AA176">
        <v>0</v>
      </c>
      <c r="AB176">
        <v>0</v>
      </c>
      <c r="AC176">
        <v>0</v>
      </c>
      <c r="AD176">
        <v>1</v>
      </c>
      <c r="AE176">
        <v>0</v>
      </c>
      <c r="AF176" t="s">
        <v>36</v>
      </c>
      <c r="AG176">
        <v>36.287500000000001</v>
      </c>
      <c r="AH176">
        <v>2</v>
      </c>
      <c r="AI176">
        <v>45037843</v>
      </c>
      <c r="AJ176">
        <v>175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</row>
    <row r="177" spans="1:44" x14ac:dyDescent="0.2">
      <c r="A177">
        <f>ROW(Source!A216)</f>
        <v>216</v>
      </c>
      <c r="B177">
        <v>45038573</v>
      </c>
      <c r="C177">
        <v>45037841</v>
      </c>
      <c r="D177">
        <v>22670548</v>
      </c>
      <c r="E177">
        <v>22652947</v>
      </c>
      <c r="F177">
        <v>1</v>
      </c>
      <c r="G177">
        <v>22652947</v>
      </c>
      <c r="H177">
        <v>3</v>
      </c>
      <c r="I177" t="s">
        <v>820</v>
      </c>
      <c r="J177" t="s">
        <v>3</v>
      </c>
      <c r="K177" t="s">
        <v>821</v>
      </c>
      <c r="L177">
        <v>1348</v>
      </c>
      <c r="N177">
        <v>1009</v>
      </c>
      <c r="O177" t="s">
        <v>29</v>
      </c>
      <c r="P177" t="s">
        <v>29</v>
      </c>
      <c r="Q177">
        <v>1000</v>
      </c>
      <c r="X177">
        <v>5.0999999999999997E-2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 t="s">
        <v>3</v>
      </c>
      <c r="AG177">
        <v>5.0999999999999997E-2</v>
      </c>
      <c r="AH177">
        <v>3</v>
      </c>
      <c r="AI177">
        <v>-1</v>
      </c>
      <c r="AJ177" t="s">
        <v>3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</row>
    <row r="178" spans="1:44" x14ac:dyDescent="0.2">
      <c r="A178">
        <f>ROW(Source!A216)</f>
        <v>216</v>
      </c>
      <c r="B178">
        <v>45038574</v>
      </c>
      <c r="C178">
        <v>45037841</v>
      </c>
      <c r="D178">
        <v>22666792</v>
      </c>
      <c r="E178">
        <v>22652947</v>
      </c>
      <c r="F178">
        <v>1</v>
      </c>
      <c r="G178">
        <v>22652947</v>
      </c>
      <c r="H178">
        <v>3</v>
      </c>
      <c r="I178" t="s">
        <v>822</v>
      </c>
      <c r="J178" t="s">
        <v>3</v>
      </c>
      <c r="K178" t="s">
        <v>823</v>
      </c>
      <c r="L178">
        <v>1348</v>
      </c>
      <c r="N178">
        <v>1009</v>
      </c>
      <c r="O178" t="s">
        <v>29</v>
      </c>
      <c r="P178" t="s">
        <v>29</v>
      </c>
      <c r="Q178">
        <v>1000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 t="s">
        <v>3</v>
      </c>
      <c r="AG178">
        <v>0</v>
      </c>
      <c r="AH178">
        <v>3</v>
      </c>
      <c r="AI178">
        <v>-1</v>
      </c>
      <c r="AJ178" t="s">
        <v>3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</row>
    <row r="179" spans="1:44" x14ac:dyDescent="0.2">
      <c r="A179">
        <f>ROW(Source!A216)</f>
        <v>216</v>
      </c>
      <c r="B179">
        <v>45038575</v>
      </c>
      <c r="C179">
        <v>45037841</v>
      </c>
      <c r="D179">
        <v>22667295</v>
      </c>
      <c r="E179">
        <v>22652947</v>
      </c>
      <c r="F179">
        <v>1</v>
      </c>
      <c r="G179">
        <v>22652947</v>
      </c>
      <c r="H179">
        <v>3</v>
      </c>
      <c r="I179" t="s">
        <v>824</v>
      </c>
      <c r="J179" t="s">
        <v>3</v>
      </c>
      <c r="K179" t="s">
        <v>825</v>
      </c>
      <c r="L179">
        <v>1348</v>
      </c>
      <c r="N179">
        <v>1009</v>
      </c>
      <c r="O179" t="s">
        <v>29</v>
      </c>
      <c r="P179" t="s">
        <v>29</v>
      </c>
      <c r="Q179">
        <v>1000</v>
      </c>
      <c r="X179">
        <v>6.3E-2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 t="s">
        <v>3</v>
      </c>
      <c r="AG179">
        <v>6.3E-2</v>
      </c>
      <c r="AH179">
        <v>3</v>
      </c>
      <c r="AI179">
        <v>-1</v>
      </c>
      <c r="AJ179" t="s">
        <v>3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</row>
    <row r="180" spans="1:44" x14ac:dyDescent="0.2">
      <c r="A180">
        <f>ROW(Source!A216)</f>
        <v>216</v>
      </c>
      <c r="B180">
        <v>45038576</v>
      </c>
      <c r="C180">
        <v>45037841</v>
      </c>
      <c r="D180">
        <v>22674651</v>
      </c>
      <c r="E180">
        <v>22652947</v>
      </c>
      <c r="F180">
        <v>1</v>
      </c>
      <c r="G180">
        <v>22652947</v>
      </c>
      <c r="H180">
        <v>3</v>
      </c>
      <c r="I180" t="s">
        <v>675</v>
      </c>
      <c r="J180" t="s">
        <v>3</v>
      </c>
      <c r="K180" t="s">
        <v>676</v>
      </c>
      <c r="L180">
        <v>1344</v>
      </c>
      <c r="N180">
        <v>1008</v>
      </c>
      <c r="O180" t="s">
        <v>632</v>
      </c>
      <c r="P180" t="s">
        <v>632</v>
      </c>
      <c r="Q180">
        <v>1</v>
      </c>
      <c r="X180">
        <v>6.09</v>
      </c>
      <c r="Y180">
        <v>1</v>
      </c>
      <c r="Z180">
        <v>0</v>
      </c>
      <c r="AA180">
        <v>0</v>
      </c>
      <c r="AB180">
        <v>0</v>
      </c>
      <c r="AC180">
        <v>0</v>
      </c>
      <c r="AD180">
        <v>1</v>
      </c>
      <c r="AE180">
        <v>0</v>
      </c>
      <c r="AF180" t="s">
        <v>3</v>
      </c>
      <c r="AG180">
        <v>6.09</v>
      </c>
      <c r="AH180">
        <v>2</v>
      </c>
      <c r="AI180">
        <v>45037844</v>
      </c>
      <c r="AJ180">
        <v>178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</row>
    <row r="181" spans="1:44" x14ac:dyDescent="0.2">
      <c r="A181">
        <f>ROW(Source!A221)</f>
        <v>221</v>
      </c>
      <c r="B181">
        <v>45038577</v>
      </c>
      <c r="C181">
        <v>45037855</v>
      </c>
      <c r="D181">
        <v>22652952</v>
      </c>
      <c r="E181">
        <v>22652947</v>
      </c>
      <c r="F181">
        <v>1</v>
      </c>
      <c r="G181">
        <v>22652947</v>
      </c>
      <c r="H181">
        <v>1</v>
      </c>
      <c r="I181" t="s">
        <v>617</v>
      </c>
      <c r="J181" t="s">
        <v>3</v>
      </c>
      <c r="K181" t="s">
        <v>618</v>
      </c>
      <c r="L181">
        <v>1191</v>
      </c>
      <c r="N181">
        <v>1013</v>
      </c>
      <c r="O181" t="s">
        <v>619</v>
      </c>
      <c r="P181" t="s">
        <v>619</v>
      </c>
      <c r="Q181">
        <v>1</v>
      </c>
      <c r="X181">
        <v>82.1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1</v>
      </c>
      <c r="AE181">
        <v>1</v>
      </c>
      <c r="AF181" t="s">
        <v>37</v>
      </c>
      <c r="AG181">
        <v>94.414999999999992</v>
      </c>
      <c r="AH181">
        <v>2</v>
      </c>
      <c r="AI181">
        <v>45037856</v>
      </c>
      <c r="AJ181">
        <v>179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</row>
    <row r="182" spans="1:44" x14ac:dyDescent="0.2">
      <c r="A182">
        <f>ROW(Source!A221)</f>
        <v>221</v>
      </c>
      <c r="B182">
        <v>45038578</v>
      </c>
      <c r="C182">
        <v>45037855</v>
      </c>
      <c r="D182">
        <v>22725583</v>
      </c>
      <c r="E182">
        <v>1</v>
      </c>
      <c r="F182">
        <v>1</v>
      </c>
      <c r="G182">
        <v>22652947</v>
      </c>
      <c r="H182">
        <v>2</v>
      </c>
      <c r="I182" t="s">
        <v>669</v>
      </c>
      <c r="J182" t="s">
        <v>670</v>
      </c>
      <c r="K182" t="s">
        <v>671</v>
      </c>
      <c r="L182">
        <v>1367</v>
      </c>
      <c r="N182">
        <v>1011</v>
      </c>
      <c r="O182" t="s">
        <v>623</v>
      </c>
      <c r="P182" t="s">
        <v>623</v>
      </c>
      <c r="Q182">
        <v>1</v>
      </c>
      <c r="X182">
        <v>0.06</v>
      </c>
      <c r="Y182">
        <v>0</v>
      </c>
      <c r="Z182">
        <v>6.39</v>
      </c>
      <c r="AA182">
        <v>0.32</v>
      </c>
      <c r="AB182">
        <v>0</v>
      </c>
      <c r="AC182">
        <v>0</v>
      </c>
      <c r="AD182">
        <v>1</v>
      </c>
      <c r="AE182">
        <v>0</v>
      </c>
      <c r="AF182" t="s">
        <v>36</v>
      </c>
      <c r="AG182">
        <v>7.4999999999999997E-2</v>
      </c>
      <c r="AH182">
        <v>2</v>
      </c>
      <c r="AI182">
        <v>45037857</v>
      </c>
      <c r="AJ182">
        <v>180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</row>
    <row r="183" spans="1:44" x14ac:dyDescent="0.2">
      <c r="A183">
        <f>ROW(Source!A221)</f>
        <v>221</v>
      </c>
      <c r="B183">
        <v>45038579</v>
      </c>
      <c r="C183">
        <v>45037855</v>
      </c>
      <c r="D183">
        <v>22725932</v>
      </c>
      <c r="E183">
        <v>1</v>
      </c>
      <c r="F183">
        <v>1</v>
      </c>
      <c r="G183">
        <v>22652947</v>
      </c>
      <c r="H183">
        <v>2</v>
      </c>
      <c r="I183" t="s">
        <v>672</v>
      </c>
      <c r="J183" t="s">
        <v>673</v>
      </c>
      <c r="K183" t="s">
        <v>674</v>
      </c>
      <c r="L183">
        <v>1367</v>
      </c>
      <c r="N183">
        <v>1011</v>
      </c>
      <c r="O183" t="s">
        <v>623</v>
      </c>
      <c r="P183" t="s">
        <v>623</v>
      </c>
      <c r="Q183">
        <v>1</v>
      </c>
      <c r="X183">
        <v>0.76</v>
      </c>
      <c r="Y183">
        <v>0</v>
      </c>
      <c r="Z183">
        <v>2.58</v>
      </c>
      <c r="AA183">
        <v>0.04</v>
      </c>
      <c r="AB183">
        <v>0</v>
      </c>
      <c r="AC183">
        <v>0</v>
      </c>
      <c r="AD183">
        <v>1</v>
      </c>
      <c r="AE183">
        <v>0</v>
      </c>
      <c r="AF183" t="s">
        <v>36</v>
      </c>
      <c r="AG183">
        <v>0.95</v>
      </c>
      <c r="AH183">
        <v>2</v>
      </c>
      <c r="AI183">
        <v>45037858</v>
      </c>
      <c r="AJ183">
        <v>181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</row>
    <row r="184" spans="1:44" x14ac:dyDescent="0.2">
      <c r="A184">
        <f>ROW(Source!A221)</f>
        <v>221</v>
      </c>
      <c r="B184">
        <v>45038580</v>
      </c>
      <c r="C184">
        <v>45037855</v>
      </c>
      <c r="D184">
        <v>22653672</v>
      </c>
      <c r="E184">
        <v>22652947</v>
      </c>
      <c r="F184">
        <v>1</v>
      </c>
      <c r="G184">
        <v>22652947</v>
      </c>
      <c r="H184">
        <v>2</v>
      </c>
      <c r="I184" t="s">
        <v>630</v>
      </c>
      <c r="J184" t="s">
        <v>3</v>
      </c>
      <c r="K184" t="s">
        <v>631</v>
      </c>
      <c r="L184">
        <v>1344</v>
      </c>
      <c r="N184">
        <v>1008</v>
      </c>
      <c r="O184" t="s">
        <v>632</v>
      </c>
      <c r="P184" t="s">
        <v>632</v>
      </c>
      <c r="Q184">
        <v>1</v>
      </c>
      <c r="X184">
        <v>232.25</v>
      </c>
      <c r="Y184">
        <v>0</v>
      </c>
      <c r="Z184">
        <v>1</v>
      </c>
      <c r="AA184">
        <v>0</v>
      </c>
      <c r="AB184">
        <v>0</v>
      </c>
      <c r="AC184">
        <v>0</v>
      </c>
      <c r="AD184">
        <v>1</v>
      </c>
      <c r="AE184">
        <v>0</v>
      </c>
      <c r="AF184" t="s">
        <v>36</v>
      </c>
      <c r="AG184">
        <v>290.3125</v>
      </c>
      <c r="AH184">
        <v>2</v>
      </c>
      <c r="AI184">
        <v>45037859</v>
      </c>
      <c r="AJ184">
        <v>182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</row>
    <row r="185" spans="1:44" x14ac:dyDescent="0.2">
      <c r="A185">
        <f>ROW(Source!A221)</f>
        <v>221</v>
      </c>
      <c r="B185">
        <v>45038581</v>
      </c>
      <c r="C185">
        <v>45037855</v>
      </c>
      <c r="D185">
        <v>22702279</v>
      </c>
      <c r="E185">
        <v>1</v>
      </c>
      <c r="F185">
        <v>1</v>
      </c>
      <c r="G185">
        <v>22652947</v>
      </c>
      <c r="H185">
        <v>3</v>
      </c>
      <c r="I185" t="s">
        <v>666</v>
      </c>
      <c r="J185" t="s">
        <v>667</v>
      </c>
      <c r="K185" t="s">
        <v>668</v>
      </c>
      <c r="L185">
        <v>1348</v>
      </c>
      <c r="N185">
        <v>1009</v>
      </c>
      <c r="O185" t="s">
        <v>29</v>
      </c>
      <c r="P185" t="s">
        <v>29</v>
      </c>
      <c r="Q185">
        <v>1000</v>
      </c>
      <c r="X185">
        <v>6.9999999999999999E-4</v>
      </c>
      <c r="Y185">
        <v>7191.81</v>
      </c>
      <c r="Z185">
        <v>0</v>
      </c>
      <c r="AA185">
        <v>0</v>
      </c>
      <c r="AB185">
        <v>0</v>
      </c>
      <c r="AC185">
        <v>0</v>
      </c>
      <c r="AD185">
        <v>1</v>
      </c>
      <c r="AE185">
        <v>0</v>
      </c>
      <c r="AF185" t="s">
        <v>3</v>
      </c>
      <c r="AG185">
        <v>6.9999999999999999E-4</v>
      </c>
      <c r="AH185">
        <v>2</v>
      </c>
      <c r="AI185">
        <v>45037860</v>
      </c>
      <c r="AJ185">
        <v>183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</row>
    <row r="186" spans="1:44" x14ac:dyDescent="0.2">
      <c r="A186">
        <f>ROW(Source!A221)</f>
        <v>221</v>
      </c>
      <c r="B186">
        <v>45038582</v>
      </c>
      <c r="C186">
        <v>45037855</v>
      </c>
      <c r="D186">
        <v>22669278</v>
      </c>
      <c r="E186">
        <v>22652947</v>
      </c>
      <c r="F186">
        <v>1</v>
      </c>
      <c r="G186">
        <v>22652947</v>
      </c>
      <c r="H186">
        <v>3</v>
      </c>
      <c r="I186" t="s">
        <v>795</v>
      </c>
      <c r="J186" t="s">
        <v>3</v>
      </c>
      <c r="K186" t="s">
        <v>796</v>
      </c>
      <c r="L186">
        <v>1348</v>
      </c>
      <c r="N186">
        <v>1009</v>
      </c>
      <c r="O186" t="s">
        <v>29</v>
      </c>
      <c r="P186" t="s">
        <v>29</v>
      </c>
      <c r="Q186">
        <v>1000</v>
      </c>
      <c r="X186">
        <v>1</v>
      </c>
      <c r="Y186">
        <v>0</v>
      </c>
      <c r="Z186">
        <v>0</v>
      </c>
      <c r="AA186">
        <v>0</v>
      </c>
      <c r="AB186">
        <v>0</v>
      </c>
      <c r="AC186">
        <v>0</v>
      </c>
      <c r="AD186">
        <v>0</v>
      </c>
      <c r="AE186">
        <v>0</v>
      </c>
      <c r="AF186" t="s">
        <v>3</v>
      </c>
      <c r="AG186">
        <v>1</v>
      </c>
      <c r="AH186">
        <v>3</v>
      </c>
      <c r="AI186">
        <v>-1</v>
      </c>
      <c r="AJ186" t="s">
        <v>3</v>
      </c>
      <c r="AK186">
        <v>0</v>
      </c>
      <c r="AL186">
        <v>0</v>
      </c>
      <c r="AM186">
        <v>0</v>
      </c>
      <c r="AN186">
        <v>0</v>
      </c>
      <c r="AO186">
        <v>0</v>
      </c>
      <c r="AP186">
        <v>0</v>
      </c>
      <c r="AQ186">
        <v>0</v>
      </c>
      <c r="AR186">
        <v>0</v>
      </c>
    </row>
    <row r="187" spans="1:44" x14ac:dyDescent="0.2">
      <c r="A187">
        <f>ROW(Source!A221)</f>
        <v>221</v>
      </c>
      <c r="B187">
        <v>45038583</v>
      </c>
      <c r="C187">
        <v>45037855</v>
      </c>
      <c r="D187">
        <v>22674651</v>
      </c>
      <c r="E187">
        <v>22652947</v>
      </c>
      <c r="F187">
        <v>1</v>
      </c>
      <c r="G187">
        <v>22652947</v>
      </c>
      <c r="H187">
        <v>3</v>
      </c>
      <c r="I187" t="s">
        <v>675</v>
      </c>
      <c r="J187" t="s">
        <v>3</v>
      </c>
      <c r="K187" t="s">
        <v>676</v>
      </c>
      <c r="L187">
        <v>1344</v>
      </c>
      <c r="N187">
        <v>1008</v>
      </c>
      <c r="O187" t="s">
        <v>632</v>
      </c>
      <c r="P187" t="s">
        <v>632</v>
      </c>
      <c r="Q187">
        <v>1</v>
      </c>
      <c r="X187">
        <v>39.479999999999997</v>
      </c>
      <c r="Y187">
        <v>1</v>
      </c>
      <c r="Z187">
        <v>0</v>
      </c>
      <c r="AA187">
        <v>0</v>
      </c>
      <c r="AB187">
        <v>0</v>
      </c>
      <c r="AC187">
        <v>0</v>
      </c>
      <c r="AD187">
        <v>1</v>
      </c>
      <c r="AE187">
        <v>0</v>
      </c>
      <c r="AF187" t="s">
        <v>3</v>
      </c>
      <c r="AG187">
        <v>39.479999999999997</v>
      </c>
      <c r="AH187">
        <v>2</v>
      </c>
      <c r="AI187">
        <v>45037861</v>
      </c>
      <c r="AJ187">
        <v>186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</row>
    <row r="188" spans="1:44" x14ac:dyDescent="0.2">
      <c r="A188">
        <f>ROW(Source!A222)</f>
        <v>222</v>
      </c>
      <c r="B188">
        <v>45038577</v>
      </c>
      <c r="C188">
        <v>45037855</v>
      </c>
      <c r="D188">
        <v>22652952</v>
      </c>
      <c r="E188">
        <v>22652947</v>
      </c>
      <c r="F188">
        <v>1</v>
      </c>
      <c r="G188">
        <v>22652947</v>
      </c>
      <c r="H188">
        <v>1</v>
      </c>
      <c r="I188" t="s">
        <v>617</v>
      </c>
      <c r="J188" t="s">
        <v>3</v>
      </c>
      <c r="K188" t="s">
        <v>618</v>
      </c>
      <c r="L188">
        <v>1191</v>
      </c>
      <c r="N188">
        <v>1013</v>
      </c>
      <c r="O188" t="s">
        <v>619</v>
      </c>
      <c r="P188" t="s">
        <v>619</v>
      </c>
      <c r="Q188">
        <v>1</v>
      </c>
      <c r="X188">
        <v>82.1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1</v>
      </c>
      <c r="AE188">
        <v>1</v>
      </c>
      <c r="AF188" t="s">
        <v>37</v>
      </c>
      <c r="AG188">
        <v>94.414999999999992</v>
      </c>
      <c r="AH188">
        <v>2</v>
      </c>
      <c r="AI188">
        <v>45037856</v>
      </c>
      <c r="AJ188">
        <v>187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</row>
    <row r="189" spans="1:44" x14ac:dyDescent="0.2">
      <c r="A189">
        <f>ROW(Source!A222)</f>
        <v>222</v>
      </c>
      <c r="B189">
        <v>45038578</v>
      </c>
      <c r="C189">
        <v>45037855</v>
      </c>
      <c r="D189">
        <v>22725583</v>
      </c>
      <c r="E189">
        <v>1</v>
      </c>
      <c r="F189">
        <v>1</v>
      </c>
      <c r="G189">
        <v>22652947</v>
      </c>
      <c r="H189">
        <v>2</v>
      </c>
      <c r="I189" t="s">
        <v>669</v>
      </c>
      <c r="J189" t="s">
        <v>670</v>
      </c>
      <c r="K189" t="s">
        <v>671</v>
      </c>
      <c r="L189">
        <v>1367</v>
      </c>
      <c r="N189">
        <v>1011</v>
      </c>
      <c r="O189" t="s">
        <v>623</v>
      </c>
      <c r="P189" t="s">
        <v>623</v>
      </c>
      <c r="Q189">
        <v>1</v>
      </c>
      <c r="X189">
        <v>0.06</v>
      </c>
      <c r="Y189">
        <v>0</v>
      </c>
      <c r="Z189">
        <v>6.39</v>
      </c>
      <c r="AA189">
        <v>0.32</v>
      </c>
      <c r="AB189">
        <v>0</v>
      </c>
      <c r="AC189">
        <v>0</v>
      </c>
      <c r="AD189">
        <v>1</v>
      </c>
      <c r="AE189">
        <v>0</v>
      </c>
      <c r="AF189" t="s">
        <v>36</v>
      </c>
      <c r="AG189">
        <v>7.4999999999999997E-2</v>
      </c>
      <c r="AH189">
        <v>2</v>
      </c>
      <c r="AI189">
        <v>45037857</v>
      </c>
      <c r="AJ189">
        <v>188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</row>
    <row r="190" spans="1:44" x14ac:dyDescent="0.2">
      <c r="A190">
        <f>ROW(Source!A222)</f>
        <v>222</v>
      </c>
      <c r="B190">
        <v>45038579</v>
      </c>
      <c r="C190">
        <v>45037855</v>
      </c>
      <c r="D190">
        <v>22725932</v>
      </c>
      <c r="E190">
        <v>1</v>
      </c>
      <c r="F190">
        <v>1</v>
      </c>
      <c r="G190">
        <v>22652947</v>
      </c>
      <c r="H190">
        <v>2</v>
      </c>
      <c r="I190" t="s">
        <v>672</v>
      </c>
      <c r="J190" t="s">
        <v>673</v>
      </c>
      <c r="K190" t="s">
        <v>674</v>
      </c>
      <c r="L190">
        <v>1367</v>
      </c>
      <c r="N190">
        <v>1011</v>
      </c>
      <c r="O190" t="s">
        <v>623</v>
      </c>
      <c r="P190" t="s">
        <v>623</v>
      </c>
      <c r="Q190">
        <v>1</v>
      </c>
      <c r="X190">
        <v>0.76</v>
      </c>
      <c r="Y190">
        <v>0</v>
      </c>
      <c r="Z190">
        <v>2.58</v>
      </c>
      <c r="AA190">
        <v>0.04</v>
      </c>
      <c r="AB190">
        <v>0</v>
      </c>
      <c r="AC190">
        <v>0</v>
      </c>
      <c r="AD190">
        <v>1</v>
      </c>
      <c r="AE190">
        <v>0</v>
      </c>
      <c r="AF190" t="s">
        <v>36</v>
      </c>
      <c r="AG190">
        <v>0.95</v>
      </c>
      <c r="AH190">
        <v>2</v>
      </c>
      <c r="AI190">
        <v>45037858</v>
      </c>
      <c r="AJ190">
        <v>189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0</v>
      </c>
      <c r="AQ190">
        <v>0</v>
      </c>
      <c r="AR190">
        <v>0</v>
      </c>
    </row>
    <row r="191" spans="1:44" x14ac:dyDescent="0.2">
      <c r="A191">
        <f>ROW(Source!A222)</f>
        <v>222</v>
      </c>
      <c r="B191">
        <v>45038580</v>
      </c>
      <c r="C191">
        <v>45037855</v>
      </c>
      <c r="D191">
        <v>22653672</v>
      </c>
      <c r="E191">
        <v>22652947</v>
      </c>
      <c r="F191">
        <v>1</v>
      </c>
      <c r="G191">
        <v>22652947</v>
      </c>
      <c r="H191">
        <v>2</v>
      </c>
      <c r="I191" t="s">
        <v>630</v>
      </c>
      <c r="J191" t="s">
        <v>3</v>
      </c>
      <c r="K191" t="s">
        <v>631</v>
      </c>
      <c r="L191">
        <v>1344</v>
      </c>
      <c r="N191">
        <v>1008</v>
      </c>
      <c r="O191" t="s">
        <v>632</v>
      </c>
      <c r="P191" t="s">
        <v>632</v>
      </c>
      <c r="Q191">
        <v>1</v>
      </c>
      <c r="X191">
        <v>232.25</v>
      </c>
      <c r="Y191">
        <v>0</v>
      </c>
      <c r="Z191">
        <v>1</v>
      </c>
      <c r="AA191">
        <v>0</v>
      </c>
      <c r="AB191">
        <v>0</v>
      </c>
      <c r="AC191">
        <v>0</v>
      </c>
      <c r="AD191">
        <v>1</v>
      </c>
      <c r="AE191">
        <v>0</v>
      </c>
      <c r="AF191" t="s">
        <v>36</v>
      </c>
      <c r="AG191">
        <v>290.3125</v>
      </c>
      <c r="AH191">
        <v>2</v>
      </c>
      <c r="AI191">
        <v>45037859</v>
      </c>
      <c r="AJ191">
        <v>190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</row>
    <row r="192" spans="1:44" x14ac:dyDescent="0.2">
      <c r="A192">
        <f>ROW(Source!A222)</f>
        <v>222</v>
      </c>
      <c r="B192">
        <v>45038581</v>
      </c>
      <c r="C192">
        <v>45037855</v>
      </c>
      <c r="D192">
        <v>22702279</v>
      </c>
      <c r="E192">
        <v>1</v>
      </c>
      <c r="F192">
        <v>1</v>
      </c>
      <c r="G192">
        <v>22652947</v>
      </c>
      <c r="H192">
        <v>3</v>
      </c>
      <c r="I192" t="s">
        <v>666</v>
      </c>
      <c r="J192" t="s">
        <v>667</v>
      </c>
      <c r="K192" t="s">
        <v>668</v>
      </c>
      <c r="L192">
        <v>1348</v>
      </c>
      <c r="N192">
        <v>1009</v>
      </c>
      <c r="O192" t="s">
        <v>29</v>
      </c>
      <c r="P192" t="s">
        <v>29</v>
      </c>
      <c r="Q192">
        <v>1000</v>
      </c>
      <c r="X192">
        <v>6.9999999999999999E-4</v>
      </c>
      <c r="Y192">
        <v>7191.81</v>
      </c>
      <c r="Z192">
        <v>0</v>
      </c>
      <c r="AA192">
        <v>0</v>
      </c>
      <c r="AB192">
        <v>0</v>
      </c>
      <c r="AC192">
        <v>0</v>
      </c>
      <c r="AD192">
        <v>1</v>
      </c>
      <c r="AE192">
        <v>0</v>
      </c>
      <c r="AF192" t="s">
        <v>3</v>
      </c>
      <c r="AG192">
        <v>6.9999999999999999E-4</v>
      </c>
      <c r="AH192">
        <v>2</v>
      </c>
      <c r="AI192">
        <v>45037860</v>
      </c>
      <c r="AJ192">
        <v>191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</row>
    <row r="193" spans="1:44" x14ac:dyDescent="0.2">
      <c r="A193">
        <f>ROW(Source!A222)</f>
        <v>222</v>
      </c>
      <c r="B193">
        <v>45038582</v>
      </c>
      <c r="C193">
        <v>45037855</v>
      </c>
      <c r="D193">
        <v>22669278</v>
      </c>
      <c r="E193">
        <v>22652947</v>
      </c>
      <c r="F193">
        <v>1</v>
      </c>
      <c r="G193">
        <v>22652947</v>
      </c>
      <c r="H193">
        <v>3</v>
      </c>
      <c r="I193" t="s">
        <v>795</v>
      </c>
      <c r="J193" t="s">
        <v>3</v>
      </c>
      <c r="K193" t="s">
        <v>796</v>
      </c>
      <c r="L193">
        <v>1348</v>
      </c>
      <c r="N193">
        <v>1009</v>
      </c>
      <c r="O193" t="s">
        <v>29</v>
      </c>
      <c r="P193" t="s">
        <v>29</v>
      </c>
      <c r="Q193">
        <v>1000</v>
      </c>
      <c r="X193">
        <v>1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 t="s">
        <v>3</v>
      </c>
      <c r="AG193">
        <v>1</v>
      </c>
      <c r="AH193">
        <v>3</v>
      </c>
      <c r="AI193">
        <v>-1</v>
      </c>
      <c r="AJ193" t="s">
        <v>3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</row>
    <row r="194" spans="1:44" x14ac:dyDescent="0.2">
      <c r="A194">
        <f>ROW(Source!A222)</f>
        <v>222</v>
      </c>
      <c r="B194">
        <v>45038583</v>
      </c>
      <c r="C194">
        <v>45037855</v>
      </c>
      <c r="D194">
        <v>22674651</v>
      </c>
      <c r="E194">
        <v>22652947</v>
      </c>
      <c r="F194">
        <v>1</v>
      </c>
      <c r="G194">
        <v>22652947</v>
      </c>
      <c r="H194">
        <v>3</v>
      </c>
      <c r="I194" t="s">
        <v>675</v>
      </c>
      <c r="J194" t="s">
        <v>3</v>
      </c>
      <c r="K194" t="s">
        <v>676</v>
      </c>
      <c r="L194">
        <v>1344</v>
      </c>
      <c r="N194">
        <v>1008</v>
      </c>
      <c r="O194" t="s">
        <v>632</v>
      </c>
      <c r="P194" t="s">
        <v>632</v>
      </c>
      <c r="Q194">
        <v>1</v>
      </c>
      <c r="X194">
        <v>39.479999999999997</v>
      </c>
      <c r="Y194">
        <v>1</v>
      </c>
      <c r="Z194">
        <v>0</v>
      </c>
      <c r="AA194">
        <v>0</v>
      </c>
      <c r="AB194">
        <v>0</v>
      </c>
      <c r="AC194">
        <v>0</v>
      </c>
      <c r="AD194">
        <v>1</v>
      </c>
      <c r="AE194">
        <v>0</v>
      </c>
      <c r="AF194" t="s">
        <v>3</v>
      </c>
      <c r="AG194">
        <v>39.479999999999997</v>
      </c>
      <c r="AH194">
        <v>2</v>
      </c>
      <c r="AI194">
        <v>45037861</v>
      </c>
      <c r="AJ194">
        <v>194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</row>
    <row r="195" spans="1:44" x14ac:dyDescent="0.2">
      <c r="A195">
        <f>ROW(Source!A227)</f>
        <v>227</v>
      </c>
      <c r="B195">
        <v>45038584</v>
      </c>
      <c r="C195">
        <v>45037873</v>
      </c>
      <c r="D195">
        <v>22652952</v>
      </c>
      <c r="E195">
        <v>22652947</v>
      </c>
      <c r="F195">
        <v>1</v>
      </c>
      <c r="G195">
        <v>22652947</v>
      </c>
      <c r="H195">
        <v>1</v>
      </c>
      <c r="I195" t="s">
        <v>617</v>
      </c>
      <c r="J195" t="s">
        <v>3</v>
      </c>
      <c r="K195" t="s">
        <v>618</v>
      </c>
      <c r="L195">
        <v>1191</v>
      </c>
      <c r="N195">
        <v>1013</v>
      </c>
      <c r="O195" t="s">
        <v>619</v>
      </c>
      <c r="P195" t="s">
        <v>619</v>
      </c>
      <c r="Q195">
        <v>1</v>
      </c>
      <c r="X195">
        <v>56.18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1</v>
      </c>
      <c r="AE195">
        <v>1</v>
      </c>
      <c r="AF195" t="s">
        <v>37</v>
      </c>
      <c r="AG195">
        <v>64.606999999999999</v>
      </c>
      <c r="AH195">
        <v>2</v>
      </c>
      <c r="AI195">
        <v>45037874</v>
      </c>
      <c r="AJ195">
        <v>195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</row>
    <row r="196" spans="1:44" x14ac:dyDescent="0.2">
      <c r="A196">
        <f>ROW(Source!A227)</f>
        <v>227</v>
      </c>
      <c r="B196">
        <v>45038585</v>
      </c>
      <c r="C196">
        <v>45037873</v>
      </c>
      <c r="D196">
        <v>22725860</v>
      </c>
      <c r="E196">
        <v>1</v>
      </c>
      <c r="F196">
        <v>1</v>
      </c>
      <c r="G196">
        <v>22652947</v>
      </c>
      <c r="H196">
        <v>2</v>
      </c>
      <c r="I196" t="s">
        <v>660</v>
      </c>
      <c r="J196" t="s">
        <v>661</v>
      </c>
      <c r="K196" t="s">
        <v>662</v>
      </c>
      <c r="L196">
        <v>1367</v>
      </c>
      <c r="N196">
        <v>1011</v>
      </c>
      <c r="O196" t="s">
        <v>623</v>
      </c>
      <c r="P196" t="s">
        <v>623</v>
      </c>
      <c r="Q196">
        <v>1</v>
      </c>
      <c r="X196">
        <v>0.19</v>
      </c>
      <c r="Y196">
        <v>0</v>
      </c>
      <c r="Z196">
        <v>76.81</v>
      </c>
      <c r="AA196">
        <v>14.36</v>
      </c>
      <c r="AB196">
        <v>0</v>
      </c>
      <c r="AC196">
        <v>0</v>
      </c>
      <c r="AD196">
        <v>1</v>
      </c>
      <c r="AE196">
        <v>0</v>
      </c>
      <c r="AF196" t="s">
        <v>36</v>
      </c>
      <c r="AG196">
        <v>0.23749999999999999</v>
      </c>
      <c r="AH196">
        <v>2</v>
      </c>
      <c r="AI196">
        <v>45037875</v>
      </c>
      <c r="AJ196">
        <v>196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</row>
    <row r="197" spans="1:44" x14ac:dyDescent="0.2">
      <c r="A197">
        <f>ROW(Source!A227)</f>
        <v>227</v>
      </c>
      <c r="B197">
        <v>45038586</v>
      </c>
      <c r="C197">
        <v>45037873</v>
      </c>
      <c r="D197">
        <v>22725983</v>
      </c>
      <c r="E197">
        <v>1</v>
      </c>
      <c r="F197">
        <v>1</v>
      </c>
      <c r="G197">
        <v>22652947</v>
      </c>
      <c r="H197">
        <v>2</v>
      </c>
      <c r="I197" t="s">
        <v>695</v>
      </c>
      <c r="J197" t="s">
        <v>696</v>
      </c>
      <c r="K197" t="s">
        <v>697</v>
      </c>
      <c r="L197">
        <v>1367</v>
      </c>
      <c r="N197">
        <v>1011</v>
      </c>
      <c r="O197" t="s">
        <v>623</v>
      </c>
      <c r="P197" t="s">
        <v>623</v>
      </c>
      <c r="Q197">
        <v>1</v>
      </c>
      <c r="X197">
        <v>3.6</v>
      </c>
      <c r="Y197">
        <v>0</v>
      </c>
      <c r="Z197">
        <v>2.36</v>
      </c>
      <c r="AA197">
        <v>0.04</v>
      </c>
      <c r="AB197">
        <v>0</v>
      </c>
      <c r="AC197">
        <v>0</v>
      </c>
      <c r="AD197">
        <v>1</v>
      </c>
      <c r="AE197">
        <v>0</v>
      </c>
      <c r="AF197" t="s">
        <v>36</v>
      </c>
      <c r="AG197">
        <v>4.5</v>
      </c>
      <c r="AH197">
        <v>2</v>
      </c>
      <c r="AI197">
        <v>45037876</v>
      </c>
      <c r="AJ197">
        <v>197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</row>
    <row r="198" spans="1:44" x14ac:dyDescent="0.2">
      <c r="A198">
        <f>ROW(Source!A227)</f>
        <v>227</v>
      </c>
      <c r="B198">
        <v>45038587</v>
      </c>
      <c r="C198">
        <v>45037873</v>
      </c>
      <c r="D198">
        <v>22725914</v>
      </c>
      <c r="E198">
        <v>1</v>
      </c>
      <c r="F198">
        <v>1</v>
      </c>
      <c r="G198">
        <v>22652947</v>
      </c>
      <c r="H198">
        <v>2</v>
      </c>
      <c r="I198" t="s">
        <v>698</v>
      </c>
      <c r="J198" t="s">
        <v>699</v>
      </c>
      <c r="K198" t="s">
        <v>700</v>
      </c>
      <c r="L198">
        <v>1367</v>
      </c>
      <c r="N198">
        <v>1011</v>
      </c>
      <c r="O198" t="s">
        <v>623</v>
      </c>
      <c r="P198" t="s">
        <v>623</v>
      </c>
      <c r="Q198">
        <v>1</v>
      </c>
      <c r="X198">
        <v>0.3</v>
      </c>
      <c r="Y198">
        <v>0</v>
      </c>
      <c r="Z198">
        <v>0.81</v>
      </c>
      <c r="AA198">
        <v>0.03</v>
      </c>
      <c r="AB198">
        <v>0</v>
      </c>
      <c r="AC198">
        <v>0</v>
      </c>
      <c r="AD198">
        <v>1</v>
      </c>
      <c r="AE198">
        <v>0</v>
      </c>
      <c r="AF198" t="s">
        <v>36</v>
      </c>
      <c r="AG198">
        <v>0.375</v>
      </c>
      <c r="AH198">
        <v>2</v>
      </c>
      <c r="AI198">
        <v>45037877</v>
      </c>
      <c r="AJ198">
        <v>198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</row>
    <row r="199" spans="1:44" x14ac:dyDescent="0.2">
      <c r="A199">
        <f>ROW(Source!A227)</f>
        <v>227</v>
      </c>
      <c r="B199">
        <v>45038588</v>
      </c>
      <c r="C199">
        <v>45037873</v>
      </c>
      <c r="D199">
        <v>22703071</v>
      </c>
      <c r="E199">
        <v>1</v>
      </c>
      <c r="F199">
        <v>1</v>
      </c>
      <c r="G199">
        <v>22652947</v>
      </c>
      <c r="H199">
        <v>3</v>
      </c>
      <c r="I199" t="s">
        <v>701</v>
      </c>
      <c r="J199" t="s">
        <v>702</v>
      </c>
      <c r="K199" t="s">
        <v>703</v>
      </c>
      <c r="L199">
        <v>1296</v>
      </c>
      <c r="N199">
        <v>1002</v>
      </c>
      <c r="O199" t="s">
        <v>704</v>
      </c>
      <c r="P199" t="s">
        <v>704</v>
      </c>
      <c r="Q199">
        <v>1</v>
      </c>
      <c r="X199">
        <v>2.6</v>
      </c>
      <c r="Y199">
        <v>177.8</v>
      </c>
      <c r="Z199">
        <v>0</v>
      </c>
      <c r="AA199">
        <v>0</v>
      </c>
      <c r="AB199">
        <v>0</v>
      </c>
      <c r="AC199">
        <v>0</v>
      </c>
      <c r="AD199">
        <v>1</v>
      </c>
      <c r="AE199">
        <v>0</v>
      </c>
      <c r="AF199" t="s">
        <v>3</v>
      </c>
      <c r="AG199">
        <v>2.6</v>
      </c>
      <c r="AH199">
        <v>2</v>
      </c>
      <c r="AI199">
        <v>45037878</v>
      </c>
      <c r="AJ199">
        <v>199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</row>
    <row r="200" spans="1:44" x14ac:dyDescent="0.2">
      <c r="A200">
        <f>ROW(Source!A227)</f>
        <v>227</v>
      </c>
      <c r="B200">
        <v>45038589</v>
      </c>
      <c r="C200">
        <v>45037873</v>
      </c>
      <c r="D200">
        <v>22704015</v>
      </c>
      <c r="E200">
        <v>1</v>
      </c>
      <c r="F200">
        <v>1</v>
      </c>
      <c r="G200">
        <v>22652947</v>
      </c>
      <c r="H200">
        <v>3</v>
      </c>
      <c r="I200" t="s">
        <v>705</v>
      </c>
      <c r="J200" t="s">
        <v>706</v>
      </c>
      <c r="K200" t="s">
        <v>707</v>
      </c>
      <c r="L200">
        <v>1296</v>
      </c>
      <c r="N200">
        <v>1002</v>
      </c>
      <c r="O200" t="s">
        <v>704</v>
      </c>
      <c r="P200" t="s">
        <v>704</v>
      </c>
      <c r="Q200">
        <v>1</v>
      </c>
      <c r="X200">
        <v>6.1</v>
      </c>
      <c r="Y200">
        <v>125.73</v>
      </c>
      <c r="Z200">
        <v>0</v>
      </c>
      <c r="AA200">
        <v>0</v>
      </c>
      <c r="AB200">
        <v>0</v>
      </c>
      <c r="AC200">
        <v>0</v>
      </c>
      <c r="AD200">
        <v>1</v>
      </c>
      <c r="AE200">
        <v>0</v>
      </c>
      <c r="AF200" t="s">
        <v>3</v>
      </c>
      <c r="AG200">
        <v>6.1</v>
      </c>
      <c r="AH200">
        <v>2</v>
      </c>
      <c r="AI200">
        <v>45037879</v>
      </c>
      <c r="AJ200">
        <v>200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</row>
    <row r="201" spans="1:44" x14ac:dyDescent="0.2">
      <c r="A201">
        <f>ROW(Source!A227)</f>
        <v>227</v>
      </c>
      <c r="B201">
        <v>45038590</v>
      </c>
      <c r="C201">
        <v>45037873</v>
      </c>
      <c r="D201">
        <v>22700935</v>
      </c>
      <c r="E201">
        <v>1</v>
      </c>
      <c r="F201">
        <v>1</v>
      </c>
      <c r="G201">
        <v>22652947</v>
      </c>
      <c r="H201">
        <v>3</v>
      </c>
      <c r="I201" t="s">
        <v>708</v>
      </c>
      <c r="J201" t="s">
        <v>709</v>
      </c>
      <c r="K201" t="s">
        <v>710</v>
      </c>
      <c r="L201">
        <v>1339</v>
      </c>
      <c r="N201">
        <v>1007</v>
      </c>
      <c r="O201" t="s">
        <v>80</v>
      </c>
      <c r="P201" t="s">
        <v>80</v>
      </c>
      <c r="Q201">
        <v>1</v>
      </c>
      <c r="X201">
        <v>1.6000000000000001E-3</v>
      </c>
      <c r="Y201">
        <v>2472.13</v>
      </c>
      <c r="Z201">
        <v>0</v>
      </c>
      <c r="AA201">
        <v>0</v>
      </c>
      <c r="AB201">
        <v>0</v>
      </c>
      <c r="AC201">
        <v>0</v>
      </c>
      <c r="AD201">
        <v>1</v>
      </c>
      <c r="AE201">
        <v>0</v>
      </c>
      <c r="AF201" t="s">
        <v>3</v>
      </c>
      <c r="AG201">
        <v>1.6000000000000001E-3</v>
      </c>
      <c r="AH201">
        <v>2</v>
      </c>
      <c r="AI201">
        <v>45037880</v>
      </c>
      <c r="AJ201">
        <v>201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0</v>
      </c>
    </row>
    <row r="202" spans="1:44" x14ac:dyDescent="0.2">
      <c r="A202">
        <f>ROW(Source!A227)</f>
        <v>227</v>
      </c>
      <c r="B202">
        <v>45038591</v>
      </c>
      <c r="C202">
        <v>45037873</v>
      </c>
      <c r="D202">
        <v>22719478</v>
      </c>
      <c r="E202">
        <v>1</v>
      </c>
      <c r="F202">
        <v>1</v>
      </c>
      <c r="G202">
        <v>22652947</v>
      </c>
      <c r="H202">
        <v>3</v>
      </c>
      <c r="I202" t="s">
        <v>214</v>
      </c>
      <c r="J202" t="s">
        <v>216</v>
      </c>
      <c r="K202" t="s">
        <v>215</v>
      </c>
      <c r="L202">
        <v>1339</v>
      </c>
      <c r="N202">
        <v>1007</v>
      </c>
      <c r="O202" t="s">
        <v>80</v>
      </c>
      <c r="P202" t="s">
        <v>80</v>
      </c>
      <c r="Q202">
        <v>1</v>
      </c>
      <c r="X202">
        <v>0.01</v>
      </c>
      <c r="Y202">
        <v>478.96</v>
      </c>
      <c r="Z202">
        <v>0</v>
      </c>
      <c r="AA202">
        <v>0</v>
      </c>
      <c r="AB202">
        <v>0</v>
      </c>
      <c r="AC202">
        <v>0</v>
      </c>
      <c r="AD202">
        <v>1</v>
      </c>
      <c r="AE202">
        <v>0</v>
      </c>
      <c r="AF202" t="s">
        <v>3</v>
      </c>
      <c r="AG202">
        <v>0.01</v>
      </c>
      <c r="AH202">
        <v>2</v>
      </c>
      <c r="AI202">
        <v>45037881</v>
      </c>
      <c r="AJ202">
        <v>202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</row>
    <row r="203" spans="1:44" x14ac:dyDescent="0.2">
      <c r="A203">
        <f>ROW(Source!A227)</f>
        <v>227</v>
      </c>
      <c r="B203">
        <v>45038592</v>
      </c>
      <c r="C203">
        <v>45037873</v>
      </c>
      <c r="D203">
        <v>37096324</v>
      </c>
      <c r="E203">
        <v>1</v>
      </c>
      <c r="F203">
        <v>1</v>
      </c>
      <c r="G203">
        <v>22652947</v>
      </c>
      <c r="H203">
        <v>3</v>
      </c>
      <c r="I203" t="s">
        <v>711</v>
      </c>
      <c r="J203" t="s">
        <v>712</v>
      </c>
      <c r="K203" t="s">
        <v>713</v>
      </c>
      <c r="L203">
        <v>1354</v>
      </c>
      <c r="N203">
        <v>1010</v>
      </c>
      <c r="O203" t="s">
        <v>304</v>
      </c>
      <c r="P203" t="s">
        <v>304</v>
      </c>
      <c r="Q203">
        <v>1</v>
      </c>
      <c r="X203">
        <v>0.6</v>
      </c>
      <c r="Y203">
        <v>14.23</v>
      </c>
      <c r="Z203">
        <v>0</v>
      </c>
      <c r="AA203">
        <v>0</v>
      </c>
      <c r="AB203">
        <v>0</v>
      </c>
      <c r="AC203">
        <v>0</v>
      </c>
      <c r="AD203">
        <v>1</v>
      </c>
      <c r="AE203">
        <v>0</v>
      </c>
      <c r="AF203" t="s">
        <v>3</v>
      </c>
      <c r="AG203">
        <v>0.6</v>
      </c>
      <c r="AH203">
        <v>2</v>
      </c>
      <c r="AI203">
        <v>45037882</v>
      </c>
      <c r="AJ203">
        <v>205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</row>
    <row r="204" spans="1:44" x14ac:dyDescent="0.2">
      <c r="A204">
        <f>ROW(Source!A227)</f>
        <v>227</v>
      </c>
      <c r="B204">
        <v>45038593</v>
      </c>
      <c r="C204">
        <v>45037873</v>
      </c>
      <c r="D204">
        <v>22723325</v>
      </c>
      <c r="E204">
        <v>1</v>
      </c>
      <c r="F204">
        <v>1</v>
      </c>
      <c r="G204">
        <v>22652947</v>
      </c>
      <c r="H204">
        <v>3</v>
      </c>
      <c r="I204" t="s">
        <v>714</v>
      </c>
      <c r="J204" t="s">
        <v>715</v>
      </c>
      <c r="K204" t="s">
        <v>826</v>
      </c>
      <c r="L204">
        <v>1354</v>
      </c>
      <c r="N204">
        <v>1010</v>
      </c>
      <c r="O204" t="s">
        <v>304</v>
      </c>
      <c r="P204" t="s">
        <v>304</v>
      </c>
      <c r="Q204">
        <v>1</v>
      </c>
      <c r="X204">
        <v>60</v>
      </c>
      <c r="Y204">
        <v>25.33</v>
      </c>
      <c r="Z204">
        <v>0</v>
      </c>
      <c r="AA204">
        <v>0</v>
      </c>
      <c r="AB204">
        <v>0</v>
      </c>
      <c r="AC204">
        <v>0</v>
      </c>
      <c r="AD204">
        <v>1</v>
      </c>
      <c r="AE204">
        <v>0</v>
      </c>
      <c r="AF204" t="s">
        <v>3</v>
      </c>
      <c r="AG204">
        <v>60</v>
      </c>
      <c r="AH204">
        <v>2</v>
      </c>
      <c r="AI204">
        <v>45037883</v>
      </c>
      <c r="AJ204">
        <v>206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</row>
    <row r="205" spans="1:44" x14ac:dyDescent="0.2">
      <c r="A205">
        <f>ROW(Source!A227)</f>
        <v>227</v>
      </c>
      <c r="B205">
        <v>45038594</v>
      </c>
      <c r="C205">
        <v>45037873</v>
      </c>
      <c r="D205">
        <v>22675230</v>
      </c>
      <c r="E205">
        <v>22652947</v>
      </c>
      <c r="F205">
        <v>1</v>
      </c>
      <c r="G205">
        <v>22652947</v>
      </c>
      <c r="H205">
        <v>3</v>
      </c>
      <c r="I205" t="s">
        <v>827</v>
      </c>
      <c r="J205" t="s">
        <v>3</v>
      </c>
      <c r="K205" t="s">
        <v>828</v>
      </c>
      <c r="L205">
        <v>1354</v>
      </c>
      <c r="N205">
        <v>1010</v>
      </c>
      <c r="O205" t="s">
        <v>304</v>
      </c>
      <c r="P205" t="s">
        <v>304</v>
      </c>
      <c r="Q205">
        <v>1</v>
      </c>
      <c r="X205">
        <v>10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 t="s">
        <v>3</v>
      </c>
      <c r="AG205">
        <v>10</v>
      </c>
      <c r="AH205">
        <v>3</v>
      </c>
      <c r="AI205">
        <v>-1</v>
      </c>
      <c r="AJ205" t="s">
        <v>3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</row>
    <row r="206" spans="1:44" x14ac:dyDescent="0.2">
      <c r="A206">
        <f>ROW(Source!A228)</f>
        <v>228</v>
      </c>
      <c r="B206">
        <v>45038584</v>
      </c>
      <c r="C206">
        <v>45037873</v>
      </c>
      <c r="D206">
        <v>22652952</v>
      </c>
      <c r="E206">
        <v>22652947</v>
      </c>
      <c r="F206">
        <v>1</v>
      </c>
      <c r="G206">
        <v>22652947</v>
      </c>
      <c r="H206">
        <v>1</v>
      </c>
      <c r="I206" t="s">
        <v>617</v>
      </c>
      <c r="J206" t="s">
        <v>3</v>
      </c>
      <c r="K206" t="s">
        <v>618</v>
      </c>
      <c r="L206">
        <v>1191</v>
      </c>
      <c r="N206">
        <v>1013</v>
      </c>
      <c r="O206" t="s">
        <v>619</v>
      </c>
      <c r="P206" t="s">
        <v>619</v>
      </c>
      <c r="Q206">
        <v>1</v>
      </c>
      <c r="X206">
        <v>56.18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1</v>
      </c>
      <c r="AE206">
        <v>1</v>
      </c>
      <c r="AF206" t="s">
        <v>37</v>
      </c>
      <c r="AG206">
        <v>64.606999999999999</v>
      </c>
      <c r="AH206">
        <v>2</v>
      </c>
      <c r="AI206">
        <v>45037874</v>
      </c>
      <c r="AJ206">
        <v>207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</row>
    <row r="207" spans="1:44" x14ac:dyDescent="0.2">
      <c r="A207">
        <f>ROW(Source!A228)</f>
        <v>228</v>
      </c>
      <c r="B207">
        <v>45038585</v>
      </c>
      <c r="C207">
        <v>45037873</v>
      </c>
      <c r="D207">
        <v>22725860</v>
      </c>
      <c r="E207">
        <v>1</v>
      </c>
      <c r="F207">
        <v>1</v>
      </c>
      <c r="G207">
        <v>22652947</v>
      </c>
      <c r="H207">
        <v>2</v>
      </c>
      <c r="I207" t="s">
        <v>660</v>
      </c>
      <c r="J207" t="s">
        <v>661</v>
      </c>
      <c r="K207" t="s">
        <v>662</v>
      </c>
      <c r="L207">
        <v>1367</v>
      </c>
      <c r="N207">
        <v>1011</v>
      </c>
      <c r="O207" t="s">
        <v>623</v>
      </c>
      <c r="P207" t="s">
        <v>623</v>
      </c>
      <c r="Q207">
        <v>1</v>
      </c>
      <c r="X207">
        <v>0.19</v>
      </c>
      <c r="Y207">
        <v>0</v>
      </c>
      <c r="Z207">
        <v>76.81</v>
      </c>
      <c r="AA207">
        <v>14.36</v>
      </c>
      <c r="AB207">
        <v>0</v>
      </c>
      <c r="AC207">
        <v>0</v>
      </c>
      <c r="AD207">
        <v>1</v>
      </c>
      <c r="AE207">
        <v>0</v>
      </c>
      <c r="AF207" t="s">
        <v>36</v>
      </c>
      <c r="AG207">
        <v>0.23749999999999999</v>
      </c>
      <c r="AH207">
        <v>2</v>
      </c>
      <c r="AI207">
        <v>45037875</v>
      </c>
      <c r="AJ207">
        <v>208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</row>
    <row r="208" spans="1:44" x14ac:dyDescent="0.2">
      <c r="A208">
        <f>ROW(Source!A228)</f>
        <v>228</v>
      </c>
      <c r="B208">
        <v>45038586</v>
      </c>
      <c r="C208">
        <v>45037873</v>
      </c>
      <c r="D208">
        <v>22725983</v>
      </c>
      <c r="E208">
        <v>1</v>
      </c>
      <c r="F208">
        <v>1</v>
      </c>
      <c r="G208">
        <v>22652947</v>
      </c>
      <c r="H208">
        <v>2</v>
      </c>
      <c r="I208" t="s">
        <v>695</v>
      </c>
      <c r="J208" t="s">
        <v>696</v>
      </c>
      <c r="K208" t="s">
        <v>697</v>
      </c>
      <c r="L208">
        <v>1367</v>
      </c>
      <c r="N208">
        <v>1011</v>
      </c>
      <c r="O208" t="s">
        <v>623</v>
      </c>
      <c r="P208" t="s">
        <v>623</v>
      </c>
      <c r="Q208">
        <v>1</v>
      </c>
      <c r="X208">
        <v>3.6</v>
      </c>
      <c r="Y208">
        <v>0</v>
      </c>
      <c r="Z208">
        <v>2.36</v>
      </c>
      <c r="AA208">
        <v>0.04</v>
      </c>
      <c r="AB208">
        <v>0</v>
      </c>
      <c r="AC208">
        <v>0</v>
      </c>
      <c r="AD208">
        <v>1</v>
      </c>
      <c r="AE208">
        <v>0</v>
      </c>
      <c r="AF208" t="s">
        <v>36</v>
      </c>
      <c r="AG208">
        <v>4.5</v>
      </c>
      <c r="AH208">
        <v>2</v>
      </c>
      <c r="AI208">
        <v>45037876</v>
      </c>
      <c r="AJ208">
        <v>209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</row>
    <row r="209" spans="1:44" x14ac:dyDescent="0.2">
      <c r="A209">
        <f>ROW(Source!A228)</f>
        <v>228</v>
      </c>
      <c r="B209">
        <v>45038587</v>
      </c>
      <c r="C209">
        <v>45037873</v>
      </c>
      <c r="D209">
        <v>22725914</v>
      </c>
      <c r="E209">
        <v>1</v>
      </c>
      <c r="F209">
        <v>1</v>
      </c>
      <c r="G209">
        <v>22652947</v>
      </c>
      <c r="H209">
        <v>2</v>
      </c>
      <c r="I209" t="s">
        <v>698</v>
      </c>
      <c r="J209" t="s">
        <v>699</v>
      </c>
      <c r="K209" t="s">
        <v>700</v>
      </c>
      <c r="L209">
        <v>1367</v>
      </c>
      <c r="N209">
        <v>1011</v>
      </c>
      <c r="O209" t="s">
        <v>623</v>
      </c>
      <c r="P209" t="s">
        <v>623</v>
      </c>
      <c r="Q209">
        <v>1</v>
      </c>
      <c r="X209">
        <v>0.3</v>
      </c>
      <c r="Y209">
        <v>0</v>
      </c>
      <c r="Z209">
        <v>0.81</v>
      </c>
      <c r="AA209">
        <v>0.03</v>
      </c>
      <c r="AB209">
        <v>0</v>
      </c>
      <c r="AC209">
        <v>0</v>
      </c>
      <c r="AD209">
        <v>1</v>
      </c>
      <c r="AE209">
        <v>0</v>
      </c>
      <c r="AF209" t="s">
        <v>36</v>
      </c>
      <c r="AG209">
        <v>0.375</v>
      </c>
      <c r="AH209">
        <v>2</v>
      </c>
      <c r="AI209">
        <v>45037877</v>
      </c>
      <c r="AJ209">
        <v>210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</row>
    <row r="210" spans="1:44" x14ac:dyDescent="0.2">
      <c r="A210">
        <f>ROW(Source!A228)</f>
        <v>228</v>
      </c>
      <c r="B210">
        <v>45038588</v>
      </c>
      <c r="C210">
        <v>45037873</v>
      </c>
      <c r="D210">
        <v>22703071</v>
      </c>
      <c r="E210">
        <v>1</v>
      </c>
      <c r="F210">
        <v>1</v>
      </c>
      <c r="G210">
        <v>22652947</v>
      </c>
      <c r="H210">
        <v>3</v>
      </c>
      <c r="I210" t="s">
        <v>701</v>
      </c>
      <c r="J210" t="s">
        <v>702</v>
      </c>
      <c r="K210" t="s">
        <v>703</v>
      </c>
      <c r="L210">
        <v>1296</v>
      </c>
      <c r="N210">
        <v>1002</v>
      </c>
      <c r="O210" t="s">
        <v>704</v>
      </c>
      <c r="P210" t="s">
        <v>704</v>
      </c>
      <c r="Q210">
        <v>1</v>
      </c>
      <c r="X210">
        <v>2.6</v>
      </c>
      <c r="Y210">
        <v>177.8</v>
      </c>
      <c r="Z210">
        <v>0</v>
      </c>
      <c r="AA210">
        <v>0</v>
      </c>
      <c r="AB210">
        <v>0</v>
      </c>
      <c r="AC210">
        <v>0</v>
      </c>
      <c r="AD210">
        <v>1</v>
      </c>
      <c r="AE210">
        <v>0</v>
      </c>
      <c r="AF210" t="s">
        <v>3</v>
      </c>
      <c r="AG210">
        <v>2.6</v>
      </c>
      <c r="AH210">
        <v>2</v>
      </c>
      <c r="AI210">
        <v>45037878</v>
      </c>
      <c r="AJ210">
        <v>211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</row>
    <row r="211" spans="1:44" x14ac:dyDescent="0.2">
      <c r="A211">
        <f>ROW(Source!A228)</f>
        <v>228</v>
      </c>
      <c r="B211">
        <v>45038589</v>
      </c>
      <c r="C211">
        <v>45037873</v>
      </c>
      <c r="D211">
        <v>22704015</v>
      </c>
      <c r="E211">
        <v>1</v>
      </c>
      <c r="F211">
        <v>1</v>
      </c>
      <c r="G211">
        <v>22652947</v>
      </c>
      <c r="H211">
        <v>3</v>
      </c>
      <c r="I211" t="s">
        <v>705</v>
      </c>
      <c r="J211" t="s">
        <v>706</v>
      </c>
      <c r="K211" t="s">
        <v>707</v>
      </c>
      <c r="L211">
        <v>1296</v>
      </c>
      <c r="N211">
        <v>1002</v>
      </c>
      <c r="O211" t="s">
        <v>704</v>
      </c>
      <c r="P211" t="s">
        <v>704</v>
      </c>
      <c r="Q211">
        <v>1</v>
      </c>
      <c r="X211">
        <v>6.1</v>
      </c>
      <c r="Y211">
        <v>125.73</v>
      </c>
      <c r="Z211">
        <v>0</v>
      </c>
      <c r="AA211">
        <v>0</v>
      </c>
      <c r="AB211">
        <v>0</v>
      </c>
      <c r="AC211">
        <v>0</v>
      </c>
      <c r="AD211">
        <v>1</v>
      </c>
      <c r="AE211">
        <v>0</v>
      </c>
      <c r="AF211" t="s">
        <v>3</v>
      </c>
      <c r="AG211">
        <v>6.1</v>
      </c>
      <c r="AH211">
        <v>2</v>
      </c>
      <c r="AI211">
        <v>45037879</v>
      </c>
      <c r="AJ211">
        <v>212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</row>
    <row r="212" spans="1:44" x14ac:dyDescent="0.2">
      <c r="A212">
        <f>ROW(Source!A228)</f>
        <v>228</v>
      </c>
      <c r="B212">
        <v>45038590</v>
      </c>
      <c r="C212">
        <v>45037873</v>
      </c>
      <c r="D212">
        <v>22700935</v>
      </c>
      <c r="E212">
        <v>1</v>
      </c>
      <c r="F212">
        <v>1</v>
      </c>
      <c r="G212">
        <v>22652947</v>
      </c>
      <c r="H212">
        <v>3</v>
      </c>
      <c r="I212" t="s">
        <v>708</v>
      </c>
      <c r="J212" t="s">
        <v>709</v>
      </c>
      <c r="K212" t="s">
        <v>710</v>
      </c>
      <c r="L212">
        <v>1339</v>
      </c>
      <c r="N212">
        <v>1007</v>
      </c>
      <c r="O212" t="s">
        <v>80</v>
      </c>
      <c r="P212" t="s">
        <v>80</v>
      </c>
      <c r="Q212">
        <v>1</v>
      </c>
      <c r="X212">
        <v>1.6000000000000001E-3</v>
      </c>
      <c r="Y212">
        <v>2472.13</v>
      </c>
      <c r="Z212">
        <v>0</v>
      </c>
      <c r="AA212">
        <v>0</v>
      </c>
      <c r="AB212">
        <v>0</v>
      </c>
      <c r="AC212">
        <v>0</v>
      </c>
      <c r="AD212">
        <v>1</v>
      </c>
      <c r="AE212">
        <v>0</v>
      </c>
      <c r="AF212" t="s">
        <v>3</v>
      </c>
      <c r="AG212">
        <v>1.6000000000000001E-3</v>
      </c>
      <c r="AH212">
        <v>2</v>
      </c>
      <c r="AI212">
        <v>45037880</v>
      </c>
      <c r="AJ212">
        <v>213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</row>
    <row r="213" spans="1:44" x14ac:dyDescent="0.2">
      <c r="A213">
        <f>ROW(Source!A228)</f>
        <v>228</v>
      </c>
      <c r="B213">
        <v>45038591</v>
      </c>
      <c r="C213">
        <v>45037873</v>
      </c>
      <c r="D213">
        <v>22719478</v>
      </c>
      <c r="E213">
        <v>1</v>
      </c>
      <c r="F213">
        <v>1</v>
      </c>
      <c r="G213">
        <v>22652947</v>
      </c>
      <c r="H213">
        <v>3</v>
      </c>
      <c r="I213" t="s">
        <v>214</v>
      </c>
      <c r="J213" t="s">
        <v>216</v>
      </c>
      <c r="K213" t="s">
        <v>215</v>
      </c>
      <c r="L213">
        <v>1339</v>
      </c>
      <c r="N213">
        <v>1007</v>
      </c>
      <c r="O213" t="s">
        <v>80</v>
      </c>
      <c r="P213" t="s">
        <v>80</v>
      </c>
      <c r="Q213">
        <v>1</v>
      </c>
      <c r="X213">
        <v>0.01</v>
      </c>
      <c r="Y213">
        <v>478.96</v>
      </c>
      <c r="Z213">
        <v>0</v>
      </c>
      <c r="AA213">
        <v>0</v>
      </c>
      <c r="AB213">
        <v>0</v>
      </c>
      <c r="AC213">
        <v>0</v>
      </c>
      <c r="AD213">
        <v>1</v>
      </c>
      <c r="AE213">
        <v>0</v>
      </c>
      <c r="AF213" t="s">
        <v>3</v>
      </c>
      <c r="AG213">
        <v>0.01</v>
      </c>
      <c r="AH213">
        <v>2</v>
      </c>
      <c r="AI213">
        <v>45037881</v>
      </c>
      <c r="AJ213">
        <v>214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</row>
    <row r="214" spans="1:44" x14ac:dyDescent="0.2">
      <c r="A214">
        <f>ROW(Source!A228)</f>
        <v>228</v>
      </c>
      <c r="B214">
        <v>45038592</v>
      </c>
      <c r="C214">
        <v>45037873</v>
      </c>
      <c r="D214">
        <v>37096324</v>
      </c>
      <c r="E214">
        <v>1</v>
      </c>
      <c r="F214">
        <v>1</v>
      </c>
      <c r="G214">
        <v>22652947</v>
      </c>
      <c r="H214">
        <v>3</v>
      </c>
      <c r="I214" t="s">
        <v>711</v>
      </c>
      <c r="J214" t="s">
        <v>712</v>
      </c>
      <c r="K214" t="s">
        <v>713</v>
      </c>
      <c r="L214">
        <v>1354</v>
      </c>
      <c r="N214">
        <v>1010</v>
      </c>
      <c r="O214" t="s">
        <v>304</v>
      </c>
      <c r="P214" t="s">
        <v>304</v>
      </c>
      <c r="Q214">
        <v>1</v>
      </c>
      <c r="X214">
        <v>0.6</v>
      </c>
      <c r="Y214">
        <v>14.23</v>
      </c>
      <c r="Z214">
        <v>0</v>
      </c>
      <c r="AA214">
        <v>0</v>
      </c>
      <c r="AB214">
        <v>0</v>
      </c>
      <c r="AC214">
        <v>0</v>
      </c>
      <c r="AD214">
        <v>1</v>
      </c>
      <c r="AE214">
        <v>0</v>
      </c>
      <c r="AF214" t="s">
        <v>3</v>
      </c>
      <c r="AG214">
        <v>0.6</v>
      </c>
      <c r="AH214">
        <v>2</v>
      </c>
      <c r="AI214">
        <v>45037882</v>
      </c>
      <c r="AJ214">
        <v>217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</row>
    <row r="215" spans="1:44" x14ac:dyDescent="0.2">
      <c r="A215">
        <f>ROW(Source!A228)</f>
        <v>228</v>
      </c>
      <c r="B215">
        <v>45038593</v>
      </c>
      <c r="C215">
        <v>45037873</v>
      </c>
      <c r="D215">
        <v>22723325</v>
      </c>
      <c r="E215">
        <v>1</v>
      </c>
      <c r="F215">
        <v>1</v>
      </c>
      <c r="G215">
        <v>22652947</v>
      </c>
      <c r="H215">
        <v>3</v>
      </c>
      <c r="I215" t="s">
        <v>714</v>
      </c>
      <c r="J215" t="s">
        <v>715</v>
      </c>
      <c r="K215" t="s">
        <v>826</v>
      </c>
      <c r="L215">
        <v>1354</v>
      </c>
      <c r="N215">
        <v>1010</v>
      </c>
      <c r="O215" t="s">
        <v>304</v>
      </c>
      <c r="P215" t="s">
        <v>304</v>
      </c>
      <c r="Q215">
        <v>1</v>
      </c>
      <c r="X215">
        <v>60</v>
      </c>
      <c r="Y215">
        <v>25.33</v>
      </c>
      <c r="Z215">
        <v>0</v>
      </c>
      <c r="AA215">
        <v>0</v>
      </c>
      <c r="AB215">
        <v>0</v>
      </c>
      <c r="AC215">
        <v>0</v>
      </c>
      <c r="AD215">
        <v>1</v>
      </c>
      <c r="AE215">
        <v>0</v>
      </c>
      <c r="AF215" t="s">
        <v>3</v>
      </c>
      <c r="AG215">
        <v>60</v>
      </c>
      <c r="AH215">
        <v>2</v>
      </c>
      <c r="AI215">
        <v>45037883</v>
      </c>
      <c r="AJ215">
        <v>218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</row>
    <row r="216" spans="1:44" x14ac:dyDescent="0.2">
      <c r="A216">
        <f>ROW(Source!A228)</f>
        <v>228</v>
      </c>
      <c r="B216">
        <v>45038594</v>
      </c>
      <c r="C216">
        <v>45037873</v>
      </c>
      <c r="D216">
        <v>22675230</v>
      </c>
      <c r="E216">
        <v>22652947</v>
      </c>
      <c r="F216">
        <v>1</v>
      </c>
      <c r="G216">
        <v>22652947</v>
      </c>
      <c r="H216">
        <v>3</v>
      </c>
      <c r="I216" t="s">
        <v>827</v>
      </c>
      <c r="J216" t="s">
        <v>3</v>
      </c>
      <c r="K216" t="s">
        <v>828</v>
      </c>
      <c r="L216">
        <v>1354</v>
      </c>
      <c r="N216">
        <v>1010</v>
      </c>
      <c r="O216" t="s">
        <v>304</v>
      </c>
      <c r="P216" t="s">
        <v>304</v>
      </c>
      <c r="Q216">
        <v>1</v>
      </c>
      <c r="X216">
        <v>10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 t="s">
        <v>3</v>
      </c>
      <c r="AG216">
        <v>10</v>
      </c>
      <c r="AH216">
        <v>3</v>
      </c>
      <c r="AI216">
        <v>-1</v>
      </c>
      <c r="AJ216" t="s">
        <v>3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</row>
    <row r="217" spans="1:44" x14ac:dyDescent="0.2">
      <c r="A217">
        <f>ROW(Source!A233)</f>
        <v>233</v>
      </c>
      <c r="B217">
        <v>45038595</v>
      </c>
      <c r="C217">
        <v>45037899</v>
      </c>
      <c r="D217">
        <v>22652952</v>
      </c>
      <c r="E217">
        <v>22652947</v>
      </c>
      <c r="F217">
        <v>1</v>
      </c>
      <c r="G217">
        <v>22652947</v>
      </c>
      <c r="H217">
        <v>1</v>
      </c>
      <c r="I217" t="s">
        <v>617</v>
      </c>
      <c r="J217" t="s">
        <v>3</v>
      </c>
      <c r="K217" t="s">
        <v>618</v>
      </c>
      <c r="L217">
        <v>1191</v>
      </c>
      <c r="N217">
        <v>1013</v>
      </c>
      <c r="O217" t="s">
        <v>619</v>
      </c>
      <c r="P217" t="s">
        <v>619</v>
      </c>
      <c r="Q217">
        <v>1</v>
      </c>
      <c r="X217">
        <v>1.1100000000000001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1</v>
      </c>
      <c r="AE217">
        <v>1</v>
      </c>
      <c r="AF217" t="s">
        <v>325</v>
      </c>
      <c r="AG217">
        <v>1.2765</v>
      </c>
      <c r="AH217">
        <v>2</v>
      </c>
      <c r="AI217">
        <v>45037900</v>
      </c>
      <c r="AJ217">
        <v>219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</row>
    <row r="218" spans="1:44" x14ac:dyDescent="0.2">
      <c r="A218">
        <f>ROW(Source!A233)</f>
        <v>233</v>
      </c>
      <c r="B218">
        <v>45038596</v>
      </c>
      <c r="C218">
        <v>45037899</v>
      </c>
      <c r="D218">
        <v>22725577</v>
      </c>
      <c r="E218">
        <v>1</v>
      </c>
      <c r="F218">
        <v>1</v>
      </c>
      <c r="G218">
        <v>22652947</v>
      </c>
      <c r="H218">
        <v>2</v>
      </c>
      <c r="I218" t="s">
        <v>717</v>
      </c>
      <c r="J218" t="s">
        <v>718</v>
      </c>
      <c r="K218" t="s">
        <v>719</v>
      </c>
      <c r="L218">
        <v>1367</v>
      </c>
      <c r="N218">
        <v>1011</v>
      </c>
      <c r="O218" t="s">
        <v>623</v>
      </c>
      <c r="P218" t="s">
        <v>623</v>
      </c>
      <c r="Q218">
        <v>1</v>
      </c>
      <c r="X218">
        <v>0.26</v>
      </c>
      <c r="Y218">
        <v>0</v>
      </c>
      <c r="Z218">
        <v>6.22</v>
      </c>
      <c r="AA218">
        <v>0.28999999999999998</v>
      </c>
      <c r="AB218">
        <v>0</v>
      </c>
      <c r="AC218">
        <v>0</v>
      </c>
      <c r="AD218">
        <v>1</v>
      </c>
      <c r="AE218">
        <v>0</v>
      </c>
      <c r="AF218" t="s">
        <v>324</v>
      </c>
      <c r="AG218">
        <v>0.32500000000000001</v>
      </c>
      <c r="AH218">
        <v>2</v>
      </c>
      <c r="AI218">
        <v>45037901</v>
      </c>
      <c r="AJ218">
        <v>220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</row>
    <row r="219" spans="1:44" x14ac:dyDescent="0.2">
      <c r="A219">
        <f>ROW(Source!A233)</f>
        <v>233</v>
      </c>
      <c r="B219">
        <v>45038597</v>
      </c>
      <c r="C219">
        <v>45037899</v>
      </c>
      <c r="D219">
        <v>22725906</v>
      </c>
      <c r="E219">
        <v>1</v>
      </c>
      <c r="F219">
        <v>1</v>
      </c>
      <c r="G219">
        <v>22652947</v>
      </c>
      <c r="H219">
        <v>2</v>
      </c>
      <c r="I219" t="s">
        <v>663</v>
      </c>
      <c r="J219" t="s">
        <v>664</v>
      </c>
      <c r="K219" t="s">
        <v>665</v>
      </c>
      <c r="L219">
        <v>1367</v>
      </c>
      <c r="N219">
        <v>1011</v>
      </c>
      <c r="O219" t="s">
        <v>623</v>
      </c>
      <c r="P219" t="s">
        <v>623</v>
      </c>
      <c r="Q219">
        <v>1</v>
      </c>
      <c r="X219">
        <v>0.02</v>
      </c>
      <c r="Y219">
        <v>0</v>
      </c>
      <c r="Z219">
        <v>0.68</v>
      </c>
      <c r="AA219">
        <v>0.04</v>
      </c>
      <c r="AB219">
        <v>0</v>
      </c>
      <c r="AC219">
        <v>0</v>
      </c>
      <c r="AD219">
        <v>1</v>
      </c>
      <c r="AE219">
        <v>0</v>
      </c>
      <c r="AF219" t="s">
        <v>324</v>
      </c>
      <c r="AG219">
        <v>2.5000000000000001E-2</v>
      </c>
      <c r="AH219">
        <v>2</v>
      </c>
      <c r="AI219">
        <v>45037902</v>
      </c>
      <c r="AJ219">
        <v>221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</row>
    <row r="220" spans="1:44" x14ac:dyDescent="0.2">
      <c r="A220">
        <f>ROW(Source!A233)</f>
        <v>233</v>
      </c>
      <c r="B220">
        <v>45038598</v>
      </c>
      <c r="C220">
        <v>45037899</v>
      </c>
      <c r="D220">
        <v>22725940</v>
      </c>
      <c r="E220">
        <v>1</v>
      </c>
      <c r="F220">
        <v>1</v>
      </c>
      <c r="G220">
        <v>22652947</v>
      </c>
      <c r="H220">
        <v>2</v>
      </c>
      <c r="I220" t="s">
        <v>720</v>
      </c>
      <c r="J220" t="s">
        <v>721</v>
      </c>
      <c r="K220" t="s">
        <v>722</v>
      </c>
      <c r="L220">
        <v>1367</v>
      </c>
      <c r="N220">
        <v>1011</v>
      </c>
      <c r="O220" t="s">
        <v>623</v>
      </c>
      <c r="P220" t="s">
        <v>623</v>
      </c>
      <c r="Q220">
        <v>1</v>
      </c>
      <c r="X220">
        <v>0.15</v>
      </c>
      <c r="Y220">
        <v>0</v>
      </c>
      <c r="Z220">
        <v>0.64</v>
      </c>
      <c r="AA220">
        <v>0.04</v>
      </c>
      <c r="AB220">
        <v>0</v>
      </c>
      <c r="AC220">
        <v>0</v>
      </c>
      <c r="AD220">
        <v>1</v>
      </c>
      <c r="AE220">
        <v>0</v>
      </c>
      <c r="AF220" t="s">
        <v>324</v>
      </c>
      <c r="AG220">
        <v>0.1875</v>
      </c>
      <c r="AH220">
        <v>2</v>
      </c>
      <c r="AI220">
        <v>45037903</v>
      </c>
      <c r="AJ220">
        <v>222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</row>
    <row r="221" spans="1:44" x14ac:dyDescent="0.2">
      <c r="A221">
        <f>ROW(Source!A233)</f>
        <v>233</v>
      </c>
      <c r="B221">
        <v>45038599</v>
      </c>
      <c r="C221">
        <v>45037899</v>
      </c>
      <c r="D221">
        <v>22725894</v>
      </c>
      <c r="E221">
        <v>1</v>
      </c>
      <c r="F221">
        <v>1</v>
      </c>
      <c r="G221">
        <v>22652947</v>
      </c>
      <c r="H221">
        <v>2</v>
      </c>
      <c r="I221" t="s">
        <v>686</v>
      </c>
      <c r="J221" t="s">
        <v>687</v>
      </c>
      <c r="K221" t="s">
        <v>688</v>
      </c>
      <c r="L221">
        <v>1367</v>
      </c>
      <c r="N221">
        <v>1011</v>
      </c>
      <c r="O221" t="s">
        <v>623</v>
      </c>
      <c r="P221" t="s">
        <v>623</v>
      </c>
      <c r="Q221">
        <v>1</v>
      </c>
      <c r="X221">
        <v>0.11</v>
      </c>
      <c r="Y221">
        <v>0</v>
      </c>
      <c r="Z221">
        <v>2.36</v>
      </c>
      <c r="AA221">
        <v>0.1</v>
      </c>
      <c r="AB221">
        <v>0</v>
      </c>
      <c r="AC221">
        <v>0</v>
      </c>
      <c r="AD221">
        <v>1</v>
      </c>
      <c r="AE221">
        <v>0</v>
      </c>
      <c r="AF221" t="s">
        <v>324</v>
      </c>
      <c r="AG221">
        <v>0.13750000000000001</v>
      </c>
      <c r="AH221">
        <v>2</v>
      </c>
      <c r="AI221">
        <v>45037904</v>
      </c>
      <c r="AJ221">
        <v>223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</row>
    <row r="222" spans="1:44" x14ac:dyDescent="0.2">
      <c r="A222">
        <f>ROW(Source!A233)</f>
        <v>233</v>
      </c>
      <c r="B222">
        <v>45038600</v>
      </c>
      <c r="C222">
        <v>45037899</v>
      </c>
      <c r="D222">
        <v>22703215</v>
      </c>
      <c r="E222">
        <v>1</v>
      </c>
      <c r="F222">
        <v>1</v>
      </c>
      <c r="G222">
        <v>22652947</v>
      </c>
      <c r="H222">
        <v>3</v>
      </c>
      <c r="I222" t="s">
        <v>723</v>
      </c>
      <c r="J222" t="s">
        <v>724</v>
      </c>
      <c r="K222" t="s">
        <v>725</v>
      </c>
      <c r="L222">
        <v>1346</v>
      </c>
      <c r="N222">
        <v>1009</v>
      </c>
      <c r="O222" t="s">
        <v>89</v>
      </c>
      <c r="P222" t="s">
        <v>89</v>
      </c>
      <c r="Q222">
        <v>1</v>
      </c>
      <c r="X222">
        <v>0.02</v>
      </c>
      <c r="Y222">
        <v>20.63</v>
      </c>
      <c r="Z222">
        <v>0</v>
      </c>
      <c r="AA222">
        <v>0</v>
      </c>
      <c r="AB222">
        <v>0</v>
      </c>
      <c r="AC222">
        <v>0</v>
      </c>
      <c r="AD222">
        <v>1</v>
      </c>
      <c r="AE222">
        <v>0</v>
      </c>
      <c r="AF222" t="s">
        <v>3</v>
      </c>
      <c r="AG222">
        <v>0.02</v>
      </c>
      <c r="AH222">
        <v>2</v>
      </c>
      <c r="AI222">
        <v>45037905</v>
      </c>
      <c r="AJ222">
        <v>224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</row>
    <row r="223" spans="1:44" x14ac:dyDescent="0.2">
      <c r="A223">
        <f>ROW(Source!A233)</f>
        <v>233</v>
      </c>
      <c r="B223">
        <v>45038601</v>
      </c>
      <c r="C223">
        <v>45037899</v>
      </c>
      <c r="D223">
        <v>37095323</v>
      </c>
      <c r="E223">
        <v>22652947</v>
      </c>
      <c r="F223">
        <v>1</v>
      </c>
      <c r="G223">
        <v>22652947</v>
      </c>
      <c r="H223">
        <v>3</v>
      </c>
      <c r="I223" t="s">
        <v>829</v>
      </c>
      <c r="J223" t="s">
        <v>3</v>
      </c>
      <c r="K223" t="s">
        <v>830</v>
      </c>
      <c r="L223">
        <v>1354</v>
      </c>
      <c r="N223">
        <v>1010</v>
      </c>
      <c r="O223" t="s">
        <v>304</v>
      </c>
      <c r="P223" t="s">
        <v>304</v>
      </c>
      <c r="Q223">
        <v>1</v>
      </c>
      <c r="X223">
        <v>1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 t="s">
        <v>3</v>
      </c>
      <c r="AG223">
        <v>1</v>
      </c>
      <c r="AH223">
        <v>3</v>
      </c>
      <c r="AI223">
        <v>-1</v>
      </c>
      <c r="AJ223" t="s">
        <v>3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</row>
    <row r="224" spans="1:44" x14ac:dyDescent="0.2">
      <c r="A224">
        <f>ROW(Source!A234)</f>
        <v>234</v>
      </c>
      <c r="B224">
        <v>45038595</v>
      </c>
      <c r="C224">
        <v>45037899</v>
      </c>
      <c r="D224">
        <v>22652952</v>
      </c>
      <c r="E224">
        <v>22652947</v>
      </c>
      <c r="F224">
        <v>1</v>
      </c>
      <c r="G224">
        <v>22652947</v>
      </c>
      <c r="H224">
        <v>1</v>
      </c>
      <c r="I224" t="s">
        <v>617</v>
      </c>
      <c r="J224" t="s">
        <v>3</v>
      </c>
      <c r="K224" t="s">
        <v>618</v>
      </c>
      <c r="L224">
        <v>1191</v>
      </c>
      <c r="N224">
        <v>1013</v>
      </c>
      <c r="O224" t="s">
        <v>619</v>
      </c>
      <c r="P224" t="s">
        <v>619</v>
      </c>
      <c r="Q224">
        <v>1</v>
      </c>
      <c r="X224">
        <v>1.1100000000000001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1</v>
      </c>
      <c r="AE224">
        <v>1</v>
      </c>
      <c r="AF224" t="s">
        <v>325</v>
      </c>
      <c r="AG224">
        <v>1.2765</v>
      </c>
      <c r="AH224">
        <v>2</v>
      </c>
      <c r="AI224">
        <v>45037900</v>
      </c>
      <c r="AJ224">
        <v>226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</row>
    <row r="225" spans="1:44" x14ac:dyDescent="0.2">
      <c r="A225">
        <f>ROW(Source!A234)</f>
        <v>234</v>
      </c>
      <c r="B225">
        <v>45038596</v>
      </c>
      <c r="C225">
        <v>45037899</v>
      </c>
      <c r="D225">
        <v>22725577</v>
      </c>
      <c r="E225">
        <v>1</v>
      </c>
      <c r="F225">
        <v>1</v>
      </c>
      <c r="G225">
        <v>22652947</v>
      </c>
      <c r="H225">
        <v>2</v>
      </c>
      <c r="I225" t="s">
        <v>717</v>
      </c>
      <c r="J225" t="s">
        <v>718</v>
      </c>
      <c r="K225" t="s">
        <v>719</v>
      </c>
      <c r="L225">
        <v>1367</v>
      </c>
      <c r="N225">
        <v>1011</v>
      </c>
      <c r="O225" t="s">
        <v>623</v>
      </c>
      <c r="P225" t="s">
        <v>623</v>
      </c>
      <c r="Q225">
        <v>1</v>
      </c>
      <c r="X225">
        <v>0.26</v>
      </c>
      <c r="Y225">
        <v>0</v>
      </c>
      <c r="Z225">
        <v>6.22</v>
      </c>
      <c r="AA225">
        <v>0.28999999999999998</v>
      </c>
      <c r="AB225">
        <v>0</v>
      </c>
      <c r="AC225">
        <v>0</v>
      </c>
      <c r="AD225">
        <v>1</v>
      </c>
      <c r="AE225">
        <v>0</v>
      </c>
      <c r="AF225" t="s">
        <v>324</v>
      </c>
      <c r="AG225">
        <v>0.32500000000000001</v>
      </c>
      <c r="AH225">
        <v>2</v>
      </c>
      <c r="AI225">
        <v>45037901</v>
      </c>
      <c r="AJ225">
        <v>227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</row>
    <row r="226" spans="1:44" x14ac:dyDescent="0.2">
      <c r="A226">
        <f>ROW(Source!A234)</f>
        <v>234</v>
      </c>
      <c r="B226">
        <v>45038597</v>
      </c>
      <c r="C226">
        <v>45037899</v>
      </c>
      <c r="D226">
        <v>22725906</v>
      </c>
      <c r="E226">
        <v>1</v>
      </c>
      <c r="F226">
        <v>1</v>
      </c>
      <c r="G226">
        <v>22652947</v>
      </c>
      <c r="H226">
        <v>2</v>
      </c>
      <c r="I226" t="s">
        <v>663</v>
      </c>
      <c r="J226" t="s">
        <v>664</v>
      </c>
      <c r="K226" t="s">
        <v>665</v>
      </c>
      <c r="L226">
        <v>1367</v>
      </c>
      <c r="N226">
        <v>1011</v>
      </c>
      <c r="O226" t="s">
        <v>623</v>
      </c>
      <c r="P226" t="s">
        <v>623</v>
      </c>
      <c r="Q226">
        <v>1</v>
      </c>
      <c r="X226">
        <v>0.02</v>
      </c>
      <c r="Y226">
        <v>0</v>
      </c>
      <c r="Z226">
        <v>0.68</v>
      </c>
      <c r="AA226">
        <v>0.04</v>
      </c>
      <c r="AB226">
        <v>0</v>
      </c>
      <c r="AC226">
        <v>0</v>
      </c>
      <c r="AD226">
        <v>1</v>
      </c>
      <c r="AE226">
        <v>0</v>
      </c>
      <c r="AF226" t="s">
        <v>324</v>
      </c>
      <c r="AG226">
        <v>2.5000000000000001E-2</v>
      </c>
      <c r="AH226">
        <v>2</v>
      </c>
      <c r="AI226">
        <v>45037902</v>
      </c>
      <c r="AJ226">
        <v>228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</row>
    <row r="227" spans="1:44" x14ac:dyDescent="0.2">
      <c r="A227">
        <f>ROW(Source!A234)</f>
        <v>234</v>
      </c>
      <c r="B227">
        <v>45038598</v>
      </c>
      <c r="C227">
        <v>45037899</v>
      </c>
      <c r="D227">
        <v>22725940</v>
      </c>
      <c r="E227">
        <v>1</v>
      </c>
      <c r="F227">
        <v>1</v>
      </c>
      <c r="G227">
        <v>22652947</v>
      </c>
      <c r="H227">
        <v>2</v>
      </c>
      <c r="I227" t="s">
        <v>720</v>
      </c>
      <c r="J227" t="s">
        <v>721</v>
      </c>
      <c r="K227" t="s">
        <v>722</v>
      </c>
      <c r="L227">
        <v>1367</v>
      </c>
      <c r="N227">
        <v>1011</v>
      </c>
      <c r="O227" t="s">
        <v>623</v>
      </c>
      <c r="P227" t="s">
        <v>623</v>
      </c>
      <c r="Q227">
        <v>1</v>
      </c>
      <c r="X227">
        <v>0.15</v>
      </c>
      <c r="Y227">
        <v>0</v>
      </c>
      <c r="Z227">
        <v>0.64</v>
      </c>
      <c r="AA227">
        <v>0.04</v>
      </c>
      <c r="AB227">
        <v>0</v>
      </c>
      <c r="AC227">
        <v>0</v>
      </c>
      <c r="AD227">
        <v>1</v>
      </c>
      <c r="AE227">
        <v>0</v>
      </c>
      <c r="AF227" t="s">
        <v>324</v>
      </c>
      <c r="AG227">
        <v>0.1875</v>
      </c>
      <c r="AH227">
        <v>2</v>
      </c>
      <c r="AI227">
        <v>45037903</v>
      </c>
      <c r="AJ227">
        <v>229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</row>
    <row r="228" spans="1:44" x14ac:dyDescent="0.2">
      <c r="A228">
        <f>ROW(Source!A234)</f>
        <v>234</v>
      </c>
      <c r="B228">
        <v>45038599</v>
      </c>
      <c r="C228">
        <v>45037899</v>
      </c>
      <c r="D228">
        <v>22725894</v>
      </c>
      <c r="E228">
        <v>1</v>
      </c>
      <c r="F228">
        <v>1</v>
      </c>
      <c r="G228">
        <v>22652947</v>
      </c>
      <c r="H228">
        <v>2</v>
      </c>
      <c r="I228" t="s">
        <v>686</v>
      </c>
      <c r="J228" t="s">
        <v>687</v>
      </c>
      <c r="K228" t="s">
        <v>688</v>
      </c>
      <c r="L228">
        <v>1367</v>
      </c>
      <c r="N228">
        <v>1011</v>
      </c>
      <c r="O228" t="s">
        <v>623</v>
      </c>
      <c r="P228" t="s">
        <v>623</v>
      </c>
      <c r="Q228">
        <v>1</v>
      </c>
      <c r="X228">
        <v>0.11</v>
      </c>
      <c r="Y228">
        <v>0</v>
      </c>
      <c r="Z228">
        <v>2.36</v>
      </c>
      <c r="AA228">
        <v>0.1</v>
      </c>
      <c r="AB228">
        <v>0</v>
      </c>
      <c r="AC228">
        <v>0</v>
      </c>
      <c r="AD228">
        <v>1</v>
      </c>
      <c r="AE228">
        <v>0</v>
      </c>
      <c r="AF228" t="s">
        <v>324</v>
      </c>
      <c r="AG228">
        <v>0.13750000000000001</v>
      </c>
      <c r="AH228">
        <v>2</v>
      </c>
      <c r="AI228">
        <v>45037904</v>
      </c>
      <c r="AJ228">
        <v>230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</row>
    <row r="229" spans="1:44" x14ac:dyDescent="0.2">
      <c r="A229">
        <f>ROW(Source!A234)</f>
        <v>234</v>
      </c>
      <c r="B229">
        <v>45038600</v>
      </c>
      <c r="C229">
        <v>45037899</v>
      </c>
      <c r="D229">
        <v>22703215</v>
      </c>
      <c r="E229">
        <v>1</v>
      </c>
      <c r="F229">
        <v>1</v>
      </c>
      <c r="G229">
        <v>22652947</v>
      </c>
      <c r="H229">
        <v>3</v>
      </c>
      <c r="I229" t="s">
        <v>723</v>
      </c>
      <c r="J229" t="s">
        <v>724</v>
      </c>
      <c r="K229" t="s">
        <v>725</v>
      </c>
      <c r="L229">
        <v>1346</v>
      </c>
      <c r="N229">
        <v>1009</v>
      </c>
      <c r="O229" t="s">
        <v>89</v>
      </c>
      <c r="P229" t="s">
        <v>89</v>
      </c>
      <c r="Q229">
        <v>1</v>
      </c>
      <c r="X229">
        <v>0.02</v>
      </c>
      <c r="Y229">
        <v>20.63</v>
      </c>
      <c r="Z229">
        <v>0</v>
      </c>
      <c r="AA229">
        <v>0</v>
      </c>
      <c r="AB229">
        <v>0</v>
      </c>
      <c r="AC229">
        <v>0</v>
      </c>
      <c r="AD229">
        <v>1</v>
      </c>
      <c r="AE229">
        <v>0</v>
      </c>
      <c r="AF229" t="s">
        <v>3</v>
      </c>
      <c r="AG229">
        <v>0.02</v>
      </c>
      <c r="AH229">
        <v>2</v>
      </c>
      <c r="AI229">
        <v>45037905</v>
      </c>
      <c r="AJ229">
        <v>231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</row>
    <row r="230" spans="1:44" x14ac:dyDescent="0.2">
      <c r="A230">
        <f>ROW(Source!A234)</f>
        <v>234</v>
      </c>
      <c r="B230">
        <v>45038601</v>
      </c>
      <c r="C230">
        <v>45037899</v>
      </c>
      <c r="D230">
        <v>37095323</v>
      </c>
      <c r="E230">
        <v>22652947</v>
      </c>
      <c r="F230">
        <v>1</v>
      </c>
      <c r="G230">
        <v>22652947</v>
      </c>
      <c r="H230">
        <v>3</v>
      </c>
      <c r="I230" t="s">
        <v>829</v>
      </c>
      <c r="J230" t="s">
        <v>3</v>
      </c>
      <c r="K230" t="s">
        <v>830</v>
      </c>
      <c r="L230">
        <v>1354</v>
      </c>
      <c r="N230">
        <v>1010</v>
      </c>
      <c r="O230" t="s">
        <v>304</v>
      </c>
      <c r="P230" t="s">
        <v>304</v>
      </c>
      <c r="Q230">
        <v>1</v>
      </c>
      <c r="X230">
        <v>1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 t="s">
        <v>3</v>
      </c>
      <c r="AG230">
        <v>1</v>
      </c>
      <c r="AH230">
        <v>3</v>
      </c>
      <c r="AI230">
        <v>-1</v>
      </c>
      <c r="AJ230" t="s">
        <v>3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</row>
    <row r="231" spans="1:44" x14ac:dyDescent="0.2">
      <c r="A231">
        <f>ROW(Source!A271)</f>
        <v>271</v>
      </c>
      <c r="B231">
        <v>45038602</v>
      </c>
      <c r="C231">
        <v>45037969</v>
      </c>
      <c r="D231">
        <v>22652952</v>
      </c>
      <c r="E231">
        <v>22652947</v>
      </c>
      <c r="F231">
        <v>1</v>
      </c>
      <c r="G231">
        <v>22652947</v>
      </c>
      <c r="H231">
        <v>1</v>
      </c>
      <c r="I231" t="s">
        <v>617</v>
      </c>
      <c r="J231" t="s">
        <v>3</v>
      </c>
      <c r="K231" t="s">
        <v>618</v>
      </c>
      <c r="L231">
        <v>1191</v>
      </c>
      <c r="N231">
        <v>1013</v>
      </c>
      <c r="O231" t="s">
        <v>619</v>
      </c>
      <c r="P231" t="s">
        <v>619</v>
      </c>
      <c r="Q231">
        <v>1</v>
      </c>
      <c r="X231">
        <v>0.4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1</v>
      </c>
      <c r="AE231">
        <v>1</v>
      </c>
      <c r="AF231" t="s">
        <v>37</v>
      </c>
      <c r="AG231">
        <v>0.45999999999999996</v>
      </c>
      <c r="AH231">
        <v>2</v>
      </c>
      <c r="AI231">
        <v>45037970</v>
      </c>
      <c r="AJ231">
        <v>233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</row>
    <row r="232" spans="1:44" x14ac:dyDescent="0.2">
      <c r="A232">
        <f>ROW(Source!A271)</f>
        <v>271</v>
      </c>
      <c r="B232">
        <v>45038603</v>
      </c>
      <c r="C232">
        <v>45037969</v>
      </c>
      <c r="D232">
        <v>22725608</v>
      </c>
      <c r="E232">
        <v>1</v>
      </c>
      <c r="F232">
        <v>1</v>
      </c>
      <c r="G232">
        <v>22652947</v>
      </c>
      <c r="H232">
        <v>2</v>
      </c>
      <c r="I232" t="s">
        <v>726</v>
      </c>
      <c r="J232" t="s">
        <v>727</v>
      </c>
      <c r="K232" t="s">
        <v>728</v>
      </c>
      <c r="L232">
        <v>1367</v>
      </c>
      <c r="N232">
        <v>1011</v>
      </c>
      <c r="O232" t="s">
        <v>623</v>
      </c>
      <c r="P232" t="s">
        <v>623</v>
      </c>
      <c r="Q232">
        <v>1</v>
      </c>
      <c r="X232">
        <v>0.05</v>
      </c>
      <c r="Y232">
        <v>0</v>
      </c>
      <c r="Z232">
        <v>8.65</v>
      </c>
      <c r="AA232">
        <v>0.81</v>
      </c>
      <c r="AB232">
        <v>0</v>
      </c>
      <c r="AC232">
        <v>0</v>
      </c>
      <c r="AD232">
        <v>1</v>
      </c>
      <c r="AE232">
        <v>0</v>
      </c>
      <c r="AF232" t="s">
        <v>36</v>
      </c>
      <c r="AG232">
        <v>6.25E-2</v>
      </c>
      <c r="AH232">
        <v>2</v>
      </c>
      <c r="AI232">
        <v>45037971</v>
      </c>
      <c r="AJ232">
        <v>234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</row>
    <row r="233" spans="1:44" x14ac:dyDescent="0.2">
      <c r="A233">
        <f>ROW(Source!A271)</f>
        <v>271</v>
      </c>
      <c r="B233">
        <v>45038604</v>
      </c>
      <c r="C233">
        <v>45037969</v>
      </c>
      <c r="D233">
        <v>22653672</v>
      </c>
      <c r="E233">
        <v>22652947</v>
      </c>
      <c r="F233">
        <v>1</v>
      </c>
      <c r="G233">
        <v>22652947</v>
      </c>
      <c r="H233">
        <v>2</v>
      </c>
      <c r="I233" t="s">
        <v>630</v>
      </c>
      <c r="J233" t="s">
        <v>3</v>
      </c>
      <c r="K233" t="s">
        <v>631</v>
      </c>
      <c r="L233">
        <v>1344</v>
      </c>
      <c r="N233">
        <v>1008</v>
      </c>
      <c r="O233" t="s">
        <v>632</v>
      </c>
      <c r="P233" t="s">
        <v>632</v>
      </c>
      <c r="Q233">
        <v>1</v>
      </c>
      <c r="X233">
        <v>0.17</v>
      </c>
      <c r="Y233">
        <v>0</v>
      </c>
      <c r="Z233">
        <v>1</v>
      </c>
      <c r="AA233">
        <v>0</v>
      </c>
      <c r="AB233">
        <v>0</v>
      </c>
      <c r="AC233">
        <v>0</v>
      </c>
      <c r="AD233">
        <v>1</v>
      </c>
      <c r="AE233">
        <v>0</v>
      </c>
      <c r="AF233" t="s">
        <v>36</v>
      </c>
      <c r="AG233">
        <v>0.21250000000000002</v>
      </c>
      <c r="AH233">
        <v>2</v>
      </c>
      <c r="AI233">
        <v>45037972</v>
      </c>
      <c r="AJ233">
        <v>235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</row>
    <row r="234" spans="1:44" x14ac:dyDescent="0.2">
      <c r="A234">
        <f>ROW(Source!A271)</f>
        <v>271</v>
      </c>
      <c r="B234">
        <v>45038605</v>
      </c>
      <c r="C234">
        <v>45037969</v>
      </c>
      <c r="D234">
        <v>22703836</v>
      </c>
      <c r="E234">
        <v>1</v>
      </c>
      <c r="F234">
        <v>1</v>
      </c>
      <c r="G234">
        <v>22652947</v>
      </c>
      <c r="H234">
        <v>3</v>
      </c>
      <c r="I234" t="s">
        <v>729</v>
      </c>
      <c r="J234" t="s">
        <v>730</v>
      </c>
      <c r="K234" t="s">
        <v>731</v>
      </c>
      <c r="L234">
        <v>1346</v>
      </c>
      <c r="N234">
        <v>1009</v>
      </c>
      <c r="O234" t="s">
        <v>89</v>
      </c>
      <c r="P234" t="s">
        <v>89</v>
      </c>
      <c r="Q234">
        <v>1</v>
      </c>
      <c r="X234">
        <v>0.32</v>
      </c>
      <c r="Y234">
        <v>25.43</v>
      </c>
      <c r="Z234">
        <v>0</v>
      </c>
      <c r="AA234">
        <v>0</v>
      </c>
      <c r="AB234">
        <v>0</v>
      </c>
      <c r="AC234">
        <v>0</v>
      </c>
      <c r="AD234">
        <v>1</v>
      </c>
      <c r="AE234">
        <v>0</v>
      </c>
      <c r="AF234" t="s">
        <v>3</v>
      </c>
      <c r="AG234">
        <v>0.32</v>
      </c>
      <c r="AH234">
        <v>2</v>
      </c>
      <c r="AI234">
        <v>45037973</v>
      </c>
      <c r="AJ234">
        <v>236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</row>
    <row r="235" spans="1:44" x14ac:dyDescent="0.2">
      <c r="A235">
        <f>ROW(Source!A271)</f>
        <v>271</v>
      </c>
      <c r="B235">
        <v>45038606</v>
      </c>
      <c r="C235">
        <v>45037969</v>
      </c>
      <c r="D235">
        <v>22703998</v>
      </c>
      <c r="E235">
        <v>1</v>
      </c>
      <c r="F235">
        <v>1</v>
      </c>
      <c r="G235">
        <v>22652947</v>
      </c>
      <c r="H235">
        <v>3</v>
      </c>
      <c r="I235" t="s">
        <v>732</v>
      </c>
      <c r="J235" t="s">
        <v>733</v>
      </c>
      <c r="K235" t="s">
        <v>734</v>
      </c>
      <c r="L235">
        <v>1296</v>
      </c>
      <c r="N235">
        <v>1002</v>
      </c>
      <c r="O235" t="s">
        <v>704</v>
      </c>
      <c r="P235" t="s">
        <v>704</v>
      </c>
      <c r="Q235">
        <v>1</v>
      </c>
      <c r="X235">
        <v>0.09</v>
      </c>
      <c r="Y235">
        <v>40.17</v>
      </c>
      <c r="Z235">
        <v>0</v>
      </c>
      <c r="AA235">
        <v>0</v>
      </c>
      <c r="AB235">
        <v>0</v>
      </c>
      <c r="AC235">
        <v>0</v>
      </c>
      <c r="AD235">
        <v>1</v>
      </c>
      <c r="AE235">
        <v>0</v>
      </c>
      <c r="AF235" t="s">
        <v>3</v>
      </c>
      <c r="AG235">
        <v>0.09</v>
      </c>
      <c r="AH235">
        <v>2</v>
      </c>
      <c r="AI235">
        <v>45037974</v>
      </c>
      <c r="AJ235">
        <v>237</v>
      </c>
      <c r="AK235">
        <v>0</v>
      </c>
      <c r="AL235">
        <v>0</v>
      </c>
      <c r="AM235">
        <v>0</v>
      </c>
      <c r="AN235">
        <v>0</v>
      </c>
      <c r="AO235">
        <v>0</v>
      </c>
      <c r="AP235">
        <v>0</v>
      </c>
      <c r="AQ235">
        <v>0</v>
      </c>
      <c r="AR235">
        <v>0</v>
      </c>
    </row>
    <row r="236" spans="1:44" x14ac:dyDescent="0.2">
      <c r="A236">
        <f>ROW(Source!A271)</f>
        <v>271</v>
      </c>
      <c r="B236">
        <v>45038607</v>
      </c>
      <c r="C236">
        <v>45037969</v>
      </c>
      <c r="D236">
        <v>22667649</v>
      </c>
      <c r="E236">
        <v>22652947</v>
      </c>
      <c r="F236">
        <v>1</v>
      </c>
      <c r="G236">
        <v>22652947</v>
      </c>
      <c r="H236">
        <v>3</v>
      </c>
      <c r="I236" t="s">
        <v>831</v>
      </c>
      <c r="J236" t="s">
        <v>3</v>
      </c>
      <c r="K236" t="s">
        <v>832</v>
      </c>
      <c r="L236">
        <v>1327</v>
      </c>
      <c r="N236">
        <v>1005</v>
      </c>
      <c r="O236" t="s">
        <v>101</v>
      </c>
      <c r="P236" t="s">
        <v>101</v>
      </c>
      <c r="Q236">
        <v>1</v>
      </c>
      <c r="X236">
        <v>0.9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 t="s">
        <v>3</v>
      </c>
      <c r="AG236">
        <v>0.9</v>
      </c>
      <c r="AH236">
        <v>3</v>
      </c>
      <c r="AI236">
        <v>-1</v>
      </c>
      <c r="AJ236" t="s">
        <v>3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</row>
    <row r="237" spans="1:44" x14ac:dyDescent="0.2">
      <c r="A237">
        <f>ROW(Source!A272)</f>
        <v>272</v>
      </c>
      <c r="B237">
        <v>45038602</v>
      </c>
      <c r="C237">
        <v>45037969</v>
      </c>
      <c r="D237">
        <v>22652952</v>
      </c>
      <c r="E237">
        <v>22652947</v>
      </c>
      <c r="F237">
        <v>1</v>
      </c>
      <c r="G237">
        <v>22652947</v>
      </c>
      <c r="H237">
        <v>1</v>
      </c>
      <c r="I237" t="s">
        <v>617</v>
      </c>
      <c r="J237" t="s">
        <v>3</v>
      </c>
      <c r="K237" t="s">
        <v>618</v>
      </c>
      <c r="L237">
        <v>1191</v>
      </c>
      <c r="N237">
        <v>1013</v>
      </c>
      <c r="O237" t="s">
        <v>619</v>
      </c>
      <c r="P237" t="s">
        <v>619</v>
      </c>
      <c r="Q237">
        <v>1</v>
      </c>
      <c r="X237">
        <v>0.4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1</v>
      </c>
      <c r="AE237">
        <v>1</v>
      </c>
      <c r="AF237" t="s">
        <v>37</v>
      </c>
      <c r="AG237">
        <v>0.45999999999999996</v>
      </c>
      <c r="AH237">
        <v>2</v>
      </c>
      <c r="AI237">
        <v>45037970</v>
      </c>
      <c r="AJ237">
        <v>239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</row>
    <row r="238" spans="1:44" x14ac:dyDescent="0.2">
      <c r="A238">
        <f>ROW(Source!A272)</f>
        <v>272</v>
      </c>
      <c r="B238">
        <v>45038603</v>
      </c>
      <c r="C238">
        <v>45037969</v>
      </c>
      <c r="D238">
        <v>22725608</v>
      </c>
      <c r="E238">
        <v>1</v>
      </c>
      <c r="F238">
        <v>1</v>
      </c>
      <c r="G238">
        <v>22652947</v>
      </c>
      <c r="H238">
        <v>2</v>
      </c>
      <c r="I238" t="s">
        <v>726</v>
      </c>
      <c r="J238" t="s">
        <v>727</v>
      </c>
      <c r="K238" t="s">
        <v>728</v>
      </c>
      <c r="L238">
        <v>1367</v>
      </c>
      <c r="N238">
        <v>1011</v>
      </c>
      <c r="O238" t="s">
        <v>623</v>
      </c>
      <c r="P238" t="s">
        <v>623</v>
      </c>
      <c r="Q238">
        <v>1</v>
      </c>
      <c r="X238">
        <v>0.05</v>
      </c>
      <c r="Y238">
        <v>0</v>
      </c>
      <c r="Z238">
        <v>8.65</v>
      </c>
      <c r="AA238">
        <v>0.81</v>
      </c>
      <c r="AB238">
        <v>0</v>
      </c>
      <c r="AC238">
        <v>0</v>
      </c>
      <c r="AD238">
        <v>1</v>
      </c>
      <c r="AE238">
        <v>0</v>
      </c>
      <c r="AF238" t="s">
        <v>36</v>
      </c>
      <c r="AG238">
        <v>6.25E-2</v>
      </c>
      <c r="AH238">
        <v>2</v>
      </c>
      <c r="AI238">
        <v>45037971</v>
      </c>
      <c r="AJ238">
        <v>240</v>
      </c>
      <c r="AK238">
        <v>0</v>
      </c>
      <c r="AL238">
        <v>0</v>
      </c>
      <c r="AM238">
        <v>0</v>
      </c>
      <c r="AN238">
        <v>0</v>
      </c>
      <c r="AO238">
        <v>0</v>
      </c>
      <c r="AP238">
        <v>0</v>
      </c>
      <c r="AQ238">
        <v>0</v>
      </c>
      <c r="AR238">
        <v>0</v>
      </c>
    </row>
    <row r="239" spans="1:44" x14ac:dyDescent="0.2">
      <c r="A239">
        <f>ROW(Source!A272)</f>
        <v>272</v>
      </c>
      <c r="B239">
        <v>45038604</v>
      </c>
      <c r="C239">
        <v>45037969</v>
      </c>
      <c r="D239">
        <v>22653672</v>
      </c>
      <c r="E239">
        <v>22652947</v>
      </c>
      <c r="F239">
        <v>1</v>
      </c>
      <c r="G239">
        <v>22652947</v>
      </c>
      <c r="H239">
        <v>2</v>
      </c>
      <c r="I239" t="s">
        <v>630</v>
      </c>
      <c r="J239" t="s">
        <v>3</v>
      </c>
      <c r="K239" t="s">
        <v>631</v>
      </c>
      <c r="L239">
        <v>1344</v>
      </c>
      <c r="N239">
        <v>1008</v>
      </c>
      <c r="O239" t="s">
        <v>632</v>
      </c>
      <c r="P239" t="s">
        <v>632</v>
      </c>
      <c r="Q239">
        <v>1</v>
      </c>
      <c r="X239">
        <v>0.17</v>
      </c>
      <c r="Y239">
        <v>0</v>
      </c>
      <c r="Z239">
        <v>1</v>
      </c>
      <c r="AA239">
        <v>0</v>
      </c>
      <c r="AB239">
        <v>0</v>
      </c>
      <c r="AC239">
        <v>0</v>
      </c>
      <c r="AD239">
        <v>1</v>
      </c>
      <c r="AE239">
        <v>0</v>
      </c>
      <c r="AF239" t="s">
        <v>36</v>
      </c>
      <c r="AG239">
        <v>0.21250000000000002</v>
      </c>
      <c r="AH239">
        <v>2</v>
      </c>
      <c r="AI239">
        <v>45037972</v>
      </c>
      <c r="AJ239">
        <v>241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</row>
    <row r="240" spans="1:44" x14ac:dyDescent="0.2">
      <c r="A240">
        <f>ROW(Source!A272)</f>
        <v>272</v>
      </c>
      <c r="B240">
        <v>45038605</v>
      </c>
      <c r="C240">
        <v>45037969</v>
      </c>
      <c r="D240">
        <v>22703836</v>
      </c>
      <c r="E240">
        <v>1</v>
      </c>
      <c r="F240">
        <v>1</v>
      </c>
      <c r="G240">
        <v>22652947</v>
      </c>
      <c r="H240">
        <v>3</v>
      </c>
      <c r="I240" t="s">
        <v>729</v>
      </c>
      <c r="J240" t="s">
        <v>730</v>
      </c>
      <c r="K240" t="s">
        <v>731</v>
      </c>
      <c r="L240">
        <v>1346</v>
      </c>
      <c r="N240">
        <v>1009</v>
      </c>
      <c r="O240" t="s">
        <v>89</v>
      </c>
      <c r="P240" t="s">
        <v>89</v>
      </c>
      <c r="Q240">
        <v>1</v>
      </c>
      <c r="X240">
        <v>0.32</v>
      </c>
      <c r="Y240">
        <v>25.43</v>
      </c>
      <c r="Z240">
        <v>0</v>
      </c>
      <c r="AA240">
        <v>0</v>
      </c>
      <c r="AB240">
        <v>0</v>
      </c>
      <c r="AC240">
        <v>0</v>
      </c>
      <c r="AD240">
        <v>1</v>
      </c>
      <c r="AE240">
        <v>0</v>
      </c>
      <c r="AF240" t="s">
        <v>3</v>
      </c>
      <c r="AG240">
        <v>0.32</v>
      </c>
      <c r="AH240">
        <v>2</v>
      </c>
      <c r="AI240">
        <v>45037973</v>
      </c>
      <c r="AJ240">
        <v>242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</row>
    <row r="241" spans="1:44" x14ac:dyDescent="0.2">
      <c r="A241">
        <f>ROW(Source!A272)</f>
        <v>272</v>
      </c>
      <c r="B241">
        <v>45038606</v>
      </c>
      <c r="C241">
        <v>45037969</v>
      </c>
      <c r="D241">
        <v>22703998</v>
      </c>
      <c r="E241">
        <v>1</v>
      </c>
      <c r="F241">
        <v>1</v>
      </c>
      <c r="G241">
        <v>22652947</v>
      </c>
      <c r="H241">
        <v>3</v>
      </c>
      <c r="I241" t="s">
        <v>732</v>
      </c>
      <c r="J241" t="s">
        <v>733</v>
      </c>
      <c r="K241" t="s">
        <v>734</v>
      </c>
      <c r="L241">
        <v>1296</v>
      </c>
      <c r="N241">
        <v>1002</v>
      </c>
      <c r="O241" t="s">
        <v>704</v>
      </c>
      <c r="P241" t="s">
        <v>704</v>
      </c>
      <c r="Q241">
        <v>1</v>
      </c>
      <c r="X241">
        <v>0.09</v>
      </c>
      <c r="Y241">
        <v>40.17</v>
      </c>
      <c r="Z241">
        <v>0</v>
      </c>
      <c r="AA241">
        <v>0</v>
      </c>
      <c r="AB241">
        <v>0</v>
      </c>
      <c r="AC241">
        <v>0</v>
      </c>
      <c r="AD241">
        <v>1</v>
      </c>
      <c r="AE241">
        <v>0</v>
      </c>
      <c r="AF241" t="s">
        <v>3</v>
      </c>
      <c r="AG241">
        <v>0.09</v>
      </c>
      <c r="AH241">
        <v>2</v>
      </c>
      <c r="AI241">
        <v>45037974</v>
      </c>
      <c r="AJ241">
        <v>243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0</v>
      </c>
      <c r="AQ241">
        <v>0</v>
      </c>
      <c r="AR241">
        <v>0</v>
      </c>
    </row>
    <row r="242" spans="1:44" x14ac:dyDescent="0.2">
      <c r="A242">
        <f>ROW(Source!A272)</f>
        <v>272</v>
      </c>
      <c r="B242">
        <v>45038607</v>
      </c>
      <c r="C242">
        <v>45037969</v>
      </c>
      <c r="D242">
        <v>22667649</v>
      </c>
      <c r="E242">
        <v>22652947</v>
      </c>
      <c r="F242">
        <v>1</v>
      </c>
      <c r="G242">
        <v>22652947</v>
      </c>
      <c r="H242">
        <v>3</v>
      </c>
      <c r="I242" t="s">
        <v>831</v>
      </c>
      <c r="J242" t="s">
        <v>3</v>
      </c>
      <c r="K242" t="s">
        <v>832</v>
      </c>
      <c r="L242">
        <v>1327</v>
      </c>
      <c r="N242">
        <v>1005</v>
      </c>
      <c r="O242" t="s">
        <v>101</v>
      </c>
      <c r="P242" t="s">
        <v>101</v>
      </c>
      <c r="Q242">
        <v>1</v>
      </c>
      <c r="X242">
        <v>0.9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 t="s">
        <v>3</v>
      </c>
      <c r="AG242">
        <v>0.9</v>
      </c>
      <c r="AH242">
        <v>3</v>
      </c>
      <c r="AI242">
        <v>-1</v>
      </c>
      <c r="AJ242" t="s">
        <v>3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</row>
    <row r="243" spans="1:44" x14ac:dyDescent="0.2">
      <c r="A243">
        <f>ROW(Source!A275)</f>
        <v>275</v>
      </c>
      <c r="B243">
        <v>45038608</v>
      </c>
      <c r="C243">
        <v>45037983</v>
      </c>
      <c r="D243">
        <v>22652952</v>
      </c>
      <c r="E243">
        <v>22652947</v>
      </c>
      <c r="F243">
        <v>1</v>
      </c>
      <c r="G243">
        <v>22652947</v>
      </c>
      <c r="H243">
        <v>1</v>
      </c>
      <c r="I243" t="s">
        <v>617</v>
      </c>
      <c r="J243" t="s">
        <v>3</v>
      </c>
      <c r="K243" t="s">
        <v>618</v>
      </c>
      <c r="L243">
        <v>1191</v>
      </c>
      <c r="N243">
        <v>1013</v>
      </c>
      <c r="O243" t="s">
        <v>619</v>
      </c>
      <c r="P243" t="s">
        <v>619</v>
      </c>
      <c r="Q243">
        <v>1</v>
      </c>
      <c r="X243">
        <v>3.88</v>
      </c>
      <c r="Y243">
        <v>0</v>
      </c>
      <c r="Z243">
        <v>0</v>
      </c>
      <c r="AA243">
        <v>0</v>
      </c>
      <c r="AB243">
        <v>0</v>
      </c>
      <c r="AC243">
        <v>0</v>
      </c>
      <c r="AD243">
        <v>1</v>
      </c>
      <c r="AE243">
        <v>1</v>
      </c>
      <c r="AF243" t="s">
        <v>37</v>
      </c>
      <c r="AG243">
        <v>4.4619999999999997</v>
      </c>
      <c r="AH243">
        <v>2</v>
      </c>
      <c r="AI243">
        <v>45037984</v>
      </c>
      <c r="AJ243">
        <v>245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0</v>
      </c>
      <c r="AQ243">
        <v>0</v>
      </c>
      <c r="AR243">
        <v>0</v>
      </c>
    </row>
    <row r="244" spans="1:44" x14ac:dyDescent="0.2">
      <c r="A244">
        <f>ROW(Source!A275)</f>
        <v>275</v>
      </c>
      <c r="B244">
        <v>45038609</v>
      </c>
      <c r="C244">
        <v>45037983</v>
      </c>
      <c r="D244">
        <v>22725874</v>
      </c>
      <c r="E244">
        <v>1</v>
      </c>
      <c r="F244">
        <v>1</v>
      </c>
      <c r="G244">
        <v>22652947</v>
      </c>
      <c r="H244">
        <v>2</v>
      </c>
      <c r="I244" t="s">
        <v>735</v>
      </c>
      <c r="J244" t="s">
        <v>736</v>
      </c>
      <c r="K244" t="s">
        <v>833</v>
      </c>
      <c r="L244">
        <v>1367</v>
      </c>
      <c r="N244">
        <v>1011</v>
      </c>
      <c r="O244" t="s">
        <v>623</v>
      </c>
      <c r="P244" t="s">
        <v>623</v>
      </c>
      <c r="Q244">
        <v>1</v>
      </c>
      <c r="X244">
        <v>0.05</v>
      </c>
      <c r="Y244">
        <v>0</v>
      </c>
      <c r="Z244">
        <v>42.2</v>
      </c>
      <c r="AA244">
        <v>18.38</v>
      </c>
      <c r="AB244">
        <v>0</v>
      </c>
      <c r="AC244">
        <v>0</v>
      </c>
      <c r="AD244">
        <v>1</v>
      </c>
      <c r="AE244">
        <v>0</v>
      </c>
      <c r="AF244" t="s">
        <v>36</v>
      </c>
      <c r="AG244">
        <v>6.25E-2</v>
      </c>
      <c r="AH244">
        <v>2</v>
      </c>
      <c r="AI244">
        <v>45037985</v>
      </c>
      <c r="AJ244">
        <v>246</v>
      </c>
      <c r="AK244">
        <v>0</v>
      </c>
      <c r="AL244">
        <v>0</v>
      </c>
      <c r="AM244">
        <v>0</v>
      </c>
      <c r="AN244">
        <v>0</v>
      </c>
      <c r="AO244">
        <v>0</v>
      </c>
      <c r="AP244">
        <v>0</v>
      </c>
      <c r="AQ244">
        <v>0</v>
      </c>
      <c r="AR244">
        <v>0</v>
      </c>
    </row>
    <row r="245" spans="1:44" x14ac:dyDescent="0.2">
      <c r="A245">
        <f>ROW(Source!A275)</f>
        <v>275</v>
      </c>
      <c r="B245">
        <v>45038610</v>
      </c>
      <c r="C245">
        <v>45037983</v>
      </c>
      <c r="D245">
        <v>22725860</v>
      </c>
      <c r="E245">
        <v>1</v>
      </c>
      <c r="F245">
        <v>1</v>
      </c>
      <c r="G245">
        <v>22652947</v>
      </c>
      <c r="H245">
        <v>2</v>
      </c>
      <c r="I245" t="s">
        <v>660</v>
      </c>
      <c r="J245" t="s">
        <v>661</v>
      </c>
      <c r="K245" t="s">
        <v>662</v>
      </c>
      <c r="L245">
        <v>1367</v>
      </c>
      <c r="N245">
        <v>1011</v>
      </c>
      <c r="O245" t="s">
        <v>623</v>
      </c>
      <c r="P245" t="s">
        <v>623</v>
      </c>
      <c r="Q245">
        <v>1</v>
      </c>
      <c r="X245">
        <v>7.0000000000000007E-2</v>
      </c>
      <c r="Y245">
        <v>0</v>
      </c>
      <c r="Z245">
        <v>76.81</v>
      </c>
      <c r="AA245">
        <v>14.36</v>
      </c>
      <c r="AB245">
        <v>0</v>
      </c>
      <c r="AC245">
        <v>0</v>
      </c>
      <c r="AD245">
        <v>1</v>
      </c>
      <c r="AE245">
        <v>0</v>
      </c>
      <c r="AF245" t="s">
        <v>36</v>
      </c>
      <c r="AG245">
        <v>8.7500000000000008E-2</v>
      </c>
      <c r="AH245">
        <v>2</v>
      </c>
      <c r="AI245">
        <v>45037986</v>
      </c>
      <c r="AJ245">
        <v>247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</row>
    <row r="246" spans="1:44" x14ac:dyDescent="0.2">
      <c r="A246">
        <f>ROW(Source!A275)</f>
        <v>275</v>
      </c>
      <c r="B246">
        <v>45038611</v>
      </c>
      <c r="C246">
        <v>45037983</v>
      </c>
      <c r="D246">
        <v>22700967</v>
      </c>
      <c r="E246">
        <v>1</v>
      </c>
      <c r="F246">
        <v>1</v>
      </c>
      <c r="G246">
        <v>22652947</v>
      </c>
      <c r="H246">
        <v>3</v>
      </c>
      <c r="I246" t="s">
        <v>273</v>
      </c>
      <c r="J246" t="s">
        <v>275</v>
      </c>
      <c r="K246" t="s">
        <v>274</v>
      </c>
      <c r="L246">
        <v>1339</v>
      </c>
      <c r="N246">
        <v>1007</v>
      </c>
      <c r="O246" t="s">
        <v>80</v>
      </c>
      <c r="P246" t="s">
        <v>80</v>
      </c>
      <c r="Q246">
        <v>1</v>
      </c>
      <c r="X246">
        <v>2.5000000000000001E-2</v>
      </c>
      <c r="Y246">
        <v>7.07</v>
      </c>
      <c r="Z246">
        <v>0</v>
      </c>
      <c r="AA246">
        <v>0</v>
      </c>
      <c r="AB246">
        <v>0</v>
      </c>
      <c r="AC246">
        <v>0</v>
      </c>
      <c r="AD246">
        <v>1</v>
      </c>
      <c r="AE246">
        <v>0</v>
      </c>
      <c r="AF246" t="s">
        <v>3</v>
      </c>
      <c r="AG246">
        <v>2.5000000000000001E-2</v>
      </c>
      <c r="AH246">
        <v>2</v>
      </c>
      <c r="AI246">
        <v>45037987</v>
      </c>
      <c r="AJ246">
        <v>248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0</v>
      </c>
    </row>
    <row r="247" spans="1:44" x14ac:dyDescent="0.2">
      <c r="A247">
        <f>ROW(Source!A275)</f>
        <v>275</v>
      </c>
      <c r="B247">
        <v>45038612</v>
      </c>
      <c r="C247">
        <v>45037983</v>
      </c>
      <c r="D247">
        <v>22670609</v>
      </c>
      <c r="E247">
        <v>22652947</v>
      </c>
      <c r="F247">
        <v>1</v>
      </c>
      <c r="G247">
        <v>22652947</v>
      </c>
      <c r="H247">
        <v>3</v>
      </c>
      <c r="I247" t="s">
        <v>834</v>
      </c>
      <c r="J247" t="s">
        <v>3</v>
      </c>
      <c r="K247" t="s">
        <v>835</v>
      </c>
      <c r="L247">
        <v>1348</v>
      </c>
      <c r="N247">
        <v>1009</v>
      </c>
      <c r="O247" t="s">
        <v>29</v>
      </c>
      <c r="P247" t="s">
        <v>29</v>
      </c>
      <c r="Q247">
        <v>1000</v>
      </c>
      <c r="X247">
        <v>0.14349999999999999</v>
      </c>
      <c r="Y247">
        <v>0</v>
      </c>
      <c r="Z247">
        <v>0</v>
      </c>
      <c r="AA247">
        <v>0</v>
      </c>
      <c r="AB247">
        <v>0</v>
      </c>
      <c r="AC247">
        <v>0</v>
      </c>
      <c r="AD247">
        <v>0</v>
      </c>
      <c r="AE247">
        <v>0</v>
      </c>
      <c r="AF247" t="s">
        <v>3</v>
      </c>
      <c r="AG247">
        <v>0.14349999999999999</v>
      </c>
      <c r="AH247">
        <v>3</v>
      </c>
      <c r="AI247">
        <v>-1</v>
      </c>
      <c r="AJ247" t="s">
        <v>3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0</v>
      </c>
      <c r="AQ247">
        <v>0</v>
      </c>
      <c r="AR247">
        <v>0</v>
      </c>
    </row>
    <row r="248" spans="1:44" x14ac:dyDescent="0.2">
      <c r="A248">
        <f>ROW(Source!A275)</f>
        <v>275</v>
      </c>
      <c r="B248">
        <v>45038613</v>
      </c>
      <c r="C248">
        <v>45037983</v>
      </c>
      <c r="D248">
        <v>22670265</v>
      </c>
      <c r="E248">
        <v>22652947</v>
      </c>
      <c r="F248">
        <v>1</v>
      </c>
      <c r="G248">
        <v>22652947</v>
      </c>
      <c r="H248">
        <v>3</v>
      </c>
      <c r="I248" t="s">
        <v>836</v>
      </c>
      <c r="J248" t="s">
        <v>3</v>
      </c>
      <c r="K248" t="s">
        <v>837</v>
      </c>
      <c r="L248">
        <v>1327</v>
      </c>
      <c r="N248">
        <v>1005</v>
      </c>
      <c r="O248" t="s">
        <v>101</v>
      </c>
      <c r="P248" t="s">
        <v>101</v>
      </c>
      <c r="Q248">
        <v>1</v>
      </c>
      <c r="X248">
        <v>2.5</v>
      </c>
      <c r="Y248">
        <v>0</v>
      </c>
      <c r="Z248">
        <v>0</v>
      </c>
      <c r="AA248">
        <v>0</v>
      </c>
      <c r="AB248">
        <v>0</v>
      </c>
      <c r="AC248">
        <v>0</v>
      </c>
      <c r="AD248">
        <v>0</v>
      </c>
      <c r="AE248">
        <v>0</v>
      </c>
      <c r="AF248" t="s">
        <v>3</v>
      </c>
      <c r="AG248">
        <v>2.5</v>
      </c>
      <c r="AH248">
        <v>3</v>
      </c>
      <c r="AI248">
        <v>-1</v>
      </c>
      <c r="AJ248" t="s">
        <v>3</v>
      </c>
      <c r="AK248">
        <v>0</v>
      </c>
      <c r="AL248">
        <v>0</v>
      </c>
      <c r="AM248">
        <v>0</v>
      </c>
      <c r="AN248">
        <v>0</v>
      </c>
      <c r="AO248">
        <v>0</v>
      </c>
      <c r="AP248">
        <v>0</v>
      </c>
      <c r="AQ248">
        <v>0</v>
      </c>
      <c r="AR248">
        <v>0</v>
      </c>
    </row>
    <row r="249" spans="1:44" x14ac:dyDescent="0.2">
      <c r="A249">
        <f>ROW(Source!A276)</f>
        <v>276</v>
      </c>
      <c r="B249">
        <v>45038608</v>
      </c>
      <c r="C249">
        <v>45037983</v>
      </c>
      <c r="D249">
        <v>22652952</v>
      </c>
      <c r="E249">
        <v>22652947</v>
      </c>
      <c r="F249">
        <v>1</v>
      </c>
      <c r="G249">
        <v>22652947</v>
      </c>
      <c r="H249">
        <v>1</v>
      </c>
      <c r="I249" t="s">
        <v>617</v>
      </c>
      <c r="J249" t="s">
        <v>3</v>
      </c>
      <c r="K249" t="s">
        <v>618</v>
      </c>
      <c r="L249">
        <v>1191</v>
      </c>
      <c r="N249">
        <v>1013</v>
      </c>
      <c r="O249" t="s">
        <v>619</v>
      </c>
      <c r="P249" t="s">
        <v>619</v>
      </c>
      <c r="Q249">
        <v>1</v>
      </c>
      <c r="X249">
        <v>3.88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1</v>
      </c>
      <c r="AE249">
        <v>1</v>
      </c>
      <c r="AF249" t="s">
        <v>37</v>
      </c>
      <c r="AG249">
        <v>4.4619999999999997</v>
      </c>
      <c r="AH249">
        <v>2</v>
      </c>
      <c r="AI249">
        <v>45037984</v>
      </c>
      <c r="AJ249">
        <v>251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</row>
    <row r="250" spans="1:44" x14ac:dyDescent="0.2">
      <c r="A250">
        <f>ROW(Source!A276)</f>
        <v>276</v>
      </c>
      <c r="B250">
        <v>45038609</v>
      </c>
      <c r="C250">
        <v>45037983</v>
      </c>
      <c r="D250">
        <v>22725874</v>
      </c>
      <c r="E250">
        <v>1</v>
      </c>
      <c r="F250">
        <v>1</v>
      </c>
      <c r="G250">
        <v>22652947</v>
      </c>
      <c r="H250">
        <v>2</v>
      </c>
      <c r="I250" t="s">
        <v>735</v>
      </c>
      <c r="J250" t="s">
        <v>736</v>
      </c>
      <c r="K250" t="s">
        <v>833</v>
      </c>
      <c r="L250">
        <v>1367</v>
      </c>
      <c r="N250">
        <v>1011</v>
      </c>
      <c r="O250" t="s">
        <v>623</v>
      </c>
      <c r="P250" t="s">
        <v>623</v>
      </c>
      <c r="Q250">
        <v>1</v>
      </c>
      <c r="X250">
        <v>0.05</v>
      </c>
      <c r="Y250">
        <v>0</v>
      </c>
      <c r="Z250">
        <v>42.2</v>
      </c>
      <c r="AA250">
        <v>18.38</v>
      </c>
      <c r="AB250">
        <v>0</v>
      </c>
      <c r="AC250">
        <v>0</v>
      </c>
      <c r="AD250">
        <v>1</v>
      </c>
      <c r="AE250">
        <v>0</v>
      </c>
      <c r="AF250" t="s">
        <v>36</v>
      </c>
      <c r="AG250">
        <v>6.25E-2</v>
      </c>
      <c r="AH250">
        <v>2</v>
      </c>
      <c r="AI250">
        <v>45037985</v>
      </c>
      <c r="AJ250">
        <v>252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</row>
    <row r="251" spans="1:44" x14ac:dyDescent="0.2">
      <c r="A251">
        <f>ROW(Source!A276)</f>
        <v>276</v>
      </c>
      <c r="B251">
        <v>45038610</v>
      </c>
      <c r="C251">
        <v>45037983</v>
      </c>
      <c r="D251">
        <v>22725860</v>
      </c>
      <c r="E251">
        <v>1</v>
      </c>
      <c r="F251">
        <v>1</v>
      </c>
      <c r="G251">
        <v>22652947</v>
      </c>
      <c r="H251">
        <v>2</v>
      </c>
      <c r="I251" t="s">
        <v>660</v>
      </c>
      <c r="J251" t="s">
        <v>661</v>
      </c>
      <c r="K251" t="s">
        <v>662</v>
      </c>
      <c r="L251">
        <v>1367</v>
      </c>
      <c r="N251">
        <v>1011</v>
      </c>
      <c r="O251" t="s">
        <v>623</v>
      </c>
      <c r="P251" t="s">
        <v>623</v>
      </c>
      <c r="Q251">
        <v>1</v>
      </c>
      <c r="X251">
        <v>7.0000000000000007E-2</v>
      </c>
      <c r="Y251">
        <v>0</v>
      </c>
      <c r="Z251">
        <v>76.81</v>
      </c>
      <c r="AA251">
        <v>14.36</v>
      </c>
      <c r="AB251">
        <v>0</v>
      </c>
      <c r="AC251">
        <v>0</v>
      </c>
      <c r="AD251">
        <v>1</v>
      </c>
      <c r="AE251">
        <v>0</v>
      </c>
      <c r="AF251" t="s">
        <v>36</v>
      </c>
      <c r="AG251">
        <v>8.7500000000000008E-2</v>
      </c>
      <c r="AH251">
        <v>2</v>
      </c>
      <c r="AI251">
        <v>45037986</v>
      </c>
      <c r="AJ251">
        <v>253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</row>
    <row r="252" spans="1:44" x14ac:dyDescent="0.2">
      <c r="A252">
        <f>ROW(Source!A276)</f>
        <v>276</v>
      </c>
      <c r="B252">
        <v>45038611</v>
      </c>
      <c r="C252">
        <v>45037983</v>
      </c>
      <c r="D252">
        <v>22700967</v>
      </c>
      <c r="E252">
        <v>1</v>
      </c>
      <c r="F252">
        <v>1</v>
      </c>
      <c r="G252">
        <v>22652947</v>
      </c>
      <c r="H252">
        <v>3</v>
      </c>
      <c r="I252" t="s">
        <v>273</v>
      </c>
      <c r="J252" t="s">
        <v>275</v>
      </c>
      <c r="K252" t="s">
        <v>274</v>
      </c>
      <c r="L252">
        <v>1339</v>
      </c>
      <c r="N252">
        <v>1007</v>
      </c>
      <c r="O252" t="s">
        <v>80</v>
      </c>
      <c r="P252" t="s">
        <v>80</v>
      </c>
      <c r="Q252">
        <v>1</v>
      </c>
      <c r="X252">
        <v>2.5000000000000001E-2</v>
      </c>
      <c r="Y252">
        <v>7.07</v>
      </c>
      <c r="Z252">
        <v>0</v>
      </c>
      <c r="AA252">
        <v>0</v>
      </c>
      <c r="AB252">
        <v>0</v>
      </c>
      <c r="AC252">
        <v>0</v>
      </c>
      <c r="AD252">
        <v>1</v>
      </c>
      <c r="AE252">
        <v>0</v>
      </c>
      <c r="AF252" t="s">
        <v>3</v>
      </c>
      <c r="AG252">
        <v>2.5000000000000001E-2</v>
      </c>
      <c r="AH252">
        <v>2</v>
      </c>
      <c r="AI252">
        <v>45037987</v>
      </c>
      <c r="AJ252">
        <v>254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</row>
    <row r="253" spans="1:44" x14ac:dyDescent="0.2">
      <c r="A253">
        <f>ROW(Source!A276)</f>
        <v>276</v>
      </c>
      <c r="B253">
        <v>45038612</v>
      </c>
      <c r="C253">
        <v>45037983</v>
      </c>
      <c r="D253">
        <v>22670609</v>
      </c>
      <c r="E253">
        <v>22652947</v>
      </c>
      <c r="F253">
        <v>1</v>
      </c>
      <c r="G253">
        <v>22652947</v>
      </c>
      <c r="H253">
        <v>3</v>
      </c>
      <c r="I253" t="s">
        <v>834</v>
      </c>
      <c r="J253" t="s">
        <v>3</v>
      </c>
      <c r="K253" t="s">
        <v>835</v>
      </c>
      <c r="L253">
        <v>1348</v>
      </c>
      <c r="N253">
        <v>1009</v>
      </c>
      <c r="O253" t="s">
        <v>29</v>
      </c>
      <c r="P253" t="s">
        <v>29</v>
      </c>
      <c r="Q253">
        <v>1000</v>
      </c>
      <c r="X253">
        <v>0.14349999999999999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 t="s">
        <v>3</v>
      </c>
      <c r="AG253">
        <v>0.14349999999999999</v>
      </c>
      <c r="AH253">
        <v>3</v>
      </c>
      <c r="AI253">
        <v>-1</v>
      </c>
      <c r="AJ253" t="s">
        <v>3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</row>
    <row r="254" spans="1:44" x14ac:dyDescent="0.2">
      <c r="A254">
        <f>ROW(Source!A276)</f>
        <v>276</v>
      </c>
      <c r="B254">
        <v>45038613</v>
      </c>
      <c r="C254">
        <v>45037983</v>
      </c>
      <c r="D254">
        <v>22670265</v>
      </c>
      <c r="E254">
        <v>22652947</v>
      </c>
      <c r="F254">
        <v>1</v>
      </c>
      <c r="G254">
        <v>22652947</v>
      </c>
      <c r="H254">
        <v>3</v>
      </c>
      <c r="I254" t="s">
        <v>836</v>
      </c>
      <c r="J254" t="s">
        <v>3</v>
      </c>
      <c r="K254" t="s">
        <v>837</v>
      </c>
      <c r="L254">
        <v>1327</v>
      </c>
      <c r="N254">
        <v>1005</v>
      </c>
      <c r="O254" t="s">
        <v>101</v>
      </c>
      <c r="P254" t="s">
        <v>101</v>
      </c>
      <c r="Q254">
        <v>1</v>
      </c>
      <c r="X254">
        <v>2.5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 t="s">
        <v>3</v>
      </c>
      <c r="AG254">
        <v>2.5</v>
      </c>
      <c r="AH254">
        <v>3</v>
      </c>
      <c r="AI254">
        <v>-1</v>
      </c>
      <c r="AJ254" t="s">
        <v>3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</row>
    <row r="255" spans="1:44" x14ac:dyDescent="0.2">
      <c r="A255">
        <f>ROW(Source!A281)</f>
        <v>281</v>
      </c>
      <c r="B255">
        <v>45038614</v>
      </c>
      <c r="C255">
        <v>45037998</v>
      </c>
      <c r="D255">
        <v>22652952</v>
      </c>
      <c r="E255">
        <v>22652947</v>
      </c>
      <c r="F255">
        <v>1</v>
      </c>
      <c r="G255">
        <v>22652947</v>
      </c>
      <c r="H255">
        <v>1</v>
      </c>
      <c r="I255" t="s">
        <v>617</v>
      </c>
      <c r="J255" t="s">
        <v>3</v>
      </c>
      <c r="K255" t="s">
        <v>618</v>
      </c>
      <c r="L255">
        <v>1191</v>
      </c>
      <c r="N255">
        <v>1013</v>
      </c>
      <c r="O255" t="s">
        <v>619</v>
      </c>
      <c r="P255" t="s">
        <v>619</v>
      </c>
      <c r="Q255">
        <v>1</v>
      </c>
      <c r="X255">
        <v>83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1</v>
      </c>
      <c r="AE255">
        <v>1</v>
      </c>
      <c r="AF255" t="s">
        <v>37</v>
      </c>
      <c r="AG255">
        <v>95.449999999999989</v>
      </c>
      <c r="AH255">
        <v>2</v>
      </c>
      <c r="AI255">
        <v>45037999</v>
      </c>
      <c r="AJ255">
        <v>257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</row>
    <row r="256" spans="1:44" x14ac:dyDescent="0.2">
      <c r="A256">
        <f>ROW(Source!A281)</f>
        <v>281</v>
      </c>
      <c r="B256">
        <v>45038615</v>
      </c>
      <c r="C256">
        <v>45037998</v>
      </c>
      <c r="D256">
        <v>22683994</v>
      </c>
      <c r="E256">
        <v>22652947</v>
      </c>
      <c r="F256">
        <v>1</v>
      </c>
      <c r="G256">
        <v>22652947</v>
      </c>
      <c r="H256">
        <v>3</v>
      </c>
      <c r="I256" t="s">
        <v>838</v>
      </c>
      <c r="J256" t="s">
        <v>3</v>
      </c>
      <c r="K256" t="s">
        <v>839</v>
      </c>
      <c r="L256">
        <v>1348</v>
      </c>
      <c r="N256">
        <v>1009</v>
      </c>
      <c r="O256" t="s">
        <v>29</v>
      </c>
      <c r="P256" t="s">
        <v>29</v>
      </c>
      <c r="Q256">
        <v>1000</v>
      </c>
      <c r="X256">
        <v>7.0000000000000007E-2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 t="s">
        <v>3</v>
      </c>
      <c r="AG256">
        <v>7.0000000000000007E-2</v>
      </c>
      <c r="AH256">
        <v>3</v>
      </c>
      <c r="AI256">
        <v>-1</v>
      </c>
      <c r="AJ256" t="s">
        <v>3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</row>
    <row r="257" spans="1:44" x14ac:dyDescent="0.2">
      <c r="A257">
        <f>ROW(Source!A281)</f>
        <v>281</v>
      </c>
      <c r="B257">
        <v>45038616</v>
      </c>
      <c r="C257">
        <v>45037998</v>
      </c>
      <c r="D257">
        <v>22667763</v>
      </c>
      <c r="E257">
        <v>22652947</v>
      </c>
      <c r="F257">
        <v>1</v>
      </c>
      <c r="G257">
        <v>22652947</v>
      </c>
      <c r="H257">
        <v>3</v>
      </c>
      <c r="I257" t="s">
        <v>840</v>
      </c>
      <c r="J257" t="s">
        <v>3</v>
      </c>
      <c r="K257" t="s">
        <v>841</v>
      </c>
      <c r="L257">
        <v>1327</v>
      </c>
      <c r="N257">
        <v>1005</v>
      </c>
      <c r="O257" t="s">
        <v>101</v>
      </c>
      <c r="P257" t="s">
        <v>101</v>
      </c>
      <c r="Q257">
        <v>1</v>
      </c>
      <c r="X257">
        <v>105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 t="s">
        <v>3</v>
      </c>
      <c r="AG257">
        <v>105</v>
      </c>
      <c r="AH257">
        <v>3</v>
      </c>
      <c r="AI257">
        <v>-1</v>
      </c>
      <c r="AJ257" t="s">
        <v>3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</row>
    <row r="258" spans="1:44" x14ac:dyDescent="0.2">
      <c r="A258">
        <f>ROW(Source!A281)</f>
        <v>281</v>
      </c>
      <c r="B258">
        <v>45038617</v>
      </c>
      <c r="C258">
        <v>45037998</v>
      </c>
      <c r="D258">
        <v>22674651</v>
      </c>
      <c r="E258">
        <v>22652947</v>
      </c>
      <c r="F258">
        <v>1</v>
      </c>
      <c r="G258">
        <v>22652947</v>
      </c>
      <c r="H258">
        <v>3</v>
      </c>
      <c r="I258" t="s">
        <v>675</v>
      </c>
      <c r="J258" t="s">
        <v>3</v>
      </c>
      <c r="K258" t="s">
        <v>676</v>
      </c>
      <c r="L258">
        <v>1344</v>
      </c>
      <c r="N258">
        <v>1008</v>
      </c>
      <c r="O258" t="s">
        <v>632</v>
      </c>
      <c r="P258" t="s">
        <v>632</v>
      </c>
      <c r="Q258">
        <v>1</v>
      </c>
      <c r="X258">
        <v>147.6</v>
      </c>
      <c r="Y258">
        <v>1</v>
      </c>
      <c r="Z258">
        <v>0</v>
      </c>
      <c r="AA258">
        <v>0</v>
      </c>
      <c r="AB258">
        <v>0</v>
      </c>
      <c r="AC258">
        <v>0</v>
      </c>
      <c r="AD258">
        <v>1</v>
      </c>
      <c r="AE258">
        <v>0</v>
      </c>
      <c r="AF258" t="s">
        <v>3</v>
      </c>
      <c r="AG258">
        <v>147.6</v>
      </c>
      <c r="AH258">
        <v>2</v>
      </c>
      <c r="AI258">
        <v>45038000</v>
      </c>
      <c r="AJ258">
        <v>259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</row>
    <row r="259" spans="1:44" x14ac:dyDescent="0.2">
      <c r="A259">
        <f>ROW(Source!A282)</f>
        <v>282</v>
      </c>
      <c r="B259">
        <v>45038614</v>
      </c>
      <c r="C259">
        <v>45037998</v>
      </c>
      <c r="D259">
        <v>22652952</v>
      </c>
      <c r="E259">
        <v>22652947</v>
      </c>
      <c r="F259">
        <v>1</v>
      </c>
      <c r="G259">
        <v>22652947</v>
      </c>
      <c r="H259">
        <v>1</v>
      </c>
      <c r="I259" t="s">
        <v>617</v>
      </c>
      <c r="J259" t="s">
        <v>3</v>
      </c>
      <c r="K259" t="s">
        <v>618</v>
      </c>
      <c r="L259">
        <v>1191</v>
      </c>
      <c r="N259">
        <v>1013</v>
      </c>
      <c r="O259" t="s">
        <v>619</v>
      </c>
      <c r="P259" t="s">
        <v>619</v>
      </c>
      <c r="Q259">
        <v>1</v>
      </c>
      <c r="X259">
        <v>83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1</v>
      </c>
      <c r="AE259">
        <v>1</v>
      </c>
      <c r="AF259" t="s">
        <v>37</v>
      </c>
      <c r="AG259">
        <v>95.449999999999989</v>
      </c>
      <c r="AH259">
        <v>2</v>
      </c>
      <c r="AI259">
        <v>45037999</v>
      </c>
      <c r="AJ259">
        <v>261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</row>
    <row r="260" spans="1:44" x14ac:dyDescent="0.2">
      <c r="A260">
        <f>ROW(Source!A282)</f>
        <v>282</v>
      </c>
      <c r="B260">
        <v>45038615</v>
      </c>
      <c r="C260">
        <v>45037998</v>
      </c>
      <c r="D260">
        <v>22683994</v>
      </c>
      <c r="E260">
        <v>22652947</v>
      </c>
      <c r="F260">
        <v>1</v>
      </c>
      <c r="G260">
        <v>22652947</v>
      </c>
      <c r="H260">
        <v>3</v>
      </c>
      <c r="I260" t="s">
        <v>838</v>
      </c>
      <c r="J260" t="s">
        <v>3</v>
      </c>
      <c r="K260" t="s">
        <v>839</v>
      </c>
      <c r="L260">
        <v>1348</v>
      </c>
      <c r="N260">
        <v>1009</v>
      </c>
      <c r="O260" t="s">
        <v>29</v>
      </c>
      <c r="P260" t="s">
        <v>29</v>
      </c>
      <c r="Q260">
        <v>1000</v>
      </c>
      <c r="X260">
        <v>7.0000000000000007E-2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 t="s">
        <v>3</v>
      </c>
      <c r="AG260">
        <v>7.0000000000000007E-2</v>
      </c>
      <c r="AH260">
        <v>3</v>
      </c>
      <c r="AI260">
        <v>-1</v>
      </c>
      <c r="AJ260" t="s">
        <v>3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</row>
    <row r="261" spans="1:44" x14ac:dyDescent="0.2">
      <c r="A261">
        <f>ROW(Source!A282)</f>
        <v>282</v>
      </c>
      <c r="B261">
        <v>45038616</v>
      </c>
      <c r="C261">
        <v>45037998</v>
      </c>
      <c r="D261">
        <v>22667763</v>
      </c>
      <c r="E261">
        <v>22652947</v>
      </c>
      <c r="F261">
        <v>1</v>
      </c>
      <c r="G261">
        <v>22652947</v>
      </c>
      <c r="H261">
        <v>3</v>
      </c>
      <c r="I261" t="s">
        <v>840</v>
      </c>
      <c r="J261" t="s">
        <v>3</v>
      </c>
      <c r="K261" t="s">
        <v>841</v>
      </c>
      <c r="L261">
        <v>1327</v>
      </c>
      <c r="N261">
        <v>1005</v>
      </c>
      <c r="O261" t="s">
        <v>101</v>
      </c>
      <c r="P261" t="s">
        <v>101</v>
      </c>
      <c r="Q261">
        <v>1</v>
      </c>
      <c r="X261">
        <v>105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 t="s">
        <v>3</v>
      </c>
      <c r="AG261">
        <v>105</v>
      </c>
      <c r="AH261">
        <v>3</v>
      </c>
      <c r="AI261">
        <v>-1</v>
      </c>
      <c r="AJ261" t="s">
        <v>3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</row>
    <row r="262" spans="1:44" x14ac:dyDescent="0.2">
      <c r="A262">
        <f>ROW(Source!A282)</f>
        <v>282</v>
      </c>
      <c r="B262">
        <v>45038617</v>
      </c>
      <c r="C262">
        <v>45037998</v>
      </c>
      <c r="D262">
        <v>22674651</v>
      </c>
      <c r="E262">
        <v>22652947</v>
      </c>
      <c r="F262">
        <v>1</v>
      </c>
      <c r="G262">
        <v>22652947</v>
      </c>
      <c r="H262">
        <v>3</v>
      </c>
      <c r="I262" t="s">
        <v>675</v>
      </c>
      <c r="J262" t="s">
        <v>3</v>
      </c>
      <c r="K262" t="s">
        <v>676</v>
      </c>
      <c r="L262">
        <v>1344</v>
      </c>
      <c r="N262">
        <v>1008</v>
      </c>
      <c r="O262" t="s">
        <v>632</v>
      </c>
      <c r="P262" t="s">
        <v>632</v>
      </c>
      <c r="Q262">
        <v>1</v>
      </c>
      <c r="X262">
        <v>147.6</v>
      </c>
      <c r="Y262">
        <v>1</v>
      </c>
      <c r="Z262">
        <v>0</v>
      </c>
      <c r="AA262">
        <v>0</v>
      </c>
      <c r="AB262">
        <v>0</v>
      </c>
      <c r="AC262">
        <v>0</v>
      </c>
      <c r="AD262">
        <v>1</v>
      </c>
      <c r="AE262">
        <v>0</v>
      </c>
      <c r="AF262" t="s">
        <v>3</v>
      </c>
      <c r="AG262">
        <v>147.6</v>
      </c>
      <c r="AH262">
        <v>2</v>
      </c>
      <c r="AI262">
        <v>45038000</v>
      </c>
      <c r="AJ262">
        <v>263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</row>
    <row r="263" spans="1:44" x14ac:dyDescent="0.2">
      <c r="A263">
        <f>ROW(Source!A287)</f>
        <v>287</v>
      </c>
      <c r="B263">
        <v>45038618</v>
      </c>
      <c r="C263">
        <v>45038009</v>
      </c>
      <c r="D263">
        <v>22652952</v>
      </c>
      <c r="E263">
        <v>22652947</v>
      </c>
      <c r="F263">
        <v>1</v>
      </c>
      <c r="G263">
        <v>22652947</v>
      </c>
      <c r="H263">
        <v>1</v>
      </c>
      <c r="I263" t="s">
        <v>617</v>
      </c>
      <c r="J263" t="s">
        <v>3</v>
      </c>
      <c r="K263" t="s">
        <v>618</v>
      </c>
      <c r="L263">
        <v>1191</v>
      </c>
      <c r="N263">
        <v>1013</v>
      </c>
      <c r="O263" t="s">
        <v>619</v>
      </c>
      <c r="P263" t="s">
        <v>619</v>
      </c>
      <c r="Q263">
        <v>1</v>
      </c>
      <c r="X263">
        <v>0.09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1</v>
      </c>
      <c r="AE263">
        <v>1</v>
      </c>
      <c r="AF263" t="s">
        <v>37</v>
      </c>
      <c r="AG263">
        <v>0.10349999999999999</v>
      </c>
      <c r="AH263">
        <v>2</v>
      </c>
      <c r="AI263">
        <v>45038010</v>
      </c>
      <c r="AJ263">
        <v>265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</row>
    <row r="264" spans="1:44" x14ac:dyDescent="0.2">
      <c r="A264">
        <f>ROW(Source!A287)</f>
        <v>287</v>
      </c>
      <c r="B264">
        <v>45038619</v>
      </c>
      <c r="C264">
        <v>45038009</v>
      </c>
      <c r="D264">
        <v>22702324</v>
      </c>
      <c r="E264">
        <v>1</v>
      </c>
      <c r="F264">
        <v>1</v>
      </c>
      <c r="G264">
        <v>22652947</v>
      </c>
      <c r="H264">
        <v>3</v>
      </c>
      <c r="I264" t="s">
        <v>738</v>
      </c>
      <c r="J264" t="s">
        <v>739</v>
      </c>
      <c r="K264" t="s">
        <v>740</v>
      </c>
      <c r="L264">
        <v>1348</v>
      </c>
      <c r="N264">
        <v>1009</v>
      </c>
      <c r="O264" t="s">
        <v>29</v>
      </c>
      <c r="P264" t="s">
        <v>29</v>
      </c>
      <c r="Q264">
        <v>1000</v>
      </c>
      <c r="X264">
        <v>1.0000000000000001E-5</v>
      </c>
      <c r="Y264">
        <v>16744.32</v>
      </c>
      <c r="Z264">
        <v>0</v>
      </c>
      <c r="AA264">
        <v>0</v>
      </c>
      <c r="AB264">
        <v>0</v>
      </c>
      <c r="AC264">
        <v>0</v>
      </c>
      <c r="AD264">
        <v>1</v>
      </c>
      <c r="AE264">
        <v>0</v>
      </c>
      <c r="AF264" t="s">
        <v>3</v>
      </c>
      <c r="AG264">
        <v>1.0000000000000001E-5</v>
      </c>
      <c r="AH264">
        <v>2</v>
      </c>
      <c r="AI264">
        <v>45038011</v>
      </c>
      <c r="AJ264">
        <v>266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</row>
    <row r="265" spans="1:44" x14ac:dyDescent="0.2">
      <c r="A265">
        <f>ROW(Source!A287)</f>
        <v>287</v>
      </c>
      <c r="B265">
        <v>45038620</v>
      </c>
      <c r="C265">
        <v>45038009</v>
      </c>
      <c r="D265">
        <v>22667929</v>
      </c>
      <c r="E265">
        <v>22652947</v>
      </c>
      <c r="F265">
        <v>1</v>
      </c>
      <c r="G265">
        <v>22652947</v>
      </c>
      <c r="H265">
        <v>3</v>
      </c>
      <c r="I265" t="s">
        <v>842</v>
      </c>
      <c r="J265" t="s">
        <v>3</v>
      </c>
      <c r="K265" t="s">
        <v>843</v>
      </c>
      <c r="L265">
        <v>1354</v>
      </c>
      <c r="N265">
        <v>1010</v>
      </c>
      <c r="O265" t="s">
        <v>304</v>
      </c>
      <c r="P265" t="s">
        <v>304</v>
      </c>
      <c r="Q265">
        <v>1</v>
      </c>
      <c r="X265">
        <v>1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 t="s">
        <v>3</v>
      </c>
      <c r="AG265">
        <v>1</v>
      </c>
      <c r="AH265">
        <v>3</v>
      </c>
      <c r="AI265">
        <v>-1</v>
      </c>
      <c r="AJ265" t="s">
        <v>3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</row>
    <row r="266" spans="1:44" x14ac:dyDescent="0.2">
      <c r="A266">
        <f>ROW(Source!A288)</f>
        <v>288</v>
      </c>
      <c r="B266">
        <v>45038618</v>
      </c>
      <c r="C266">
        <v>45038009</v>
      </c>
      <c r="D266">
        <v>22652952</v>
      </c>
      <c r="E266">
        <v>22652947</v>
      </c>
      <c r="F266">
        <v>1</v>
      </c>
      <c r="G266">
        <v>22652947</v>
      </c>
      <c r="H266">
        <v>1</v>
      </c>
      <c r="I266" t="s">
        <v>617</v>
      </c>
      <c r="J266" t="s">
        <v>3</v>
      </c>
      <c r="K266" t="s">
        <v>618</v>
      </c>
      <c r="L266">
        <v>1191</v>
      </c>
      <c r="N266">
        <v>1013</v>
      </c>
      <c r="O266" t="s">
        <v>619</v>
      </c>
      <c r="P266" t="s">
        <v>619</v>
      </c>
      <c r="Q266">
        <v>1</v>
      </c>
      <c r="X266">
        <v>0.09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1</v>
      </c>
      <c r="AE266">
        <v>1</v>
      </c>
      <c r="AF266" t="s">
        <v>37</v>
      </c>
      <c r="AG266">
        <v>0.10349999999999999</v>
      </c>
      <c r="AH266">
        <v>2</v>
      </c>
      <c r="AI266">
        <v>45038010</v>
      </c>
      <c r="AJ266">
        <v>270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</row>
    <row r="267" spans="1:44" x14ac:dyDescent="0.2">
      <c r="A267">
        <f>ROW(Source!A288)</f>
        <v>288</v>
      </c>
      <c r="B267">
        <v>45038619</v>
      </c>
      <c r="C267">
        <v>45038009</v>
      </c>
      <c r="D267">
        <v>22702324</v>
      </c>
      <c r="E267">
        <v>1</v>
      </c>
      <c r="F267">
        <v>1</v>
      </c>
      <c r="G267">
        <v>22652947</v>
      </c>
      <c r="H267">
        <v>3</v>
      </c>
      <c r="I267" t="s">
        <v>738</v>
      </c>
      <c r="J267" t="s">
        <v>739</v>
      </c>
      <c r="K267" t="s">
        <v>740</v>
      </c>
      <c r="L267">
        <v>1348</v>
      </c>
      <c r="N267">
        <v>1009</v>
      </c>
      <c r="O267" t="s">
        <v>29</v>
      </c>
      <c r="P267" t="s">
        <v>29</v>
      </c>
      <c r="Q267">
        <v>1000</v>
      </c>
      <c r="X267">
        <v>1.0000000000000001E-5</v>
      </c>
      <c r="Y267">
        <v>16744.32</v>
      </c>
      <c r="Z267">
        <v>0</v>
      </c>
      <c r="AA267">
        <v>0</v>
      </c>
      <c r="AB267">
        <v>0</v>
      </c>
      <c r="AC267">
        <v>0</v>
      </c>
      <c r="AD267">
        <v>1</v>
      </c>
      <c r="AE267">
        <v>0</v>
      </c>
      <c r="AF267" t="s">
        <v>3</v>
      </c>
      <c r="AG267">
        <v>1.0000000000000001E-5</v>
      </c>
      <c r="AH267">
        <v>2</v>
      </c>
      <c r="AI267">
        <v>45038011</v>
      </c>
      <c r="AJ267">
        <v>271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</row>
    <row r="268" spans="1:44" x14ac:dyDescent="0.2">
      <c r="A268">
        <f>ROW(Source!A288)</f>
        <v>288</v>
      </c>
      <c r="B268">
        <v>45038620</v>
      </c>
      <c r="C268">
        <v>45038009</v>
      </c>
      <c r="D268">
        <v>22667929</v>
      </c>
      <c r="E268">
        <v>22652947</v>
      </c>
      <c r="F268">
        <v>1</v>
      </c>
      <c r="G268">
        <v>22652947</v>
      </c>
      <c r="H268">
        <v>3</v>
      </c>
      <c r="I268" t="s">
        <v>842</v>
      </c>
      <c r="J268" t="s">
        <v>3</v>
      </c>
      <c r="K268" t="s">
        <v>843</v>
      </c>
      <c r="L268">
        <v>1354</v>
      </c>
      <c r="N268">
        <v>1010</v>
      </c>
      <c r="O268" t="s">
        <v>304</v>
      </c>
      <c r="P268" t="s">
        <v>304</v>
      </c>
      <c r="Q268">
        <v>1</v>
      </c>
      <c r="X268">
        <v>1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 t="s">
        <v>3</v>
      </c>
      <c r="AG268">
        <v>1</v>
      </c>
      <c r="AH268">
        <v>3</v>
      </c>
      <c r="AI268">
        <v>-1</v>
      </c>
      <c r="AJ268" t="s">
        <v>3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</row>
    <row r="269" spans="1:44" x14ac:dyDescent="0.2">
      <c r="A269">
        <f>ROW(Source!A329)</f>
        <v>329</v>
      </c>
      <c r="B269">
        <v>45038621</v>
      </c>
      <c r="C269">
        <v>45038075</v>
      </c>
      <c r="D269">
        <v>22652952</v>
      </c>
      <c r="E269">
        <v>22652947</v>
      </c>
      <c r="F269">
        <v>1</v>
      </c>
      <c r="G269">
        <v>22652947</v>
      </c>
      <c r="H269">
        <v>1</v>
      </c>
      <c r="I269" t="s">
        <v>617</v>
      </c>
      <c r="J269" t="s">
        <v>3</v>
      </c>
      <c r="K269" t="s">
        <v>618</v>
      </c>
      <c r="L269">
        <v>1191</v>
      </c>
      <c r="N269">
        <v>1013</v>
      </c>
      <c r="O269" t="s">
        <v>619</v>
      </c>
      <c r="P269" t="s">
        <v>619</v>
      </c>
      <c r="Q269">
        <v>1</v>
      </c>
      <c r="X269">
        <v>14.4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1</v>
      </c>
      <c r="AE269">
        <v>1</v>
      </c>
      <c r="AF269" t="s">
        <v>37</v>
      </c>
      <c r="AG269">
        <v>16.559999999999999</v>
      </c>
      <c r="AH269">
        <v>2</v>
      </c>
      <c r="AI269">
        <v>45038076</v>
      </c>
      <c r="AJ269">
        <v>275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</row>
    <row r="270" spans="1:44" x14ac:dyDescent="0.2">
      <c r="A270">
        <f>ROW(Source!A329)</f>
        <v>329</v>
      </c>
      <c r="B270">
        <v>45038622</v>
      </c>
      <c r="C270">
        <v>45038075</v>
      </c>
      <c r="D270">
        <v>22725060</v>
      </c>
      <c r="E270">
        <v>1</v>
      </c>
      <c r="F270">
        <v>1</v>
      </c>
      <c r="G270">
        <v>22652947</v>
      </c>
      <c r="H270">
        <v>2</v>
      </c>
      <c r="I270" t="s">
        <v>741</v>
      </c>
      <c r="J270" t="s">
        <v>742</v>
      </c>
      <c r="K270" t="s">
        <v>743</v>
      </c>
      <c r="L270">
        <v>1367</v>
      </c>
      <c r="N270">
        <v>1011</v>
      </c>
      <c r="O270" t="s">
        <v>623</v>
      </c>
      <c r="P270" t="s">
        <v>623</v>
      </c>
      <c r="Q270">
        <v>1</v>
      </c>
      <c r="X270">
        <v>1.66</v>
      </c>
      <c r="Y270">
        <v>0</v>
      </c>
      <c r="Z270">
        <v>116.89</v>
      </c>
      <c r="AA270">
        <v>23.41</v>
      </c>
      <c r="AB270">
        <v>0</v>
      </c>
      <c r="AC270">
        <v>0</v>
      </c>
      <c r="AD270">
        <v>1</v>
      </c>
      <c r="AE270">
        <v>0</v>
      </c>
      <c r="AF270" t="s">
        <v>36</v>
      </c>
      <c r="AG270">
        <v>2.0749999999999997</v>
      </c>
      <c r="AH270">
        <v>2</v>
      </c>
      <c r="AI270">
        <v>45038077</v>
      </c>
      <c r="AJ270">
        <v>276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</row>
    <row r="271" spans="1:44" x14ac:dyDescent="0.2">
      <c r="A271">
        <f>ROW(Source!A329)</f>
        <v>329</v>
      </c>
      <c r="B271">
        <v>45038623</v>
      </c>
      <c r="C271">
        <v>45038075</v>
      </c>
      <c r="D271">
        <v>22725283</v>
      </c>
      <c r="E271">
        <v>1</v>
      </c>
      <c r="F271">
        <v>1</v>
      </c>
      <c r="G271">
        <v>22652947</v>
      </c>
      <c r="H271">
        <v>2</v>
      </c>
      <c r="I271" t="s">
        <v>744</v>
      </c>
      <c r="J271" t="s">
        <v>745</v>
      </c>
      <c r="K271" t="s">
        <v>746</v>
      </c>
      <c r="L271">
        <v>1367</v>
      </c>
      <c r="N271">
        <v>1011</v>
      </c>
      <c r="O271" t="s">
        <v>623</v>
      </c>
      <c r="P271" t="s">
        <v>623</v>
      </c>
      <c r="Q271">
        <v>1</v>
      </c>
      <c r="X271">
        <v>1.66</v>
      </c>
      <c r="Y271">
        <v>0</v>
      </c>
      <c r="Z271">
        <v>62.97</v>
      </c>
      <c r="AA271">
        <v>6.64</v>
      </c>
      <c r="AB271">
        <v>0</v>
      </c>
      <c r="AC271">
        <v>0</v>
      </c>
      <c r="AD271">
        <v>1</v>
      </c>
      <c r="AE271">
        <v>0</v>
      </c>
      <c r="AF271" t="s">
        <v>36</v>
      </c>
      <c r="AG271">
        <v>2.0749999999999997</v>
      </c>
      <c r="AH271">
        <v>2</v>
      </c>
      <c r="AI271">
        <v>45038078</v>
      </c>
      <c r="AJ271">
        <v>277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</row>
    <row r="272" spans="1:44" x14ac:dyDescent="0.2">
      <c r="A272">
        <f>ROW(Source!A329)</f>
        <v>329</v>
      </c>
      <c r="B272">
        <v>45038624</v>
      </c>
      <c r="C272">
        <v>45038075</v>
      </c>
      <c r="D272">
        <v>22725286</v>
      </c>
      <c r="E272">
        <v>1</v>
      </c>
      <c r="F272">
        <v>1</v>
      </c>
      <c r="G272">
        <v>22652947</v>
      </c>
      <c r="H272">
        <v>2</v>
      </c>
      <c r="I272" t="s">
        <v>747</v>
      </c>
      <c r="J272" t="s">
        <v>748</v>
      </c>
      <c r="K272" t="s">
        <v>749</v>
      </c>
      <c r="L272">
        <v>1367</v>
      </c>
      <c r="N272">
        <v>1011</v>
      </c>
      <c r="O272" t="s">
        <v>623</v>
      </c>
      <c r="P272" t="s">
        <v>623</v>
      </c>
      <c r="Q272">
        <v>1</v>
      </c>
      <c r="X272">
        <v>0.65</v>
      </c>
      <c r="Y272">
        <v>0</v>
      </c>
      <c r="Z272">
        <v>140.58000000000001</v>
      </c>
      <c r="AA272">
        <v>28.61</v>
      </c>
      <c r="AB272">
        <v>0</v>
      </c>
      <c r="AC272">
        <v>0</v>
      </c>
      <c r="AD272">
        <v>1</v>
      </c>
      <c r="AE272">
        <v>0</v>
      </c>
      <c r="AF272" t="s">
        <v>36</v>
      </c>
      <c r="AG272">
        <v>0.8125</v>
      </c>
      <c r="AH272">
        <v>2</v>
      </c>
      <c r="AI272">
        <v>45038079</v>
      </c>
      <c r="AJ272">
        <v>278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</row>
    <row r="273" spans="1:44" x14ac:dyDescent="0.2">
      <c r="A273">
        <f>ROW(Source!A329)</f>
        <v>329</v>
      </c>
      <c r="B273">
        <v>45038625</v>
      </c>
      <c r="C273">
        <v>45038075</v>
      </c>
      <c r="D273">
        <v>22725314</v>
      </c>
      <c r="E273">
        <v>1</v>
      </c>
      <c r="F273">
        <v>1</v>
      </c>
      <c r="G273">
        <v>22652947</v>
      </c>
      <c r="H273">
        <v>2</v>
      </c>
      <c r="I273" t="s">
        <v>627</v>
      </c>
      <c r="J273" t="s">
        <v>628</v>
      </c>
      <c r="K273" t="s">
        <v>629</v>
      </c>
      <c r="L273">
        <v>1367</v>
      </c>
      <c r="N273">
        <v>1011</v>
      </c>
      <c r="O273" t="s">
        <v>623</v>
      </c>
      <c r="P273" t="s">
        <v>623</v>
      </c>
      <c r="Q273">
        <v>1</v>
      </c>
      <c r="X273">
        <v>1.55</v>
      </c>
      <c r="Y273">
        <v>0</v>
      </c>
      <c r="Z273">
        <v>125.13</v>
      </c>
      <c r="AA273">
        <v>24.74</v>
      </c>
      <c r="AB273">
        <v>0</v>
      </c>
      <c r="AC273">
        <v>0</v>
      </c>
      <c r="AD273">
        <v>1</v>
      </c>
      <c r="AE273">
        <v>0</v>
      </c>
      <c r="AF273" t="s">
        <v>36</v>
      </c>
      <c r="AG273">
        <v>1.9375</v>
      </c>
      <c r="AH273">
        <v>2</v>
      </c>
      <c r="AI273">
        <v>45038080</v>
      </c>
      <c r="AJ273">
        <v>279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</row>
    <row r="274" spans="1:44" x14ac:dyDescent="0.2">
      <c r="A274">
        <f>ROW(Source!A329)</f>
        <v>329</v>
      </c>
      <c r="B274">
        <v>45038626</v>
      </c>
      <c r="C274">
        <v>45038075</v>
      </c>
      <c r="D274">
        <v>22725276</v>
      </c>
      <c r="E274">
        <v>1</v>
      </c>
      <c r="F274">
        <v>1</v>
      </c>
      <c r="G274">
        <v>22652947</v>
      </c>
      <c r="H274">
        <v>2</v>
      </c>
      <c r="I274" t="s">
        <v>651</v>
      </c>
      <c r="J274" t="s">
        <v>652</v>
      </c>
      <c r="K274" t="s">
        <v>653</v>
      </c>
      <c r="L274">
        <v>1367</v>
      </c>
      <c r="N274">
        <v>1011</v>
      </c>
      <c r="O274" t="s">
        <v>623</v>
      </c>
      <c r="P274" t="s">
        <v>623</v>
      </c>
      <c r="Q274">
        <v>1</v>
      </c>
      <c r="X274">
        <v>0.52</v>
      </c>
      <c r="Y274">
        <v>0</v>
      </c>
      <c r="Z274">
        <v>178.02</v>
      </c>
      <c r="AA274">
        <v>23.5</v>
      </c>
      <c r="AB274">
        <v>0</v>
      </c>
      <c r="AC274">
        <v>0</v>
      </c>
      <c r="AD274">
        <v>1</v>
      </c>
      <c r="AE274">
        <v>0</v>
      </c>
      <c r="AF274" t="s">
        <v>36</v>
      </c>
      <c r="AG274">
        <v>0.65</v>
      </c>
      <c r="AH274">
        <v>2</v>
      </c>
      <c r="AI274">
        <v>45038081</v>
      </c>
      <c r="AJ274">
        <v>280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</row>
    <row r="275" spans="1:44" x14ac:dyDescent="0.2">
      <c r="A275">
        <f>ROW(Source!A329)</f>
        <v>329</v>
      </c>
      <c r="B275">
        <v>45038627</v>
      </c>
      <c r="C275">
        <v>45038075</v>
      </c>
      <c r="D275">
        <v>22700967</v>
      </c>
      <c r="E275">
        <v>1</v>
      </c>
      <c r="F275">
        <v>1</v>
      </c>
      <c r="G275">
        <v>22652947</v>
      </c>
      <c r="H275">
        <v>3</v>
      </c>
      <c r="I275" t="s">
        <v>273</v>
      </c>
      <c r="J275" t="s">
        <v>275</v>
      </c>
      <c r="K275" t="s">
        <v>274</v>
      </c>
      <c r="L275">
        <v>1339</v>
      </c>
      <c r="N275">
        <v>1007</v>
      </c>
      <c r="O275" t="s">
        <v>80</v>
      </c>
      <c r="P275" t="s">
        <v>80</v>
      </c>
      <c r="Q275">
        <v>1</v>
      </c>
      <c r="X275">
        <v>5</v>
      </c>
      <c r="Y275">
        <v>7.07</v>
      </c>
      <c r="Z275">
        <v>0</v>
      </c>
      <c r="AA275">
        <v>0</v>
      </c>
      <c r="AB275">
        <v>0</v>
      </c>
      <c r="AC275">
        <v>0</v>
      </c>
      <c r="AD275">
        <v>1</v>
      </c>
      <c r="AE275">
        <v>0</v>
      </c>
      <c r="AF275" t="s">
        <v>3</v>
      </c>
      <c r="AG275">
        <v>5</v>
      </c>
      <c r="AH275">
        <v>2</v>
      </c>
      <c r="AI275">
        <v>45038082</v>
      </c>
      <c r="AJ275">
        <v>281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</row>
    <row r="276" spans="1:44" x14ac:dyDescent="0.2">
      <c r="A276">
        <f>ROW(Source!A329)</f>
        <v>329</v>
      </c>
      <c r="B276">
        <v>45038628</v>
      </c>
      <c r="C276">
        <v>45038075</v>
      </c>
      <c r="D276">
        <v>22665896</v>
      </c>
      <c r="E276">
        <v>22652947</v>
      </c>
      <c r="F276">
        <v>1</v>
      </c>
      <c r="G276">
        <v>22652947</v>
      </c>
      <c r="H276">
        <v>3</v>
      </c>
      <c r="I276" t="s">
        <v>844</v>
      </c>
      <c r="J276" t="s">
        <v>3</v>
      </c>
      <c r="K276" t="s">
        <v>845</v>
      </c>
      <c r="L276">
        <v>1339</v>
      </c>
      <c r="N276">
        <v>1007</v>
      </c>
      <c r="O276" t="s">
        <v>80</v>
      </c>
      <c r="P276" t="s">
        <v>80</v>
      </c>
      <c r="Q276">
        <v>1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0</v>
      </c>
      <c r="AE276">
        <v>0</v>
      </c>
      <c r="AF276" t="s">
        <v>3</v>
      </c>
      <c r="AG276">
        <v>0</v>
      </c>
      <c r="AH276">
        <v>3</v>
      </c>
      <c r="AI276">
        <v>-1</v>
      </c>
      <c r="AJ276" t="s">
        <v>3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</row>
    <row r="277" spans="1:44" x14ac:dyDescent="0.2">
      <c r="A277">
        <f>ROW(Source!A330)</f>
        <v>330</v>
      </c>
      <c r="B277">
        <v>45038621</v>
      </c>
      <c r="C277">
        <v>45038075</v>
      </c>
      <c r="D277">
        <v>22652952</v>
      </c>
      <c r="E277">
        <v>22652947</v>
      </c>
      <c r="F277">
        <v>1</v>
      </c>
      <c r="G277">
        <v>22652947</v>
      </c>
      <c r="H277">
        <v>1</v>
      </c>
      <c r="I277" t="s">
        <v>617</v>
      </c>
      <c r="J277" t="s">
        <v>3</v>
      </c>
      <c r="K277" t="s">
        <v>618</v>
      </c>
      <c r="L277">
        <v>1191</v>
      </c>
      <c r="N277">
        <v>1013</v>
      </c>
      <c r="O277" t="s">
        <v>619</v>
      </c>
      <c r="P277" t="s">
        <v>619</v>
      </c>
      <c r="Q277">
        <v>1</v>
      </c>
      <c r="X277">
        <v>14.4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1</v>
      </c>
      <c r="AE277">
        <v>1</v>
      </c>
      <c r="AF277" t="s">
        <v>37</v>
      </c>
      <c r="AG277">
        <v>16.559999999999999</v>
      </c>
      <c r="AH277">
        <v>2</v>
      </c>
      <c r="AI277">
        <v>45038076</v>
      </c>
      <c r="AJ277">
        <v>283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</row>
    <row r="278" spans="1:44" x14ac:dyDescent="0.2">
      <c r="A278">
        <f>ROW(Source!A330)</f>
        <v>330</v>
      </c>
      <c r="B278">
        <v>45038622</v>
      </c>
      <c r="C278">
        <v>45038075</v>
      </c>
      <c r="D278">
        <v>22725060</v>
      </c>
      <c r="E278">
        <v>1</v>
      </c>
      <c r="F278">
        <v>1</v>
      </c>
      <c r="G278">
        <v>22652947</v>
      </c>
      <c r="H278">
        <v>2</v>
      </c>
      <c r="I278" t="s">
        <v>741</v>
      </c>
      <c r="J278" t="s">
        <v>742</v>
      </c>
      <c r="K278" t="s">
        <v>743</v>
      </c>
      <c r="L278">
        <v>1367</v>
      </c>
      <c r="N278">
        <v>1011</v>
      </c>
      <c r="O278" t="s">
        <v>623</v>
      </c>
      <c r="P278" t="s">
        <v>623</v>
      </c>
      <c r="Q278">
        <v>1</v>
      </c>
      <c r="X278">
        <v>1.66</v>
      </c>
      <c r="Y278">
        <v>0</v>
      </c>
      <c r="Z278">
        <v>116.89</v>
      </c>
      <c r="AA278">
        <v>23.41</v>
      </c>
      <c r="AB278">
        <v>0</v>
      </c>
      <c r="AC278">
        <v>0</v>
      </c>
      <c r="AD278">
        <v>1</v>
      </c>
      <c r="AE278">
        <v>0</v>
      </c>
      <c r="AF278" t="s">
        <v>36</v>
      </c>
      <c r="AG278">
        <v>2.0749999999999997</v>
      </c>
      <c r="AH278">
        <v>2</v>
      </c>
      <c r="AI278">
        <v>45038077</v>
      </c>
      <c r="AJ278">
        <v>284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</row>
    <row r="279" spans="1:44" x14ac:dyDescent="0.2">
      <c r="A279">
        <f>ROW(Source!A330)</f>
        <v>330</v>
      </c>
      <c r="B279">
        <v>45038623</v>
      </c>
      <c r="C279">
        <v>45038075</v>
      </c>
      <c r="D279">
        <v>22725283</v>
      </c>
      <c r="E279">
        <v>1</v>
      </c>
      <c r="F279">
        <v>1</v>
      </c>
      <c r="G279">
        <v>22652947</v>
      </c>
      <c r="H279">
        <v>2</v>
      </c>
      <c r="I279" t="s">
        <v>744</v>
      </c>
      <c r="J279" t="s">
        <v>745</v>
      </c>
      <c r="K279" t="s">
        <v>746</v>
      </c>
      <c r="L279">
        <v>1367</v>
      </c>
      <c r="N279">
        <v>1011</v>
      </c>
      <c r="O279" t="s">
        <v>623</v>
      </c>
      <c r="P279" t="s">
        <v>623</v>
      </c>
      <c r="Q279">
        <v>1</v>
      </c>
      <c r="X279">
        <v>1.66</v>
      </c>
      <c r="Y279">
        <v>0</v>
      </c>
      <c r="Z279">
        <v>62.97</v>
      </c>
      <c r="AA279">
        <v>6.64</v>
      </c>
      <c r="AB279">
        <v>0</v>
      </c>
      <c r="AC279">
        <v>0</v>
      </c>
      <c r="AD279">
        <v>1</v>
      </c>
      <c r="AE279">
        <v>0</v>
      </c>
      <c r="AF279" t="s">
        <v>36</v>
      </c>
      <c r="AG279">
        <v>2.0749999999999997</v>
      </c>
      <c r="AH279">
        <v>2</v>
      </c>
      <c r="AI279">
        <v>45038078</v>
      </c>
      <c r="AJ279">
        <v>285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</row>
    <row r="280" spans="1:44" x14ac:dyDescent="0.2">
      <c r="A280">
        <f>ROW(Source!A330)</f>
        <v>330</v>
      </c>
      <c r="B280">
        <v>45038624</v>
      </c>
      <c r="C280">
        <v>45038075</v>
      </c>
      <c r="D280">
        <v>22725286</v>
      </c>
      <c r="E280">
        <v>1</v>
      </c>
      <c r="F280">
        <v>1</v>
      </c>
      <c r="G280">
        <v>22652947</v>
      </c>
      <c r="H280">
        <v>2</v>
      </c>
      <c r="I280" t="s">
        <v>747</v>
      </c>
      <c r="J280" t="s">
        <v>748</v>
      </c>
      <c r="K280" t="s">
        <v>749</v>
      </c>
      <c r="L280">
        <v>1367</v>
      </c>
      <c r="N280">
        <v>1011</v>
      </c>
      <c r="O280" t="s">
        <v>623</v>
      </c>
      <c r="P280" t="s">
        <v>623</v>
      </c>
      <c r="Q280">
        <v>1</v>
      </c>
      <c r="X280">
        <v>0.65</v>
      </c>
      <c r="Y280">
        <v>0</v>
      </c>
      <c r="Z280">
        <v>140.58000000000001</v>
      </c>
      <c r="AA280">
        <v>28.61</v>
      </c>
      <c r="AB280">
        <v>0</v>
      </c>
      <c r="AC280">
        <v>0</v>
      </c>
      <c r="AD280">
        <v>1</v>
      </c>
      <c r="AE280">
        <v>0</v>
      </c>
      <c r="AF280" t="s">
        <v>36</v>
      </c>
      <c r="AG280">
        <v>0.8125</v>
      </c>
      <c r="AH280">
        <v>2</v>
      </c>
      <c r="AI280">
        <v>45038079</v>
      </c>
      <c r="AJ280">
        <v>286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</row>
    <row r="281" spans="1:44" x14ac:dyDescent="0.2">
      <c r="A281">
        <f>ROW(Source!A330)</f>
        <v>330</v>
      </c>
      <c r="B281">
        <v>45038625</v>
      </c>
      <c r="C281">
        <v>45038075</v>
      </c>
      <c r="D281">
        <v>22725314</v>
      </c>
      <c r="E281">
        <v>1</v>
      </c>
      <c r="F281">
        <v>1</v>
      </c>
      <c r="G281">
        <v>22652947</v>
      </c>
      <c r="H281">
        <v>2</v>
      </c>
      <c r="I281" t="s">
        <v>627</v>
      </c>
      <c r="J281" t="s">
        <v>628</v>
      </c>
      <c r="K281" t="s">
        <v>629</v>
      </c>
      <c r="L281">
        <v>1367</v>
      </c>
      <c r="N281">
        <v>1011</v>
      </c>
      <c r="O281" t="s">
        <v>623</v>
      </c>
      <c r="P281" t="s">
        <v>623</v>
      </c>
      <c r="Q281">
        <v>1</v>
      </c>
      <c r="X281">
        <v>1.55</v>
      </c>
      <c r="Y281">
        <v>0</v>
      </c>
      <c r="Z281">
        <v>125.13</v>
      </c>
      <c r="AA281">
        <v>24.74</v>
      </c>
      <c r="AB281">
        <v>0</v>
      </c>
      <c r="AC281">
        <v>0</v>
      </c>
      <c r="AD281">
        <v>1</v>
      </c>
      <c r="AE281">
        <v>0</v>
      </c>
      <c r="AF281" t="s">
        <v>36</v>
      </c>
      <c r="AG281">
        <v>1.9375</v>
      </c>
      <c r="AH281">
        <v>2</v>
      </c>
      <c r="AI281">
        <v>45038080</v>
      </c>
      <c r="AJ281">
        <v>287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</row>
    <row r="282" spans="1:44" x14ac:dyDescent="0.2">
      <c r="A282">
        <f>ROW(Source!A330)</f>
        <v>330</v>
      </c>
      <c r="B282">
        <v>45038626</v>
      </c>
      <c r="C282">
        <v>45038075</v>
      </c>
      <c r="D282">
        <v>22725276</v>
      </c>
      <c r="E282">
        <v>1</v>
      </c>
      <c r="F282">
        <v>1</v>
      </c>
      <c r="G282">
        <v>22652947</v>
      </c>
      <c r="H282">
        <v>2</v>
      </c>
      <c r="I282" t="s">
        <v>651</v>
      </c>
      <c r="J282" t="s">
        <v>652</v>
      </c>
      <c r="K282" t="s">
        <v>653</v>
      </c>
      <c r="L282">
        <v>1367</v>
      </c>
      <c r="N282">
        <v>1011</v>
      </c>
      <c r="O282" t="s">
        <v>623</v>
      </c>
      <c r="P282" t="s">
        <v>623</v>
      </c>
      <c r="Q282">
        <v>1</v>
      </c>
      <c r="X282">
        <v>0.52</v>
      </c>
      <c r="Y282">
        <v>0</v>
      </c>
      <c r="Z282">
        <v>178.02</v>
      </c>
      <c r="AA282">
        <v>23.5</v>
      </c>
      <c r="AB282">
        <v>0</v>
      </c>
      <c r="AC282">
        <v>0</v>
      </c>
      <c r="AD282">
        <v>1</v>
      </c>
      <c r="AE282">
        <v>0</v>
      </c>
      <c r="AF282" t="s">
        <v>36</v>
      </c>
      <c r="AG282">
        <v>0.65</v>
      </c>
      <c r="AH282">
        <v>2</v>
      </c>
      <c r="AI282">
        <v>45038081</v>
      </c>
      <c r="AJ282">
        <v>288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</row>
    <row r="283" spans="1:44" x14ac:dyDescent="0.2">
      <c r="A283">
        <f>ROW(Source!A330)</f>
        <v>330</v>
      </c>
      <c r="B283">
        <v>45038627</v>
      </c>
      <c r="C283">
        <v>45038075</v>
      </c>
      <c r="D283">
        <v>22700967</v>
      </c>
      <c r="E283">
        <v>1</v>
      </c>
      <c r="F283">
        <v>1</v>
      </c>
      <c r="G283">
        <v>22652947</v>
      </c>
      <c r="H283">
        <v>3</v>
      </c>
      <c r="I283" t="s">
        <v>273</v>
      </c>
      <c r="J283" t="s">
        <v>275</v>
      </c>
      <c r="K283" t="s">
        <v>274</v>
      </c>
      <c r="L283">
        <v>1339</v>
      </c>
      <c r="N283">
        <v>1007</v>
      </c>
      <c r="O283" t="s">
        <v>80</v>
      </c>
      <c r="P283" t="s">
        <v>80</v>
      </c>
      <c r="Q283">
        <v>1</v>
      </c>
      <c r="X283">
        <v>5</v>
      </c>
      <c r="Y283">
        <v>7.07</v>
      </c>
      <c r="Z283">
        <v>0</v>
      </c>
      <c r="AA283">
        <v>0</v>
      </c>
      <c r="AB283">
        <v>0</v>
      </c>
      <c r="AC283">
        <v>0</v>
      </c>
      <c r="AD283">
        <v>1</v>
      </c>
      <c r="AE283">
        <v>0</v>
      </c>
      <c r="AF283" t="s">
        <v>3</v>
      </c>
      <c r="AG283">
        <v>5</v>
      </c>
      <c r="AH283">
        <v>2</v>
      </c>
      <c r="AI283">
        <v>45038082</v>
      </c>
      <c r="AJ283">
        <v>289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</row>
    <row r="284" spans="1:44" x14ac:dyDescent="0.2">
      <c r="A284">
        <f>ROW(Source!A330)</f>
        <v>330</v>
      </c>
      <c r="B284">
        <v>45038628</v>
      </c>
      <c r="C284">
        <v>45038075</v>
      </c>
      <c r="D284">
        <v>22665896</v>
      </c>
      <c r="E284">
        <v>22652947</v>
      </c>
      <c r="F284">
        <v>1</v>
      </c>
      <c r="G284">
        <v>22652947</v>
      </c>
      <c r="H284">
        <v>3</v>
      </c>
      <c r="I284" t="s">
        <v>844</v>
      </c>
      <c r="J284" t="s">
        <v>3</v>
      </c>
      <c r="K284" t="s">
        <v>845</v>
      </c>
      <c r="L284">
        <v>1339</v>
      </c>
      <c r="N284">
        <v>1007</v>
      </c>
      <c r="O284" t="s">
        <v>80</v>
      </c>
      <c r="P284" t="s">
        <v>80</v>
      </c>
      <c r="Q284">
        <v>1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 t="s">
        <v>3</v>
      </c>
      <c r="AG284">
        <v>0</v>
      </c>
      <c r="AH284">
        <v>3</v>
      </c>
      <c r="AI284">
        <v>-1</v>
      </c>
      <c r="AJ284" t="s">
        <v>3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</row>
    <row r="285" spans="1:44" x14ac:dyDescent="0.2">
      <c r="A285">
        <f>ROW(Source!A333)</f>
        <v>333</v>
      </c>
      <c r="B285">
        <v>45038629</v>
      </c>
      <c r="C285">
        <v>45038093</v>
      </c>
      <c r="D285">
        <v>22652952</v>
      </c>
      <c r="E285">
        <v>22652947</v>
      </c>
      <c r="F285">
        <v>1</v>
      </c>
      <c r="G285">
        <v>22652947</v>
      </c>
      <c r="H285">
        <v>1</v>
      </c>
      <c r="I285" t="s">
        <v>617</v>
      </c>
      <c r="J285" t="s">
        <v>3</v>
      </c>
      <c r="K285" t="s">
        <v>618</v>
      </c>
      <c r="L285">
        <v>1191</v>
      </c>
      <c r="N285">
        <v>1013</v>
      </c>
      <c r="O285" t="s">
        <v>619</v>
      </c>
      <c r="P285" t="s">
        <v>619</v>
      </c>
      <c r="Q285">
        <v>1</v>
      </c>
      <c r="X285">
        <v>135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1</v>
      </c>
      <c r="AE285">
        <v>1</v>
      </c>
      <c r="AF285" t="s">
        <v>37</v>
      </c>
      <c r="AG285">
        <v>155.25</v>
      </c>
      <c r="AH285">
        <v>2</v>
      </c>
      <c r="AI285">
        <v>45038094</v>
      </c>
      <c r="AJ285">
        <v>291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</row>
    <row r="286" spans="1:44" x14ac:dyDescent="0.2">
      <c r="A286">
        <f>ROW(Source!A333)</f>
        <v>333</v>
      </c>
      <c r="B286">
        <v>45038630</v>
      </c>
      <c r="C286">
        <v>45038093</v>
      </c>
      <c r="D286">
        <v>22725862</v>
      </c>
      <c r="E286">
        <v>1</v>
      </c>
      <c r="F286">
        <v>1</v>
      </c>
      <c r="G286">
        <v>22652947</v>
      </c>
      <c r="H286">
        <v>2</v>
      </c>
      <c r="I286" t="s">
        <v>750</v>
      </c>
      <c r="J286" t="s">
        <v>751</v>
      </c>
      <c r="K286" t="s">
        <v>752</v>
      </c>
      <c r="L286">
        <v>1367</v>
      </c>
      <c r="N286">
        <v>1011</v>
      </c>
      <c r="O286" t="s">
        <v>623</v>
      </c>
      <c r="P286" t="s">
        <v>623</v>
      </c>
      <c r="Q286">
        <v>1</v>
      </c>
      <c r="X286">
        <v>0.12</v>
      </c>
      <c r="Y286">
        <v>0</v>
      </c>
      <c r="Z286">
        <v>108.75</v>
      </c>
      <c r="AA286">
        <v>15.42</v>
      </c>
      <c r="AB286">
        <v>0</v>
      </c>
      <c r="AC286">
        <v>0</v>
      </c>
      <c r="AD286">
        <v>1</v>
      </c>
      <c r="AE286">
        <v>0</v>
      </c>
      <c r="AF286" t="s">
        <v>36</v>
      </c>
      <c r="AG286">
        <v>0.15</v>
      </c>
      <c r="AH286">
        <v>2</v>
      </c>
      <c r="AI286">
        <v>45038095</v>
      </c>
      <c r="AJ286">
        <v>292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</row>
    <row r="287" spans="1:44" x14ac:dyDescent="0.2">
      <c r="A287">
        <f>ROW(Source!A333)</f>
        <v>333</v>
      </c>
      <c r="B287">
        <v>45038631</v>
      </c>
      <c r="C287">
        <v>45038093</v>
      </c>
      <c r="D287">
        <v>22725390</v>
      </c>
      <c r="E287">
        <v>1</v>
      </c>
      <c r="F287">
        <v>1</v>
      </c>
      <c r="G287">
        <v>22652947</v>
      </c>
      <c r="H287">
        <v>2</v>
      </c>
      <c r="I287" t="s">
        <v>683</v>
      </c>
      <c r="J287" t="s">
        <v>684</v>
      </c>
      <c r="K287" t="s">
        <v>685</v>
      </c>
      <c r="L287">
        <v>1367</v>
      </c>
      <c r="N287">
        <v>1011</v>
      </c>
      <c r="O287" t="s">
        <v>623</v>
      </c>
      <c r="P287" t="s">
        <v>623</v>
      </c>
      <c r="Q287">
        <v>1</v>
      </c>
      <c r="X287">
        <v>5.93</v>
      </c>
      <c r="Y287">
        <v>0</v>
      </c>
      <c r="Z287">
        <v>1.61</v>
      </c>
      <c r="AA287">
        <v>0.04</v>
      </c>
      <c r="AB287">
        <v>0</v>
      </c>
      <c r="AC287">
        <v>0</v>
      </c>
      <c r="AD287">
        <v>1</v>
      </c>
      <c r="AE287">
        <v>0</v>
      </c>
      <c r="AF287" t="s">
        <v>36</v>
      </c>
      <c r="AG287">
        <v>7.4124999999999996</v>
      </c>
      <c r="AH287">
        <v>2</v>
      </c>
      <c r="AI287">
        <v>45038096</v>
      </c>
      <c r="AJ287">
        <v>293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</row>
    <row r="288" spans="1:44" x14ac:dyDescent="0.2">
      <c r="A288">
        <f>ROW(Source!A333)</f>
        <v>333</v>
      </c>
      <c r="B288">
        <v>45038632</v>
      </c>
      <c r="C288">
        <v>45038093</v>
      </c>
      <c r="D288">
        <v>22700967</v>
      </c>
      <c r="E288">
        <v>1</v>
      </c>
      <c r="F288">
        <v>1</v>
      </c>
      <c r="G288">
        <v>22652947</v>
      </c>
      <c r="H288">
        <v>3</v>
      </c>
      <c r="I288" t="s">
        <v>273</v>
      </c>
      <c r="J288" t="s">
        <v>275</v>
      </c>
      <c r="K288" t="s">
        <v>274</v>
      </c>
      <c r="L288">
        <v>1339</v>
      </c>
      <c r="N288">
        <v>1007</v>
      </c>
      <c r="O288" t="s">
        <v>80</v>
      </c>
      <c r="P288" t="s">
        <v>80</v>
      </c>
      <c r="Q288">
        <v>1</v>
      </c>
      <c r="X288">
        <v>1.75</v>
      </c>
      <c r="Y288">
        <v>7.07</v>
      </c>
      <c r="Z288">
        <v>0</v>
      </c>
      <c r="AA288">
        <v>0</v>
      </c>
      <c r="AB288">
        <v>0</v>
      </c>
      <c r="AC288">
        <v>0</v>
      </c>
      <c r="AD288">
        <v>1</v>
      </c>
      <c r="AE288">
        <v>0</v>
      </c>
      <c r="AF288" t="s">
        <v>3</v>
      </c>
      <c r="AG288">
        <v>1.75</v>
      </c>
      <c r="AH288">
        <v>2</v>
      </c>
      <c r="AI288">
        <v>45038097</v>
      </c>
      <c r="AJ288">
        <v>294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</row>
    <row r="289" spans="1:44" x14ac:dyDescent="0.2">
      <c r="A289">
        <f>ROW(Source!A333)</f>
        <v>333</v>
      </c>
      <c r="B289">
        <v>45038633</v>
      </c>
      <c r="C289">
        <v>45038093</v>
      </c>
      <c r="D289">
        <v>22701450</v>
      </c>
      <c r="E289">
        <v>1</v>
      </c>
      <c r="F289">
        <v>1</v>
      </c>
      <c r="G289">
        <v>22652947</v>
      </c>
      <c r="H289">
        <v>3</v>
      </c>
      <c r="I289" t="s">
        <v>753</v>
      </c>
      <c r="J289" t="s">
        <v>754</v>
      </c>
      <c r="K289" t="s">
        <v>755</v>
      </c>
      <c r="L289">
        <v>1327</v>
      </c>
      <c r="N289">
        <v>1005</v>
      </c>
      <c r="O289" t="s">
        <v>101</v>
      </c>
      <c r="P289" t="s">
        <v>101</v>
      </c>
      <c r="Q289">
        <v>1</v>
      </c>
      <c r="X289">
        <v>250</v>
      </c>
      <c r="Y289">
        <v>7.39</v>
      </c>
      <c r="Z289">
        <v>0</v>
      </c>
      <c r="AA289">
        <v>0</v>
      </c>
      <c r="AB289">
        <v>0</v>
      </c>
      <c r="AC289">
        <v>0</v>
      </c>
      <c r="AD289">
        <v>1</v>
      </c>
      <c r="AE289">
        <v>0</v>
      </c>
      <c r="AF289" t="s">
        <v>3</v>
      </c>
      <c r="AG289">
        <v>250</v>
      </c>
      <c r="AH289">
        <v>2</v>
      </c>
      <c r="AI289">
        <v>45038098</v>
      </c>
      <c r="AJ289">
        <v>295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</row>
    <row r="290" spans="1:44" x14ac:dyDescent="0.2">
      <c r="A290">
        <f>ROW(Source!A333)</f>
        <v>333</v>
      </c>
      <c r="B290">
        <v>45038634</v>
      </c>
      <c r="C290">
        <v>45038093</v>
      </c>
      <c r="D290">
        <v>22666700</v>
      </c>
      <c r="E290">
        <v>22652947</v>
      </c>
      <c r="F290">
        <v>1</v>
      </c>
      <c r="G290">
        <v>22652947</v>
      </c>
      <c r="H290">
        <v>3</v>
      </c>
      <c r="I290" t="s">
        <v>846</v>
      </c>
      <c r="J290" t="s">
        <v>3</v>
      </c>
      <c r="K290" t="s">
        <v>847</v>
      </c>
      <c r="L290">
        <v>1339</v>
      </c>
      <c r="N290">
        <v>1007</v>
      </c>
      <c r="O290" t="s">
        <v>80</v>
      </c>
      <c r="P290" t="s">
        <v>80</v>
      </c>
      <c r="Q290">
        <v>1</v>
      </c>
      <c r="X290">
        <v>102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 t="s">
        <v>3</v>
      </c>
      <c r="AG290">
        <v>102</v>
      </c>
      <c r="AH290">
        <v>3</v>
      </c>
      <c r="AI290">
        <v>-1</v>
      </c>
      <c r="AJ290" t="s">
        <v>3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</row>
    <row r="291" spans="1:44" x14ac:dyDescent="0.2">
      <c r="A291">
        <f>ROW(Source!A334)</f>
        <v>334</v>
      </c>
      <c r="B291">
        <v>45038629</v>
      </c>
      <c r="C291">
        <v>45038093</v>
      </c>
      <c r="D291">
        <v>22652952</v>
      </c>
      <c r="E291">
        <v>22652947</v>
      </c>
      <c r="F291">
        <v>1</v>
      </c>
      <c r="G291">
        <v>22652947</v>
      </c>
      <c r="H291">
        <v>1</v>
      </c>
      <c r="I291" t="s">
        <v>617</v>
      </c>
      <c r="J291" t="s">
        <v>3</v>
      </c>
      <c r="K291" t="s">
        <v>618</v>
      </c>
      <c r="L291">
        <v>1191</v>
      </c>
      <c r="N291">
        <v>1013</v>
      </c>
      <c r="O291" t="s">
        <v>619</v>
      </c>
      <c r="P291" t="s">
        <v>619</v>
      </c>
      <c r="Q291">
        <v>1</v>
      </c>
      <c r="X291">
        <v>135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1</v>
      </c>
      <c r="AE291">
        <v>1</v>
      </c>
      <c r="AF291" t="s">
        <v>37</v>
      </c>
      <c r="AG291">
        <v>155.25</v>
      </c>
      <c r="AH291">
        <v>2</v>
      </c>
      <c r="AI291">
        <v>45038094</v>
      </c>
      <c r="AJ291">
        <v>297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</row>
    <row r="292" spans="1:44" x14ac:dyDescent="0.2">
      <c r="A292">
        <f>ROW(Source!A334)</f>
        <v>334</v>
      </c>
      <c r="B292">
        <v>45038630</v>
      </c>
      <c r="C292">
        <v>45038093</v>
      </c>
      <c r="D292">
        <v>22725862</v>
      </c>
      <c r="E292">
        <v>1</v>
      </c>
      <c r="F292">
        <v>1</v>
      </c>
      <c r="G292">
        <v>22652947</v>
      </c>
      <c r="H292">
        <v>2</v>
      </c>
      <c r="I292" t="s">
        <v>750</v>
      </c>
      <c r="J292" t="s">
        <v>751</v>
      </c>
      <c r="K292" t="s">
        <v>752</v>
      </c>
      <c r="L292">
        <v>1367</v>
      </c>
      <c r="N292">
        <v>1011</v>
      </c>
      <c r="O292" t="s">
        <v>623</v>
      </c>
      <c r="P292" t="s">
        <v>623</v>
      </c>
      <c r="Q292">
        <v>1</v>
      </c>
      <c r="X292">
        <v>0.12</v>
      </c>
      <c r="Y292">
        <v>0</v>
      </c>
      <c r="Z292">
        <v>108.75</v>
      </c>
      <c r="AA292">
        <v>15.42</v>
      </c>
      <c r="AB292">
        <v>0</v>
      </c>
      <c r="AC292">
        <v>0</v>
      </c>
      <c r="AD292">
        <v>1</v>
      </c>
      <c r="AE292">
        <v>0</v>
      </c>
      <c r="AF292" t="s">
        <v>36</v>
      </c>
      <c r="AG292">
        <v>0.15</v>
      </c>
      <c r="AH292">
        <v>2</v>
      </c>
      <c r="AI292">
        <v>45038095</v>
      </c>
      <c r="AJ292">
        <v>298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</row>
    <row r="293" spans="1:44" x14ac:dyDescent="0.2">
      <c r="A293">
        <f>ROW(Source!A334)</f>
        <v>334</v>
      </c>
      <c r="B293">
        <v>45038631</v>
      </c>
      <c r="C293">
        <v>45038093</v>
      </c>
      <c r="D293">
        <v>22725390</v>
      </c>
      <c r="E293">
        <v>1</v>
      </c>
      <c r="F293">
        <v>1</v>
      </c>
      <c r="G293">
        <v>22652947</v>
      </c>
      <c r="H293">
        <v>2</v>
      </c>
      <c r="I293" t="s">
        <v>683</v>
      </c>
      <c r="J293" t="s">
        <v>684</v>
      </c>
      <c r="K293" t="s">
        <v>685</v>
      </c>
      <c r="L293">
        <v>1367</v>
      </c>
      <c r="N293">
        <v>1011</v>
      </c>
      <c r="O293" t="s">
        <v>623</v>
      </c>
      <c r="P293" t="s">
        <v>623</v>
      </c>
      <c r="Q293">
        <v>1</v>
      </c>
      <c r="X293">
        <v>5.93</v>
      </c>
      <c r="Y293">
        <v>0</v>
      </c>
      <c r="Z293">
        <v>1.61</v>
      </c>
      <c r="AA293">
        <v>0.04</v>
      </c>
      <c r="AB293">
        <v>0</v>
      </c>
      <c r="AC293">
        <v>0</v>
      </c>
      <c r="AD293">
        <v>1</v>
      </c>
      <c r="AE293">
        <v>0</v>
      </c>
      <c r="AF293" t="s">
        <v>36</v>
      </c>
      <c r="AG293">
        <v>7.4124999999999996</v>
      </c>
      <c r="AH293">
        <v>2</v>
      </c>
      <c r="AI293">
        <v>45038096</v>
      </c>
      <c r="AJ293">
        <v>299</v>
      </c>
      <c r="AK293">
        <v>0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0</v>
      </c>
    </row>
    <row r="294" spans="1:44" x14ac:dyDescent="0.2">
      <c r="A294">
        <f>ROW(Source!A334)</f>
        <v>334</v>
      </c>
      <c r="B294">
        <v>45038632</v>
      </c>
      <c r="C294">
        <v>45038093</v>
      </c>
      <c r="D294">
        <v>22700967</v>
      </c>
      <c r="E294">
        <v>1</v>
      </c>
      <c r="F294">
        <v>1</v>
      </c>
      <c r="G294">
        <v>22652947</v>
      </c>
      <c r="H294">
        <v>3</v>
      </c>
      <c r="I294" t="s">
        <v>273</v>
      </c>
      <c r="J294" t="s">
        <v>275</v>
      </c>
      <c r="K294" t="s">
        <v>274</v>
      </c>
      <c r="L294">
        <v>1339</v>
      </c>
      <c r="N294">
        <v>1007</v>
      </c>
      <c r="O294" t="s">
        <v>80</v>
      </c>
      <c r="P294" t="s">
        <v>80</v>
      </c>
      <c r="Q294">
        <v>1</v>
      </c>
      <c r="X294">
        <v>1.75</v>
      </c>
      <c r="Y294">
        <v>7.07</v>
      </c>
      <c r="Z294">
        <v>0</v>
      </c>
      <c r="AA294">
        <v>0</v>
      </c>
      <c r="AB294">
        <v>0</v>
      </c>
      <c r="AC294">
        <v>0</v>
      </c>
      <c r="AD294">
        <v>1</v>
      </c>
      <c r="AE294">
        <v>0</v>
      </c>
      <c r="AF294" t="s">
        <v>3</v>
      </c>
      <c r="AG294">
        <v>1.75</v>
      </c>
      <c r="AH294">
        <v>2</v>
      </c>
      <c r="AI294">
        <v>45038097</v>
      </c>
      <c r="AJ294">
        <v>300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</row>
    <row r="295" spans="1:44" x14ac:dyDescent="0.2">
      <c r="A295">
        <f>ROW(Source!A334)</f>
        <v>334</v>
      </c>
      <c r="B295">
        <v>45038633</v>
      </c>
      <c r="C295">
        <v>45038093</v>
      </c>
      <c r="D295">
        <v>22701450</v>
      </c>
      <c r="E295">
        <v>1</v>
      </c>
      <c r="F295">
        <v>1</v>
      </c>
      <c r="G295">
        <v>22652947</v>
      </c>
      <c r="H295">
        <v>3</v>
      </c>
      <c r="I295" t="s">
        <v>753</v>
      </c>
      <c r="J295" t="s">
        <v>754</v>
      </c>
      <c r="K295" t="s">
        <v>755</v>
      </c>
      <c r="L295">
        <v>1327</v>
      </c>
      <c r="N295">
        <v>1005</v>
      </c>
      <c r="O295" t="s">
        <v>101</v>
      </c>
      <c r="P295" t="s">
        <v>101</v>
      </c>
      <c r="Q295">
        <v>1</v>
      </c>
      <c r="X295">
        <v>250</v>
      </c>
      <c r="Y295">
        <v>7.39</v>
      </c>
      <c r="Z295">
        <v>0</v>
      </c>
      <c r="AA295">
        <v>0</v>
      </c>
      <c r="AB295">
        <v>0</v>
      </c>
      <c r="AC295">
        <v>0</v>
      </c>
      <c r="AD295">
        <v>1</v>
      </c>
      <c r="AE295">
        <v>0</v>
      </c>
      <c r="AF295" t="s">
        <v>3</v>
      </c>
      <c r="AG295">
        <v>250</v>
      </c>
      <c r="AH295">
        <v>2</v>
      </c>
      <c r="AI295">
        <v>45038098</v>
      </c>
      <c r="AJ295">
        <v>301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</row>
    <row r="296" spans="1:44" x14ac:dyDescent="0.2">
      <c r="A296">
        <f>ROW(Source!A334)</f>
        <v>334</v>
      </c>
      <c r="B296">
        <v>45038634</v>
      </c>
      <c r="C296">
        <v>45038093</v>
      </c>
      <c r="D296">
        <v>22666700</v>
      </c>
      <c r="E296">
        <v>22652947</v>
      </c>
      <c r="F296">
        <v>1</v>
      </c>
      <c r="G296">
        <v>22652947</v>
      </c>
      <c r="H296">
        <v>3</v>
      </c>
      <c r="I296" t="s">
        <v>846</v>
      </c>
      <c r="J296" t="s">
        <v>3</v>
      </c>
      <c r="K296" t="s">
        <v>847</v>
      </c>
      <c r="L296">
        <v>1339</v>
      </c>
      <c r="N296">
        <v>1007</v>
      </c>
      <c r="O296" t="s">
        <v>80</v>
      </c>
      <c r="P296" t="s">
        <v>80</v>
      </c>
      <c r="Q296">
        <v>1</v>
      </c>
      <c r="X296">
        <v>102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 t="s">
        <v>3</v>
      </c>
      <c r="AG296">
        <v>102</v>
      </c>
      <c r="AH296">
        <v>3</v>
      </c>
      <c r="AI296">
        <v>-1</v>
      </c>
      <c r="AJ296" t="s">
        <v>3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</row>
    <row r="297" spans="1:44" x14ac:dyDescent="0.2">
      <c r="A297">
        <f>ROW(Source!A337)</f>
        <v>337</v>
      </c>
      <c r="B297">
        <v>45038635</v>
      </c>
      <c r="C297">
        <v>45038107</v>
      </c>
      <c r="D297">
        <v>22652952</v>
      </c>
      <c r="E297">
        <v>22652947</v>
      </c>
      <c r="F297">
        <v>1</v>
      </c>
      <c r="G297">
        <v>22652947</v>
      </c>
      <c r="H297">
        <v>1</v>
      </c>
      <c r="I297" t="s">
        <v>617</v>
      </c>
      <c r="J297" t="s">
        <v>3</v>
      </c>
      <c r="K297" t="s">
        <v>618</v>
      </c>
      <c r="L297">
        <v>1191</v>
      </c>
      <c r="N297">
        <v>1013</v>
      </c>
      <c r="O297" t="s">
        <v>619</v>
      </c>
      <c r="P297" t="s">
        <v>619</v>
      </c>
      <c r="Q297">
        <v>1</v>
      </c>
      <c r="X297">
        <v>179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1</v>
      </c>
      <c r="AE297">
        <v>1</v>
      </c>
      <c r="AF297" t="s">
        <v>37</v>
      </c>
      <c r="AG297">
        <v>205.85</v>
      </c>
      <c r="AH297">
        <v>2</v>
      </c>
      <c r="AI297">
        <v>45038108</v>
      </c>
      <c r="AJ297">
        <v>303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</row>
    <row r="298" spans="1:44" x14ac:dyDescent="0.2">
      <c r="A298">
        <f>ROW(Source!A337)</f>
        <v>337</v>
      </c>
      <c r="B298">
        <v>45038636</v>
      </c>
      <c r="C298">
        <v>45038107</v>
      </c>
      <c r="D298">
        <v>22725577</v>
      </c>
      <c r="E298">
        <v>1</v>
      </c>
      <c r="F298">
        <v>1</v>
      </c>
      <c r="G298">
        <v>22652947</v>
      </c>
      <c r="H298">
        <v>2</v>
      </c>
      <c r="I298" t="s">
        <v>717</v>
      </c>
      <c r="J298" t="s">
        <v>718</v>
      </c>
      <c r="K298" t="s">
        <v>719</v>
      </c>
      <c r="L298">
        <v>1367</v>
      </c>
      <c r="N298">
        <v>1011</v>
      </c>
      <c r="O298" t="s">
        <v>623</v>
      </c>
      <c r="P298" t="s">
        <v>623</v>
      </c>
      <c r="Q298">
        <v>1</v>
      </c>
      <c r="X298">
        <v>120</v>
      </c>
      <c r="Y298">
        <v>0</v>
      </c>
      <c r="Z298">
        <v>6.22</v>
      </c>
      <c r="AA298">
        <v>0.28999999999999998</v>
      </c>
      <c r="AB298">
        <v>0</v>
      </c>
      <c r="AC298">
        <v>0</v>
      </c>
      <c r="AD298">
        <v>1</v>
      </c>
      <c r="AE298">
        <v>0</v>
      </c>
      <c r="AF298" t="s">
        <v>36</v>
      </c>
      <c r="AG298">
        <v>150</v>
      </c>
      <c r="AH298">
        <v>2</v>
      </c>
      <c r="AI298">
        <v>45038109</v>
      </c>
      <c r="AJ298">
        <v>304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</row>
    <row r="299" spans="1:44" x14ac:dyDescent="0.2">
      <c r="A299">
        <f>ROW(Source!A337)</f>
        <v>337</v>
      </c>
      <c r="B299">
        <v>45038637</v>
      </c>
      <c r="C299">
        <v>45038107</v>
      </c>
      <c r="D299">
        <v>22725860</v>
      </c>
      <c r="E299">
        <v>1</v>
      </c>
      <c r="F299">
        <v>1</v>
      </c>
      <c r="G299">
        <v>22652947</v>
      </c>
      <c r="H299">
        <v>2</v>
      </c>
      <c r="I299" t="s">
        <v>660</v>
      </c>
      <c r="J299" t="s">
        <v>661</v>
      </c>
      <c r="K299" t="s">
        <v>662</v>
      </c>
      <c r="L299">
        <v>1367</v>
      </c>
      <c r="N299">
        <v>1011</v>
      </c>
      <c r="O299" t="s">
        <v>623</v>
      </c>
      <c r="P299" t="s">
        <v>623</v>
      </c>
      <c r="Q299">
        <v>1</v>
      </c>
      <c r="X299">
        <v>1.35</v>
      </c>
      <c r="Y299">
        <v>0</v>
      </c>
      <c r="Z299">
        <v>76.81</v>
      </c>
      <c r="AA299">
        <v>14.36</v>
      </c>
      <c r="AB299">
        <v>0</v>
      </c>
      <c r="AC299">
        <v>0</v>
      </c>
      <c r="AD299">
        <v>1</v>
      </c>
      <c r="AE299">
        <v>0</v>
      </c>
      <c r="AF299" t="s">
        <v>36</v>
      </c>
      <c r="AG299">
        <v>1.6875</v>
      </c>
      <c r="AH299">
        <v>2</v>
      </c>
      <c r="AI299">
        <v>45038110</v>
      </c>
      <c r="AJ299">
        <v>305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</row>
    <row r="300" spans="1:44" x14ac:dyDescent="0.2">
      <c r="A300">
        <f>ROW(Source!A337)</f>
        <v>337</v>
      </c>
      <c r="B300">
        <v>45038639</v>
      </c>
      <c r="C300">
        <v>45038107</v>
      </c>
      <c r="D300">
        <v>22725913</v>
      </c>
      <c r="E300">
        <v>1</v>
      </c>
      <c r="F300">
        <v>1</v>
      </c>
      <c r="G300">
        <v>22652947</v>
      </c>
      <c r="H300">
        <v>2</v>
      </c>
      <c r="I300" t="s">
        <v>756</v>
      </c>
      <c r="J300" t="s">
        <v>757</v>
      </c>
      <c r="K300" t="s">
        <v>758</v>
      </c>
      <c r="L300">
        <v>1367</v>
      </c>
      <c r="N300">
        <v>1011</v>
      </c>
      <c r="O300" t="s">
        <v>623</v>
      </c>
      <c r="P300" t="s">
        <v>623</v>
      </c>
      <c r="Q300">
        <v>1</v>
      </c>
      <c r="X300">
        <v>0.1</v>
      </c>
      <c r="Y300">
        <v>0</v>
      </c>
      <c r="Z300">
        <v>0.53</v>
      </c>
      <c r="AA300">
        <v>0.04</v>
      </c>
      <c r="AB300">
        <v>0</v>
      </c>
      <c r="AC300">
        <v>0</v>
      </c>
      <c r="AD300">
        <v>1</v>
      </c>
      <c r="AE300">
        <v>0</v>
      </c>
      <c r="AF300" t="s">
        <v>36</v>
      </c>
      <c r="AG300">
        <v>0.125</v>
      </c>
      <c r="AH300">
        <v>2</v>
      </c>
      <c r="AI300">
        <v>45038112</v>
      </c>
      <c r="AJ300">
        <v>306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</row>
    <row r="301" spans="1:44" x14ac:dyDescent="0.2">
      <c r="A301">
        <f>ROW(Source!A337)</f>
        <v>337</v>
      </c>
      <c r="B301">
        <v>45038638</v>
      </c>
      <c r="C301">
        <v>45038107</v>
      </c>
      <c r="D301">
        <v>22725104</v>
      </c>
      <c r="E301">
        <v>1</v>
      </c>
      <c r="F301">
        <v>1</v>
      </c>
      <c r="G301">
        <v>22652947</v>
      </c>
      <c r="H301">
        <v>2</v>
      </c>
      <c r="I301" t="s">
        <v>759</v>
      </c>
      <c r="J301" t="s">
        <v>760</v>
      </c>
      <c r="K301" t="s">
        <v>761</v>
      </c>
      <c r="L301">
        <v>1367</v>
      </c>
      <c r="N301">
        <v>1011</v>
      </c>
      <c r="O301" t="s">
        <v>623</v>
      </c>
      <c r="P301" t="s">
        <v>623</v>
      </c>
      <c r="Q301">
        <v>1</v>
      </c>
      <c r="X301">
        <v>0.9</v>
      </c>
      <c r="Y301">
        <v>0</v>
      </c>
      <c r="Z301">
        <v>102.11</v>
      </c>
      <c r="AA301">
        <v>30.03</v>
      </c>
      <c r="AB301">
        <v>0</v>
      </c>
      <c r="AC301">
        <v>0</v>
      </c>
      <c r="AD301">
        <v>1</v>
      </c>
      <c r="AE301">
        <v>0</v>
      </c>
      <c r="AF301" t="s">
        <v>36</v>
      </c>
      <c r="AG301">
        <v>1.125</v>
      </c>
      <c r="AH301">
        <v>2</v>
      </c>
      <c r="AI301">
        <v>45038111</v>
      </c>
      <c r="AJ301">
        <v>307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</row>
    <row r="302" spans="1:44" x14ac:dyDescent="0.2">
      <c r="A302">
        <f>ROW(Source!A337)</f>
        <v>337</v>
      </c>
      <c r="B302">
        <v>45038640</v>
      </c>
      <c r="C302">
        <v>45038107</v>
      </c>
      <c r="D302">
        <v>22725200</v>
      </c>
      <c r="E302">
        <v>1</v>
      </c>
      <c r="F302">
        <v>1</v>
      </c>
      <c r="G302">
        <v>22652947</v>
      </c>
      <c r="H302">
        <v>2</v>
      </c>
      <c r="I302" t="s">
        <v>762</v>
      </c>
      <c r="J302" t="s">
        <v>763</v>
      </c>
      <c r="K302" t="s">
        <v>764</v>
      </c>
      <c r="L302">
        <v>1367</v>
      </c>
      <c r="N302">
        <v>1011</v>
      </c>
      <c r="O302" t="s">
        <v>623</v>
      </c>
      <c r="P302" t="s">
        <v>623</v>
      </c>
      <c r="Q302">
        <v>1</v>
      </c>
      <c r="X302">
        <v>0.25</v>
      </c>
      <c r="Y302">
        <v>0</v>
      </c>
      <c r="Z302">
        <v>73</v>
      </c>
      <c r="AA302">
        <v>16.899999999999999</v>
      </c>
      <c r="AB302">
        <v>0</v>
      </c>
      <c r="AC302">
        <v>0</v>
      </c>
      <c r="AD302">
        <v>1</v>
      </c>
      <c r="AE302">
        <v>0</v>
      </c>
      <c r="AF302" t="s">
        <v>36</v>
      </c>
      <c r="AG302">
        <v>0.3125</v>
      </c>
      <c r="AH302">
        <v>2</v>
      </c>
      <c r="AI302">
        <v>45038113</v>
      </c>
      <c r="AJ302">
        <v>308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</row>
    <row r="303" spans="1:44" x14ac:dyDescent="0.2">
      <c r="A303">
        <f>ROW(Source!A337)</f>
        <v>337</v>
      </c>
      <c r="B303">
        <v>45038641</v>
      </c>
      <c r="C303">
        <v>45038107</v>
      </c>
      <c r="D303">
        <v>22725391</v>
      </c>
      <c r="E303">
        <v>1</v>
      </c>
      <c r="F303">
        <v>1</v>
      </c>
      <c r="G303">
        <v>22652947</v>
      </c>
      <c r="H303">
        <v>2</v>
      </c>
      <c r="I303" t="s">
        <v>765</v>
      </c>
      <c r="J303" t="s">
        <v>766</v>
      </c>
      <c r="K303" t="s">
        <v>767</v>
      </c>
      <c r="L303">
        <v>1367</v>
      </c>
      <c r="N303">
        <v>1011</v>
      </c>
      <c r="O303" t="s">
        <v>623</v>
      </c>
      <c r="P303" t="s">
        <v>623</v>
      </c>
      <c r="Q303">
        <v>1</v>
      </c>
      <c r="X303">
        <v>9</v>
      </c>
      <c r="Y303">
        <v>0</v>
      </c>
      <c r="Z303">
        <v>2.06</v>
      </c>
      <c r="AA303">
        <v>0.09</v>
      </c>
      <c r="AB303">
        <v>0</v>
      </c>
      <c r="AC303">
        <v>0</v>
      </c>
      <c r="AD303">
        <v>1</v>
      </c>
      <c r="AE303">
        <v>0</v>
      </c>
      <c r="AF303" t="s">
        <v>36</v>
      </c>
      <c r="AG303">
        <v>11.25</v>
      </c>
      <c r="AH303">
        <v>2</v>
      </c>
      <c r="AI303">
        <v>45038114</v>
      </c>
      <c r="AJ303">
        <v>309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</row>
    <row r="304" spans="1:44" x14ac:dyDescent="0.2">
      <c r="A304">
        <f>ROW(Source!A337)</f>
        <v>337</v>
      </c>
      <c r="B304">
        <v>45038642</v>
      </c>
      <c r="C304">
        <v>45038107</v>
      </c>
      <c r="D304">
        <v>22669203</v>
      </c>
      <c r="E304">
        <v>22652947</v>
      </c>
      <c r="F304">
        <v>1</v>
      </c>
      <c r="G304">
        <v>22652947</v>
      </c>
      <c r="H304">
        <v>3</v>
      </c>
      <c r="I304" t="s">
        <v>848</v>
      </c>
      <c r="J304" t="s">
        <v>3</v>
      </c>
      <c r="K304" t="s">
        <v>849</v>
      </c>
      <c r="L304">
        <v>1348</v>
      </c>
      <c r="N304">
        <v>1009</v>
      </c>
      <c r="O304" t="s">
        <v>29</v>
      </c>
      <c r="P304" t="s">
        <v>29</v>
      </c>
      <c r="Q304">
        <v>1000</v>
      </c>
      <c r="X304">
        <v>8.1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 t="s">
        <v>3</v>
      </c>
      <c r="AG304">
        <v>8.1</v>
      </c>
      <c r="AH304">
        <v>3</v>
      </c>
      <c r="AI304">
        <v>-1</v>
      </c>
      <c r="AJ304" t="s">
        <v>3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</row>
    <row r="305" spans="1:44" x14ac:dyDescent="0.2">
      <c r="A305">
        <f>ROW(Source!A337)</f>
        <v>337</v>
      </c>
      <c r="B305">
        <v>45038643</v>
      </c>
      <c r="C305">
        <v>45038107</v>
      </c>
      <c r="D305">
        <v>22700967</v>
      </c>
      <c r="E305">
        <v>1</v>
      </c>
      <c r="F305">
        <v>1</v>
      </c>
      <c r="G305">
        <v>22652947</v>
      </c>
      <c r="H305">
        <v>3</v>
      </c>
      <c r="I305" t="s">
        <v>273</v>
      </c>
      <c r="J305" t="s">
        <v>275</v>
      </c>
      <c r="K305" t="s">
        <v>274</v>
      </c>
      <c r="L305">
        <v>1339</v>
      </c>
      <c r="N305">
        <v>1007</v>
      </c>
      <c r="O305" t="s">
        <v>80</v>
      </c>
      <c r="P305" t="s">
        <v>80</v>
      </c>
      <c r="Q305">
        <v>1</v>
      </c>
      <c r="X305">
        <v>0.73</v>
      </c>
      <c r="Y305">
        <v>7.07</v>
      </c>
      <c r="Z305">
        <v>0</v>
      </c>
      <c r="AA305">
        <v>0</v>
      </c>
      <c r="AB305">
        <v>0</v>
      </c>
      <c r="AC305">
        <v>0</v>
      </c>
      <c r="AD305">
        <v>1</v>
      </c>
      <c r="AE305">
        <v>0</v>
      </c>
      <c r="AF305" t="s">
        <v>3</v>
      </c>
      <c r="AG305">
        <v>0.73</v>
      </c>
      <c r="AH305">
        <v>2</v>
      </c>
      <c r="AI305">
        <v>45038115</v>
      </c>
      <c r="AJ305">
        <v>310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</row>
    <row r="306" spans="1:44" x14ac:dyDescent="0.2">
      <c r="A306">
        <f>ROW(Source!A337)</f>
        <v>337</v>
      </c>
      <c r="B306">
        <v>45038644</v>
      </c>
      <c r="C306">
        <v>45038107</v>
      </c>
      <c r="D306">
        <v>22700980</v>
      </c>
      <c r="E306">
        <v>1</v>
      </c>
      <c r="F306">
        <v>1</v>
      </c>
      <c r="G306">
        <v>22652947</v>
      </c>
      <c r="H306">
        <v>3</v>
      </c>
      <c r="I306" t="s">
        <v>768</v>
      </c>
      <c r="J306" t="s">
        <v>769</v>
      </c>
      <c r="K306" t="s">
        <v>770</v>
      </c>
      <c r="L306">
        <v>1348</v>
      </c>
      <c r="N306">
        <v>1009</v>
      </c>
      <c r="O306" t="s">
        <v>29</v>
      </c>
      <c r="P306" t="s">
        <v>29</v>
      </c>
      <c r="Q306">
        <v>1000</v>
      </c>
      <c r="X306">
        <v>2E-3</v>
      </c>
      <c r="Y306">
        <v>6521.42</v>
      </c>
      <c r="Z306">
        <v>0</v>
      </c>
      <c r="AA306">
        <v>0</v>
      </c>
      <c r="AB306">
        <v>0</v>
      </c>
      <c r="AC306">
        <v>0</v>
      </c>
      <c r="AD306">
        <v>1</v>
      </c>
      <c r="AE306">
        <v>0</v>
      </c>
      <c r="AF306" t="s">
        <v>3</v>
      </c>
      <c r="AG306">
        <v>2E-3</v>
      </c>
      <c r="AH306">
        <v>2</v>
      </c>
      <c r="AI306">
        <v>45038116</v>
      </c>
      <c r="AJ306">
        <v>311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</row>
    <row r="307" spans="1:44" x14ac:dyDescent="0.2">
      <c r="A307">
        <f>ROW(Source!A337)</f>
        <v>337</v>
      </c>
      <c r="B307">
        <v>45038645</v>
      </c>
      <c r="C307">
        <v>45038107</v>
      </c>
      <c r="D307">
        <v>22702279</v>
      </c>
      <c r="E307">
        <v>1</v>
      </c>
      <c r="F307">
        <v>1</v>
      </c>
      <c r="G307">
        <v>22652947</v>
      </c>
      <c r="H307">
        <v>3</v>
      </c>
      <c r="I307" t="s">
        <v>666</v>
      </c>
      <c r="J307" t="s">
        <v>667</v>
      </c>
      <c r="K307" t="s">
        <v>668</v>
      </c>
      <c r="L307">
        <v>1348</v>
      </c>
      <c r="N307">
        <v>1009</v>
      </c>
      <c r="O307" t="s">
        <v>29</v>
      </c>
      <c r="P307" t="s">
        <v>29</v>
      </c>
      <c r="Q307">
        <v>1000</v>
      </c>
      <c r="X307">
        <v>0.16</v>
      </c>
      <c r="Y307">
        <v>7191.81</v>
      </c>
      <c r="Z307">
        <v>0</v>
      </c>
      <c r="AA307">
        <v>0</v>
      </c>
      <c r="AB307">
        <v>0</v>
      </c>
      <c r="AC307">
        <v>0</v>
      </c>
      <c r="AD307">
        <v>1</v>
      </c>
      <c r="AE307">
        <v>0</v>
      </c>
      <c r="AF307" t="s">
        <v>3</v>
      </c>
      <c r="AG307">
        <v>0.16</v>
      </c>
      <c r="AH307">
        <v>2</v>
      </c>
      <c r="AI307">
        <v>45038117</v>
      </c>
      <c r="AJ307">
        <v>312</v>
      </c>
      <c r="AK307">
        <v>0</v>
      </c>
      <c r="AL307">
        <v>0</v>
      </c>
      <c r="AM307">
        <v>0</v>
      </c>
      <c r="AN307">
        <v>0</v>
      </c>
      <c r="AO307">
        <v>0</v>
      </c>
      <c r="AP307">
        <v>0</v>
      </c>
      <c r="AQ307">
        <v>0</v>
      </c>
      <c r="AR307">
        <v>0</v>
      </c>
    </row>
    <row r="308" spans="1:44" x14ac:dyDescent="0.2">
      <c r="A308">
        <f>ROW(Source!A337)</f>
        <v>337</v>
      </c>
      <c r="B308">
        <v>45038646</v>
      </c>
      <c r="C308">
        <v>45038107</v>
      </c>
      <c r="D308">
        <v>22701071</v>
      </c>
      <c r="E308">
        <v>1</v>
      </c>
      <c r="F308">
        <v>1</v>
      </c>
      <c r="G308">
        <v>22652947</v>
      </c>
      <c r="H308">
        <v>3</v>
      </c>
      <c r="I308" t="s">
        <v>771</v>
      </c>
      <c r="J308" t="s">
        <v>772</v>
      </c>
      <c r="K308" t="s">
        <v>773</v>
      </c>
      <c r="L308">
        <v>1339</v>
      </c>
      <c r="N308">
        <v>1007</v>
      </c>
      <c r="O308" t="s">
        <v>80</v>
      </c>
      <c r="P308" t="s">
        <v>80</v>
      </c>
      <c r="Q308">
        <v>1</v>
      </c>
      <c r="X308">
        <v>0.04</v>
      </c>
      <c r="Y308">
        <v>1828.56</v>
      </c>
      <c r="Z308">
        <v>0</v>
      </c>
      <c r="AA308">
        <v>0</v>
      </c>
      <c r="AB308">
        <v>0</v>
      </c>
      <c r="AC308">
        <v>0</v>
      </c>
      <c r="AD308">
        <v>1</v>
      </c>
      <c r="AE308">
        <v>0</v>
      </c>
      <c r="AF308" t="s">
        <v>3</v>
      </c>
      <c r="AG308">
        <v>0.04</v>
      </c>
      <c r="AH308">
        <v>2</v>
      </c>
      <c r="AI308">
        <v>45038118</v>
      </c>
      <c r="AJ308">
        <v>313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0</v>
      </c>
    </row>
    <row r="309" spans="1:44" x14ac:dyDescent="0.2">
      <c r="A309">
        <f>ROW(Source!A337)</f>
        <v>337</v>
      </c>
      <c r="B309">
        <v>45038647</v>
      </c>
      <c r="C309">
        <v>45038107</v>
      </c>
      <c r="D309">
        <v>22701098</v>
      </c>
      <c r="E309">
        <v>1</v>
      </c>
      <c r="F309">
        <v>1</v>
      </c>
      <c r="G309">
        <v>22652947</v>
      </c>
      <c r="H309">
        <v>3</v>
      </c>
      <c r="I309" t="s">
        <v>774</v>
      </c>
      <c r="J309" t="s">
        <v>775</v>
      </c>
      <c r="K309" t="s">
        <v>776</v>
      </c>
      <c r="L309">
        <v>1348</v>
      </c>
      <c r="N309">
        <v>1009</v>
      </c>
      <c r="O309" t="s">
        <v>29</v>
      </c>
      <c r="P309" t="s">
        <v>29</v>
      </c>
      <c r="Q309">
        <v>1000</v>
      </c>
      <c r="X309">
        <v>0.01</v>
      </c>
      <c r="Y309">
        <v>1260.72</v>
      </c>
      <c r="Z309">
        <v>0</v>
      </c>
      <c r="AA309">
        <v>0</v>
      </c>
      <c r="AB309">
        <v>0</v>
      </c>
      <c r="AC309">
        <v>0</v>
      </c>
      <c r="AD309">
        <v>1</v>
      </c>
      <c r="AE309">
        <v>0</v>
      </c>
      <c r="AF309" t="s">
        <v>3</v>
      </c>
      <c r="AG309">
        <v>0.01</v>
      </c>
      <c r="AH309">
        <v>2</v>
      </c>
      <c r="AI309">
        <v>45038119</v>
      </c>
      <c r="AJ309">
        <v>314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</row>
    <row r="310" spans="1:44" x14ac:dyDescent="0.2">
      <c r="A310">
        <f>ROW(Source!A337)</f>
        <v>337</v>
      </c>
      <c r="B310">
        <v>45038648</v>
      </c>
      <c r="C310">
        <v>45038107</v>
      </c>
      <c r="D310">
        <v>22701450</v>
      </c>
      <c r="E310">
        <v>1</v>
      </c>
      <c r="F310">
        <v>1</v>
      </c>
      <c r="G310">
        <v>22652947</v>
      </c>
      <c r="H310">
        <v>3</v>
      </c>
      <c r="I310" t="s">
        <v>753</v>
      </c>
      <c r="J310" t="s">
        <v>754</v>
      </c>
      <c r="K310" t="s">
        <v>755</v>
      </c>
      <c r="L310">
        <v>1327</v>
      </c>
      <c r="N310">
        <v>1005</v>
      </c>
      <c r="O310" t="s">
        <v>101</v>
      </c>
      <c r="P310" t="s">
        <v>101</v>
      </c>
      <c r="Q310">
        <v>1</v>
      </c>
      <c r="X310">
        <v>30</v>
      </c>
      <c r="Y310">
        <v>7.39</v>
      </c>
      <c r="Z310">
        <v>0</v>
      </c>
      <c r="AA310">
        <v>0</v>
      </c>
      <c r="AB310">
        <v>0</v>
      </c>
      <c r="AC310">
        <v>0</v>
      </c>
      <c r="AD310">
        <v>1</v>
      </c>
      <c r="AE310">
        <v>0</v>
      </c>
      <c r="AF310" t="s">
        <v>3</v>
      </c>
      <c r="AG310">
        <v>30</v>
      </c>
      <c r="AH310">
        <v>2</v>
      </c>
      <c r="AI310">
        <v>45038120</v>
      </c>
      <c r="AJ310">
        <v>315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</row>
    <row r="311" spans="1:44" x14ac:dyDescent="0.2">
      <c r="A311">
        <f>ROW(Source!A337)</f>
        <v>337</v>
      </c>
      <c r="B311">
        <v>45038649</v>
      </c>
      <c r="C311">
        <v>45038107</v>
      </c>
      <c r="D311">
        <v>22724788</v>
      </c>
      <c r="E311">
        <v>1</v>
      </c>
      <c r="F311">
        <v>1</v>
      </c>
      <c r="G311">
        <v>22652947</v>
      </c>
      <c r="H311">
        <v>3</v>
      </c>
      <c r="I311" t="s">
        <v>777</v>
      </c>
      <c r="J311" t="s">
        <v>778</v>
      </c>
      <c r="K311" t="s">
        <v>779</v>
      </c>
      <c r="L311">
        <v>1327</v>
      </c>
      <c r="N311">
        <v>1005</v>
      </c>
      <c r="O311" t="s">
        <v>101</v>
      </c>
      <c r="P311" t="s">
        <v>101</v>
      </c>
      <c r="Q311">
        <v>1</v>
      </c>
      <c r="X311">
        <v>3.6</v>
      </c>
      <c r="Y311">
        <v>90.15</v>
      </c>
      <c r="Z311">
        <v>0</v>
      </c>
      <c r="AA311">
        <v>0</v>
      </c>
      <c r="AB311">
        <v>0</v>
      </c>
      <c r="AC311">
        <v>0</v>
      </c>
      <c r="AD311">
        <v>1</v>
      </c>
      <c r="AE311">
        <v>0</v>
      </c>
      <c r="AF311" t="s">
        <v>3</v>
      </c>
      <c r="AG311">
        <v>3.6</v>
      </c>
      <c r="AH311">
        <v>2</v>
      </c>
      <c r="AI311">
        <v>45038121</v>
      </c>
      <c r="AJ311">
        <v>319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</row>
    <row r="312" spans="1:44" x14ac:dyDescent="0.2">
      <c r="A312">
        <f>ROW(Source!A337)</f>
        <v>337</v>
      </c>
      <c r="B312">
        <v>45038650</v>
      </c>
      <c r="C312">
        <v>45038107</v>
      </c>
      <c r="D312">
        <v>22666700</v>
      </c>
      <c r="E312">
        <v>22652947</v>
      </c>
      <c r="F312">
        <v>1</v>
      </c>
      <c r="G312">
        <v>22652947</v>
      </c>
      <c r="H312">
        <v>3</v>
      </c>
      <c r="I312" t="s">
        <v>846</v>
      </c>
      <c r="J312" t="s">
        <v>3</v>
      </c>
      <c r="K312" t="s">
        <v>847</v>
      </c>
      <c r="L312">
        <v>1339</v>
      </c>
      <c r="N312">
        <v>1007</v>
      </c>
      <c r="O312" t="s">
        <v>80</v>
      </c>
      <c r="P312" t="s">
        <v>80</v>
      </c>
      <c r="Q312">
        <v>1</v>
      </c>
      <c r="X312">
        <v>101.5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 t="s">
        <v>3</v>
      </c>
      <c r="AG312">
        <v>101.5</v>
      </c>
      <c r="AH312">
        <v>3</v>
      </c>
      <c r="AI312">
        <v>-1</v>
      </c>
      <c r="AJ312" t="s">
        <v>3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</row>
    <row r="313" spans="1:44" x14ac:dyDescent="0.2">
      <c r="A313">
        <f>ROW(Source!A338)</f>
        <v>338</v>
      </c>
      <c r="B313">
        <v>45038635</v>
      </c>
      <c r="C313">
        <v>45038107</v>
      </c>
      <c r="D313">
        <v>22652952</v>
      </c>
      <c r="E313">
        <v>22652947</v>
      </c>
      <c r="F313">
        <v>1</v>
      </c>
      <c r="G313">
        <v>22652947</v>
      </c>
      <c r="H313">
        <v>1</v>
      </c>
      <c r="I313" t="s">
        <v>617</v>
      </c>
      <c r="J313" t="s">
        <v>3</v>
      </c>
      <c r="K313" t="s">
        <v>618</v>
      </c>
      <c r="L313">
        <v>1191</v>
      </c>
      <c r="N313">
        <v>1013</v>
      </c>
      <c r="O313" t="s">
        <v>619</v>
      </c>
      <c r="P313" t="s">
        <v>619</v>
      </c>
      <c r="Q313">
        <v>1</v>
      </c>
      <c r="X313">
        <v>179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1</v>
      </c>
      <c r="AE313">
        <v>1</v>
      </c>
      <c r="AF313" t="s">
        <v>37</v>
      </c>
      <c r="AG313">
        <v>205.85</v>
      </c>
      <c r="AH313">
        <v>2</v>
      </c>
      <c r="AI313">
        <v>45038108</v>
      </c>
      <c r="AJ313">
        <v>320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</row>
    <row r="314" spans="1:44" x14ac:dyDescent="0.2">
      <c r="A314">
        <f>ROW(Source!A338)</f>
        <v>338</v>
      </c>
      <c r="B314">
        <v>45038636</v>
      </c>
      <c r="C314">
        <v>45038107</v>
      </c>
      <c r="D314">
        <v>22725577</v>
      </c>
      <c r="E314">
        <v>1</v>
      </c>
      <c r="F314">
        <v>1</v>
      </c>
      <c r="G314">
        <v>22652947</v>
      </c>
      <c r="H314">
        <v>2</v>
      </c>
      <c r="I314" t="s">
        <v>717</v>
      </c>
      <c r="J314" t="s">
        <v>718</v>
      </c>
      <c r="K314" t="s">
        <v>719</v>
      </c>
      <c r="L314">
        <v>1367</v>
      </c>
      <c r="N314">
        <v>1011</v>
      </c>
      <c r="O314" t="s">
        <v>623</v>
      </c>
      <c r="P314" t="s">
        <v>623</v>
      </c>
      <c r="Q314">
        <v>1</v>
      </c>
      <c r="X314">
        <v>120</v>
      </c>
      <c r="Y314">
        <v>0</v>
      </c>
      <c r="Z314">
        <v>6.22</v>
      </c>
      <c r="AA314">
        <v>0.28999999999999998</v>
      </c>
      <c r="AB314">
        <v>0</v>
      </c>
      <c r="AC314">
        <v>0</v>
      </c>
      <c r="AD314">
        <v>1</v>
      </c>
      <c r="AE314">
        <v>0</v>
      </c>
      <c r="AF314" t="s">
        <v>36</v>
      </c>
      <c r="AG314">
        <v>150</v>
      </c>
      <c r="AH314">
        <v>2</v>
      </c>
      <c r="AI314">
        <v>45038109</v>
      </c>
      <c r="AJ314">
        <v>321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</row>
    <row r="315" spans="1:44" x14ac:dyDescent="0.2">
      <c r="A315">
        <f>ROW(Source!A338)</f>
        <v>338</v>
      </c>
      <c r="B315">
        <v>45038637</v>
      </c>
      <c r="C315">
        <v>45038107</v>
      </c>
      <c r="D315">
        <v>22725860</v>
      </c>
      <c r="E315">
        <v>1</v>
      </c>
      <c r="F315">
        <v>1</v>
      </c>
      <c r="G315">
        <v>22652947</v>
      </c>
      <c r="H315">
        <v>2</v>
      </c>
      <c r="I315" t="s">
        <v>660</v>
      </c>
      <c r="J315" t="s">
        <v>661</v>
      </c>
      <c r="K315" t="s">
        <v>662</v>
      </c>
      <c r="L315">
        <v>1367</v>
      </c>
      <c r="N315">
        <v>1011</v>
      </c>
      <c r="O315" t="s">
        <v>623</v>
      </c>
      <c r="P315" t="s">
        <v>623</v>
      </c>
      <c r="Q315">
        <v>1</v>
      </c>
      <c r="X315">
        <v>1.35</v>
      </c>
      <c r="Y315">
        <v>0</v>
      </c>
      <c r="Z315">
        <v>76.81</v>
      </c>
      <c r="AA315">
        <v>14.36</v>
      </c>
      <c r="AB315">
        <v>0</v>
      </c>
      <c r="AC315">
        <v>0</v>
      </c>
      <c r="AD315">
        <v>1</v>
      </c>
      <c r="AE315">
        <v>0</v>
      </c>
      <c r="AF315" t="s">
        <v>36</v>
      </c>
      <c r="AG315">
        <v>1.6875</v>
      </c>
      <c r="AH315">
        <v>2</v>
      </c>
      <c r="AI315">
        <v>45038110</v>
      </c>
      <c r="AJ315">
        <v>322</v>
      </c>
      <c r="AK315">
        <v>0</v>
      </c>
      <c r="AL315">
        <v>0</v>
      </c>
      <c r="AM315">
        <v>0</v>
      </c>
      <c r="AN315">
        <v>0</v>
      </c>
      <c r="AO315">
        <v>0</v>
      </c>
      <c r="AP315">
        <v>0</v>
      </c>
      <c r="AQ315">
        <v>0</v>
      </c>
      <c r="AR315">
        <v>0</v>
      </c>
    </row>
    <row r="316" spans="1:44" x14ac:dyDescent="0.2">
      <c r="A316">
        <f>ROW(Source!A338)</f>
        <v>338</v>
      </c>
      <c r="B316">
        <v>45038639</v>
      </c>
      <c r="C316">
        <v>45038107</v>
      </c>
      <c r="D316">
        <v>22725913</v>
      </c>
      <c r="E316">
        <v>1</v>
      </c>
      <c r="F316">
        <v>1</v>
      </c>
      <c r="G316">
        <v>22652947</v>
      </c>
      <c r="H316">
        <v>2</v>
      </c>
      <c r="I316" t="s">
        <v>756</v>
      </c>
      <c r="J316" t="s">
        <v>757</v>
      </c>
      <c r="K316" t="s">
        <v>758</v>
      </c>
      <c r="L316">
        <v>1367</v>
      </c>
      <c r="N316">
        <v>1011</v>
      </c>
      <c r="O316" t="s">
        <v>623</v>
      </c>
      <c r="P316" t="s">
        <v>623</v>
      </c>
      <c r="Q316">
        <v>1</v>
      </c>
      <c r="X316">
        <v>0.1</v>
      </c>
      <c r="Y316">
        <v>0</v>
      </c>
      <c r="Z316">
        <v>0.53</v>
      </c>
      <c r="AA316">
        <v>0.04</v>
      </c>
      <c r="AB316">
        <v>0</v>
      </c>
      <c r="AC316">
        <v>0</v>
      </c>
      <c r="AD316">
        <v>1</v>
      </c>
      <c r="AE316">
        <v>0</v>
      </c>
      <c r="AF316" t="s">
        <v>36</v>
      </c>
      <c r="AG316">
        <v>0.125</v>
      </c>
      <c r="AH316">
        <v>2</v>
      </c>
      <c r="AI316">
        <v>45038112</v>
      </c>
      <c r="AJ316">
        <v>323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</row>
    <row r="317" spans="1:44" x14ac:dyDescent="0.2">
      <c r="A317">
        <f>ROW(Source!A338)</f>
        <v>338</v>
      </c>
      <c r="B317">
        <v>45038638</v>
      </c>
      <c r="C317">
        <v>45038107</v>
      </c>
      <c r="D317">
        <v>22725104</v>
      </c>
      <c r="E317">
        <v>1</v>
      </c>
      <c r="F317">
        <v>1</v>
      </c>
      <c r="G317">
        <v>22652947</v>
      </c>
      <c r="H317">
        <v>2</v>
      </c>
      <c r="I317" t="s">
        <v>759</v>
      </c>
      <c r="J317" t="s">
        <v>760</v>
      </c>
      <c r="K317" t="s">
        <v>761</v>
      </c>
      <c r="L317">
        <v>1367</v>
      </c>
      <c r="N317">
        <v>1011</v>
      </c>
      <c r="O317" t="s">
        <v>623</v>
      </c>
      <c r="P317" t="s">
        <v>623</v>
      </c>
      <c r="Q317">
        <v>1</v>
      </c>
      <c r="X317">
        <v>0.9</v>
      </c>
      <c r="Y317">
        <v>0</v>
      </c>
      <c r="Z317">
        <v>102.11</v>
      </c>
      <c r="AA317">
        <v>30.03</v>
      </c>
      <c r="AB317">
        <v>0</v>
      </c>
      <c r="AC317">
        <v>0</v>
      </c>
      <c r="AD317">
        <v>1</v>
      </c>
      <c r="AE317">
        <v>0</v>
      </c>
      <c r="AF317" t="s">
        <v>36</v>
      </c>
      <c r="AG317">
        <v>1.125</v>
      </c>
      <c r="AH317">
        <v>2</v>
      </c>
      <c r="AI317">
        <v>45038111</v>
      </c>
      <c r="AJ317">
        <v>324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</row>
    <row r="318" spans="1:44" x14ac:dyDescent="0.2">
      <c r="A318">
        <f>ROW(Source!A338)</f>
        <v>338</v>
      </c>
      <c r="B318">
        <v>45038640</v>
      </c>
      <c r="C318">
        <v>45038107</v>
      </c>
      <c r="D318">
        <v>22725200</v>
      </c>
      <c r="E318">
        <v>1</v>
      </c>
      <c r="F318">
        <v>1</v>
      </c>
      <c r="G318">
        <v>22652947</v>
      </c>
      <c r="H318">
        <v>2</v>
      </c>
      <c r="I318" t="s">
        <v>762</v>
      </c>
      <c r="J318" t="s">
        <v>763</v>
      </c>
      <c r="K318" t="s">
        <v>764</v>
      </c>
      <c r="L318">
        <v>1367</v>
      </c>
      <c r="N318">
        <v>1011</v>
      </c>
      <c r="O318" t="s">
        <v>623</v>
      </c>
      <c r="P318" t="s">
        <v>623</v>
      </c>
      <c r="Q318">
        <v>1</v>
      </c>
      <c r="X318">
        <v>0.25</v>
      </c>
      <c r="Y318">
        <v>0</v>
      </c>
      <c r="Z318">
        <v>73</v>
      </c>
      <c r="AA318">
        <v>16.899999999999999</v>
      </c>
      <c r="AB318">
        <v>0</v>
      </c>
      <c r="AC318">
        <v>0</v>
      </c>
      <c r="AD318">
        <v>1</v>
      </c>
      <c r="AE318">
        <v>0</v>
      </c>
      <c r="AF318" t="s">
        <v>36</v>
      </c>
      <c r="AG318">
        <v>0.3125</v>
      </c>
      <c r="AH318">
        <v>2</v>
      </c>
      <c r="AI318">
        <v>45038113</v>
      </c>
      <c r="AJ318">
        <v>325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</row>
    <row r="319" spans="1:44" x14ac:dyDescent="0.2">
      <c r="A319">
        <f>ROW(Source!A338)</f>
        <v>338</v>
      </c>
      <c r="B319">
        <v>45038641</v>
      </c>
      <c r="C319">
        <v>45038107</v>
      </c>
      <c r="D319">
        <v>22725391</v>
      </c>
      <c r="E319">
        <v>1</v>
      </c>
      <c r="F319">
        <v>1</v>
      </c>
      <c r="G319">
        <v>22652947</v>
      </c>
      <c r="H319">
        <v>2</v>
      </c>
      <c r="I319" t="s">
        <v>765</v>
      </c>
      <c r="J319" t="s">
        <v>766</v>
      </c>
      <c r="K319" t="s">
        <v>767</v>
      </c>
      <c r="L319">
        <v>1367</v>
      </c>
      <c r="N319">
        <v>1011</v>
      </c>
      <c r="O319" t="s">
        <v>623</v>
      </c>
      <c r="P319" t="s">
        <v>623</v>
      </c>
      <c r="Q319">
        <v>1</v>
      </c>
      <c r="X319">
        <v>9</v>
      </c>
      <c r="Y319">
        <v>0</v>
      </c>
      <c r="Z319">
        <v>2.06</v>
      </c>
      <c r="AA319">
        <v>0.09</v>
      </c>
      <c r="AB319">
        <v>0</v>
      </c>
      <c r="AC319">
        <v>0</v>
      </c>
      <c r="AD319">
        <v>1</v>
      </c>
      <c r="AE319">
        <v>0</v>
      </c>
      <c r="AF319" t="s">
        <v>36</v>
      </c>
      <c r="AG319">
        <v>11.25</v>
      </c>
      <c r="AH319">
        <v>2</v>
      </c>
      <c r="AI319">
        <v>45038114</v>
      </c>
      <c r="AJ319">
        <v>326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</row>
    <row r="320" spans="1:44" x14ac:dyDescent="0.2">
      <c r="A320">
        <f>ROW(Source!A338)</f>
        <v>338</v>
      </c>
      <c r="B320">
        <v>45038642</v>
      </c>
      <c r="C320">
        <v>45038107</v>
      </c>
      <c r="D320">
        <v>22669203</v>
      </c>
      <c r="E320">
        <v>22652947</v>
      </c>
      <c r="F320">
        <v>1</v>
      </c>
      <c r="G320">
        <v>22652947</v>
      </c>
      <c r="H320">
        <v>3</v>
      </c>
      <c r="I320" t="s">
        <v>848</v>
      </c>
      <c r="J320" t="s">
        <v>3</v>
      </c>
      <c r="K320" t="s">
        <v>849</v>
      </c>
      <c r="L320">
        <v>1348</v>
      </c>
      <c r="N320">
        <v>1009</v>
      </c>
      <c r="O320" t="s">
        <v>29</v>
      </c>
      <c r="P320" t="s">
        <v>29</v>
      </c>
      <c r="Q320">
        <v>1000</v>
      </c>
      <c r="X320">
        <v>8.1</v>
      </c>
      <c r="Y320">
        <v>0</v>
      </c>
      <c r="Z320">
        <v>0</v>
      </c>
      <c r="AA320">
        <v>0</v>
      </c>
      <c r="AB320">
        <v>0</v>
      </c>
      <c r="AC320">
        <v>0</v>
      </c>
      <c r="AD320">
        <v>0</v>
      </c>
      <c r="AE320">
        <v>0</v>
      </c>
      <c r="AF320" t="s">
        <v>3</v>
      </c>
      <c r="AG320">
        <v>8.1</v>
      </c>
      <c r="AH320">
        <v>3</v>
      </c>
      <c r="AI320">
        <v>-1</v>
      </c>
      <c r="AJ320" t="s">
        <v>3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0</v>
      </c>
      <c r="AQ320">
        <v>0</v>
      </c>
      <c r="AR320">
        <v>0</v>
      </c>
    </row>
    <row r="321" spans="1:44" x14ac:dyDescent="0.2">
      <c r="A321">
        <f>ROW(Source!A338)</f>
        <v>338</v>
      </c>
      <c r="B321">
        <v>45038643</v>
      </c>
      <c r="C321">
        <v>45038107</v>
      </c>
      <c r="D321">
        <v>22700967</v>
      </c>
      <c r="E321">
        <v>1</v>
      </c>
      <c r="F321">
        <v>1</v>
      </c>
      <c r="G321">
        <v>22652947</v>
      </c>
      <c r="H321">
        <v>3</v>
      </c>
      <c r="I321" t="s">
        <v>273</v>
      </c>
      <c r="J321" t="s">
        <v>275</v>
      </c>
      <c r="K321" t="s">
        <v>274</v>
      </c>
      <c r="L321">
        <v>1339</v>
      </c>
      <c r="N321">
        <v>1007</v>
      </c>
      <c r="O321" t="s">
        <v>80</v>
      </c>
      <c r="P321" t="s">
        <v>80</v>
      </c>
      <c r="Q321">
        <v>1</v>
      </c>
      <c r="X321">
        <v>0.73</v>
      </c>
      <c r="Y321">
        <v>7.07</v>
      </c>
      <c r="Z321">
        <v>0</v>
      </c>
      <c r="AA321">
        <v>0</v>
      </c>
      <c r="AB321">
        <v>0</v>
      </c>
      <c r="AC321">
        <v>0</v>
      </c>
      <c r="AD321">
        <v>1</v>
      </c>
      <c r="AE321">
        <v>0</v>
      </c>
      <c r="AF321" t="s">
        <v>3</v>
      </c>
      <c r="AG321">
        <v>0.73</v>
      </c>
      <c r="AH321">
        <v>2</v>
      </c>
      <c r="AI321">
        <v>45038115</v>
      </c>
      <c r="AJ321">
        <v>327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</row>
    <row r="322" spans="1:44" x14ac:dyDescent="0.2">
      <c r="A322">
        <f>ROW(Source!A338)</f>
        <v>338</v>
      </c>
      <c r="B322">
        <v>45038644</v>
      </c>
      <c r="C322">
        <v>45038107</v>
      </c>
      <c r="D322">
        <v>22700980</v>
      </c>
      <c r="E322">
        <v>1</v>
      </c>
      <c r="F322">
        <v>1</v>
      </c>
      <c r="G322">
        <v>22652947</v>
      </c>
      <c r="H322">
        <v>3</v>
      </c>
      <c r="I322" t="s">
        <v>768</v>
      </c>
      <c r="J322" t="s">
        <v>769</v>
      </c>
      <c r="K322" t="s">
        <v>770</v>
      </c>
      <c r="L322">
        <v>1348</v>
      </c>
      <c r="N322">
        <v>1009</v>
      </c>
      <c r="O322" t="s">
        <v>29</v>
      </c>
      <c r="P322" t="s">
        <v>29</v>
      </c>
      <c r="Q322">
        <v>1000</v>
      </c>
      <c r="X322">
        <v>2E-3</v>
      </c>
      <c r="Y322">
        <v>6521.42</v>
      </c>
      <c r="Z322">
        <v>0</v>
      </c>
      <c r="AA322">
        <v>0</v>
      </c>
      <c r="AB322">
        <v>0</v>
      </c>
      <c r="AC322">
        <v>0</v>
      </c>
      <c r="AD322">
        <v>1</v>
      </c>
      <c r="AE322">
        <v>0</v>
      </c>
      <c r="AF322" t="s">
        <v>3</v>
      </c>
      <c r="AG322">
        <v>2E-3</v>
      </c>
      <c r="AH322">
        <v>2</v>
      </c>
      <c r="AI322">
        <v>45038116</v>
      </c>
      <c r="AJ322">
        <v>328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0</v>
      </c>
      <c r="AQ322">
        <v>0</v>
      </c>
      <c r="AR322">
        <v>0</v>
      </c>
    </row>
    <row r="323" spans="1:44" x14ac:dyDescent="0.2">
      <c r="A323">
        <f>ROW(Source!A338)</f>
        <v>338</v>
      </c>
      <c r="B323">
        <v>45038645</v>
      </c>
      <c r="C323">
        <v>45038107</v>
      </c>
      <c r="D323">
        <v>22702279</v>
      </c>
      <c r="E323">
        <v>1</v>
      </c>
      <c r="F323">
        <v>1</v>
      </c>
      <c r="G323">
        <v>22652947</v>
      </c>
      <c r="H323">
        <v>3</v>
      </c>
      <c r="I323" t="s">
        <v>666</v>
      </c>
      <c r="J323" t="s">
        <v>667</v>
      </c>
      <c r="K323" t="s">
        <v>668</v>
      </c>
      <c r="L323">
        <v>1348</v>
      </c>
      <c r="N323">
        <v>1009</v>
      </c>
      <c r="O323" t="s">
        <v>29</v>
      </c>
      <c r="P323" t="s">
        <v>29</v>
      </c>
      <c r="Q323">
        <v>1000</v>
      </c>
      <c r="X323">
        <v>0.16</v>
      </c>
      <c r="Y323">
        <v>7191.81</v>
      </c>
      <c r="Z323">
        <v>0</v>
      </c>
      <c r="AA323">
        <v>0</v>
      </c>
      <c r="AB323">
        <v>0</v>
      </c>
      <c r="AC323">
        <v>0</v>
      </c>
      <c r="AD323">
        <v>1</v>
      </c>
      <c r="AE323">
        <v>0</v>
      </c>
      <c r="AF323" t="s">
        <v>3</v>
      </c>
      <c r="AG323">
        <v>0.16</v>
      </c>
      <c r="AH323">
        <v>2</v>
      </c>
      <c r="AI323">
        <v>45038117</v>
      </c>
      <c r="AJ323">
        <v>329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0</v>
      </c>
    </row>
    <row r="324" spans="1:44" x14ac:dyDescent="0.2">
      <c r="A324">
        <f>ROW(Source!A338)</f>
        <v>338</v>
      </c>
      <c r="B324">
        <v>45038646</v>
      </c>
      <c r="C324">
        <v>45038107</v>
      </c>
      <c r="D324">
        <v>22701071</v>
      </c>
      <c r="E324">
        <v>1</v>
      </c>
      <c r="F324">
        <v>1</v>
      </c>
      <c r="G324">
        <v>22652947</v>
      </c>
      <c r="H324">
        <v>3</v>
      </c>
      <c r="I324" t="s">
        <v>771</v>
      </c>
      <c r="J324" t="s">
        <v>772</v>
      </c>
      <c r="K324" t="s">
        <v>773</v>
      </c>
      <c r="L324">
        <v>1339</v>
      </c>
      <c r="N324">
        <v>1007</v>
      </c>
      <c r="O324" t="s">
        <v>80</v>
      </c>
      <c r="P324" t="s">
        <v>80</v>
      </c>
      <c r="Q324">
        <v>1</v>
      </c>
      <c r="X324">
        <v>0.04</v>
      </c>
      <c r="Y324">
        <v>1828.56</v>
      </c>
      <c r="Z324">
        <v>0</v>
      </c>
      <c r="AA324">
        <v>0</v>
      </c>
      <c r="AB324">
        <v>0</v>
      </c>
      <c r="AC324">
        <v>0</v>
      </c>
      <c r="AD324">
        <v>1</v>
      </c>
      <c r="AE324">
        <v>0</v>
      </c>
      <c r="AF324" t="s">
        <v>3</v>
      </c>
      <c r="AG324">
        <v>0.04</v>
      </c>
      <c r="AH324">
        <v>2</v>
      </c>
      <c r="AI324">
        <v>45038118</v>
      </c>
      <c r="AJ324">
        <v>330</v>
      </c>
      <c r="AK324">
        <v>0</v>
      </c>
      <c r="AL324">
        <v>0</v>
      </c>
      <c r="AM324">
        <v>0</v>
      </c>
      <c r="AN324">
        <v>0</v>
      </c>
      <c r="AO324">
        <v>0</v>
      </c>
      <c r="AP324">
        <v>0</v>
      </c>
      <c r="AQ324">
        <v>0</v>
      </c>
      <c r="AR324">
        <v>0</v>
      </c>
    </row>
    <row r="325" spans="1:44" x14ac:dyDescent="0.2">
      <c r="A325">
        <f>ROW(Source!A338)</f>
        <v>338</v>
      </c>
      <c r="B325">
        <v>45038647</v>
      </c>
      <c r="C325">
        <v>45038107</v>
      </c>
      <c r="D325">
        <v>22701098</v>
      </c>
      <c r="E325">
        <v>1</v>
      </c>
      <c r="F325">
        <v>1</v>
      </c>
      <c r="G325">
        <v>22652947</v>
      </c>
      <c r="H325">
        <v>3</v>
      </c>
      <c r="I325" t="s">
        <v>774</v>
      </c>
      <c r="J325" t="s">
        <v>775</v>
      </c>
      <c r="K325" t="s">
        <v>776</v>
      </c>
      <c r="L325">
        <v>1348</v>
      </c>
      <c r="N325">
        <v>1009</v>
      </c>
      <c r="O325" t="s">
        <v>29</v>
      </c>
      <c r="P325" t="s">
        <v>29</v>
      </c>
      <c r="Q325">
        <v>1000</v>
      </c>
      <c r="X325">
        <v>0.01</v>
      </c>
      <c r="Y325">
        <v>1260.72</v>
      </c>
      <c r="Z325">
        <v>0</v>
      </c>
      <c r="AA325">
        <v>0</v>
      </c>
      <c r="AB325">
        <v>0</v>
      </c>
      <c r="AC325">
        <v>0</v>
      </c>
      <c r="AD325">
        <v>1</v>
      </c>
      <c r="AE325">
        <v>0</v>
      </c>
      <c r="AF325" t="s">
        <v>3</v>
      </c>
      <c r="AG325">
        <v>0.01</v>
      </c>
      <c r="AH325">
        <v>2</v>
      </c>
      <c r="AI325">
        <v>45038119</v>
      </c>
      <c r="AJ325">
        <v>331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0</v>
      </c>
      <c r="AQ325">
        <v>0</v>
      </c>
      <c r="AR325">
        <v>0</v>
      </c>
    </row>
    <row r="326" spans="1:44" x14ac:dyDescent="0.2">
      <c r="A326">
        <f>ROW(Source!A338)</f>
        <v>338</v>
      </c>
      <c r="B326">
        <v>45038648</v>
      </c>
      <c r="C326">
        <v>45038107</v>
      </c>
      <c r="D326">
        <v>22701450</v>
      </c>
      <c r="E326">
        <v>1</v>
      </c>
      <c r="F326">
        <v>1</v>
      </c>
      <c r="G326">
        <v>22652947</v>
      </c>
      <c r="H326">
        <v>3</v>
      </c>
      <c r="I326" t="s">
        <v>753</v>
      </c>
      <c r="J326" t="s">
        <v>754</v>
      </c>
      <c r="K326" t="s">
        <v>755</v>
      </c>
      <c r="L326">
        <v>1327</v>
      </c>
      <c r="N326">
        <v>1005</v>
      </c>
      <c r="O326" t="s">
        <v>101</v>
      </c>
      <c r="P326" t="s">
        <v>101</v>
      </c>
      <c r="Q326">
        <v>1</v>
      </c>
      <c r="X326">
        <v>30</v>
      </c>
      <c r="Y326">
        <v>7.39</v>
      </c>
      <c r="Z326">
        <v>0</v>
      </c>
      <c r="AA326">
        <v>0</v>
      </c>
      <c r="AB326">
        <v>0</v>
      </c>
      <c r="AC326">
        <v>0</v>
      </c>
      <c r="AD326">
        <v>1</v>
      </c>
      <c r="AE326">
        <v>0</v>
      </c>
      <c r="AF326" t="s">
        <v>3</v>
      </c>
      <c r="AG326">
        <v>30</v>
      </c>
      <c r="AH326">
        <v>2</v>
      </c>
      <c r="AI326">
        <v>45038120</v>
      </c>
      <c r="AJ326">
        <v>332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0</v>
      </c>
    </row>
    <row r="327" spans="1:44" x14ac:dyDescent="0.2">
      <c r="A327">
        <f>ROW(Source!A338)</f>
        <v>338</v>
      </c>
      <c r="B327">
        <v>45038649</v>
      </c>
      <c r="C327">
        <v>45038107</v>
      </c>
      <c r="D327">
        <v>22724788</v>
      </c>
      <c r="E327">
        <v>1</v>
      </c>
      <c r="F327">
        <v>1</v>
      </c>
      <c r="G327">
        <v>22652947</v>
      </c>
      <c r="H327">
        <v>3</v>
      </c>
      <c r="I327" t="s">
        <v>777</v>
      </c>
      <c r="J327" t="s">
        <v>778</v>
      </c>
      <c r="K327" t="s">
        <v>779</v>
      </c>
      <c r="L327">
        <v>1327</v>
      </c>
      <c r="N327">
        <v>1005</v>
      </c>
      <c r="O327" t="s">
        <v>101</v>
      </c>
      <c r="P327" t="s">
        <v>101</v>
      </c>
      <c r="Q327">
        <v>1</v>
      </c>
      <c r="X327">
        <v>3.6</v>
      </c>
      <c r="Y327">
        <v>90.15</v>
      </c>
      <c r="Z327">
        <v>0</v>
      </c>
      <c r="AA327">
        <v>0</v>
      </c>
      <c r="AB327">
        <v>0</v>
      </c>
      <c r="AC327">
        <v>0</v>
      </c>
      <c r="AD327">
        <v>1</v>
      </c>
      <c r="AE327">
        <v>0</v>
      </c>
      <c r="AF327" t="s">
        <v>3</v>
      </c>
      <c r="AG327">
        <v>3.6</v>
      </c>
      <c r="AH327">
        <v>2</v>
      </c>
      <c r="AI327">
        <v>45038121</v>
      </c>
      <c r="AJ327">
        <v>336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0</v>
      </c>
    </row>
    <row r="328" spans="1:44" x14ac:dyDescent="0.2">
      <c r="A328">
        <f>ROW(Source!A338)</f>
        <v>338</v>
      </c>
      <c r="B328">
        <v>45038650</v>
      </c>
      <c r="C328">
        <v>45038107</v>
      </c>
      <c r="D328">
        <v>22666700</v>
      </c>
      <c r="E328">
        <v>22652947</v>
      </c>
      <c r="F328">
        <v>1</v>
      </c>
      <c r="G328">
        <v>22652947</v>
      </c>
      <c r="H328">
        <v>3</v>
      </c>
      <c r="I328" t="s">
        <v>846</v>
      </c>
      <c r="J328" t="s">
        <v>3</v>
      </c>
      <c r="K328" t="s">
        <v>847</v>
      </c>
      <c r="L328">
        <v>1339</v>
      </c>
      <c r="N328">
        <v>1007</v>
      </c>
      <c r="O328" t="s">
        <v>80</v>
      </c>
      <c r="P328" t="s">
        <v>80</v>
      </c>
      <c r="Q328">
        <v>1</v>
      </c>
      <c r="X328">
        <v>101.5</v>
      </c>
      <c r="Y328">
        <v>0</v>
      </c>
      <c r="Z328">
        <v>0</v>
      </c>
      <c r="AA328">
        <v>0</v>
      </c>
      <c r="AB328">
        <v>0</v>
      </c>
      <c r="AC328">
        <v>0</v>
      </c>
      <c r="AD328">
        <v>0</v>
      </c>
      <c r="AE328">
        <v>0</v>
      </c>
      <c r="AF328" t="s">
        <v>3</v>
      </c>
      <c r="AG328">
        <v>101.5</v>
      </c>
      <c r="AH328">
        <v>3</v>
      </c>
      <c r="AI328">
        <v>-1</v>
      </c>
      <c r="AJ328" t="s">
        <v>3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0</v>
      </c>
    </row>
    <row r="329" spans="1:44" x14ac:dyDescent="0.2">
      <c r="A329">
        <f>ROW(Source!A345)</f>
        <v>345</v>
      </c>
      <c r="B329">
        <v>45038651</v>
      </c>
      <c r="C329">
        <v>45038144</v>
      </c>
      <c r="D329">
        <v>22652952</v>
      </c>
      <c r="E329">
        <v>22652947</v>
      </c>
      <c r="F329">
        <v>1</v>
      </c>
      <c r="G329">
        <v>22652947</v>
      </c>
      <c r="H329">
        <v>1</v>
      </c>
      <c r="I329" t="s">
        <v>617</v>
      </c>
      <c r="J329" t="s">
        <v>3</v>
      </c>
      <c r="K329" t="s">
        <v>618</v>
      </c>
      <c r="L329">
        <v>1191</v>
      </c>
      <c r="N329">
        <v>1013</v>
      </c>
      <c r="O329" t="s">
        <v>619</v>
      </c>
      <c r="P329" t="s">
        <v>619</v>
      </c>
      <c r="Q329">
        <v>1</v>
      </c>
      <c r="X329">
        <v>35.9</v>
      </c>
      <c r="Y329">
        <v>0</v>
      </c>
      <c r="Z329">
        <v>0</v>
      </c>
      <c r="AA329">
        <v>0</v>
      </c>
      <c r="AB329">
        <v>0</v>
      </c>
      <c r="AC329">
        <v>0</v>
      </c>
      <c r="AD329">
        <v>1</v>
      </c>
      <c r="AE329">
        <v>1</v>
      </c>
      <c r="AF329" t="s">
        <v>37</v>
      </c>
      <c r="AG329">
        <v>41.284999999999997</v>
      </c>
      <c r="AH329">
        <v>2</v>
      </c>
      <c r="AI329">
        <v>45038145</v>
      </c>
      <c r="AJ329">
        <v>337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0</v>
      </c>
    </row>
    <row r="330" spans="1:44" x14ac:dyDescent="0.2">
      <c r="A330">
        <f>ROW(Source!A345)</f>
        <v>345</v>
      </c>
      <c r="B330">
        <v>45038652</v>
      </c>
      <c r="C330">
        <v>45038144</v>
      </c>
      <c r="D330">
        <v>22725583</v>
      </c>
      <c r="E330">
        <v>1</v>
      </c>
      <c r="F330">
        <v>1</v>
      </c>
      <c r="G330">
        <v>22652947</v>
      </c>
      <c r="H330">
        <v>2</v>
      </c>
      <c r="I330" t="s">
        <v>669</v>
      </c>
      <c r="J330" t="s">
        <v>670</v>
      </c>
      <c r="K330" t="s">
        <v>671</v>
      </c>
      <c r="L330">
        <v>1367</v>
      </c>
      <c r="N330">
        <v>1011</v>
      </c>
      <c r="O330" t="s">
        <v>623</v>
      </c>
      <c r="P330" t="s">
        <v>623</v>
      </c>
      <c r="Q330">
        <v>1</v>
      </c>
      <c r="X330">
        <v>0.34</v>
      </c>
      <c r="Y330">
        <v>0</v>
      </c>
      <c r="Z330">
        <v>6.39</v>
      </c>
      <c r="AA330">
        <v>0.32</v>
      </c>
      <c r="AB330">
        <v>0</v>
      </c>
      <c r="AC330">
        <v>0</v>
      </c>
      <c r="AD330">
        <v>1</v>
      </c>
      <c r="AE330">
        <v>0</v>
      </c>
      <c r="AF330" t="s">
        <v>36</v>
      </c>
      <c r="AG330">
        <v>0.42500000000000004</v>
      </c>
      <c r="AH330">
        <v>2</v>
      </c>
      <c r="AI330">
        <v>45038146</v>
      </c>
      <c r="AJ330">
        <v>338</v>
      </c>
      <c r="AK330">
        <v>0</v>
      </c>
      <c r="AL330">
        <v>0</v>
      </c>
      <c r="AM330">
        <v>0</v>
      </c>
      <c r="AN330">
        <v>0</v>
      </c>
      <c r="AO330">
        <v>0</v>
      </c>
      <c r="AP330">
        <v>0</v>
      </c>
      <c r="AQ330">
        <v>0</v>
      </c>
      <c r="AR330">
        <v>0</v>
      </c>
    </row>
    <row r="331" spans="1:44" x14ac:dyDescent="0.2">
      <c r="A331">
        <f>ROW(Source!A345)</f>
        <v>345</v>
      </c>
      <c r="B331">
        <v>45038654</v>
      </c>
      <c r="C331">
        <v>45038144</v>
      </c>
      <c r="D331">
        <v>22725932</v>
      </c>
      <c r="E331">
        <v>1</v>
      </c>
      <c r="F331">
        <v>1</v>
      </c>
      <c r="G331">
        <v>22652947</v>
      </c>
      <c r="H331">
        <v>2</v>
      </c>
      <c r="I331" t="s">
        <v>672</v>
      </c>
      <c r="J331" t="s">
        <v>673</v>
      </c>
      <c r="K331" t="s">
        <v>674</v>
      </c>
      <c r="L331">
        <v>1367</v>
      </c>
      <c r="N331">
        <v>1011</v>
      </c>
      <c r="O331" t="s">
        <v>623</v>
      </c>
      <c r="P331" t="s">
        <v>623</v>
      </c>
      <c r="Q331">
        <v>1</v>
      </c>
      <c r="X331">
        <v>6.16</v>
      </c>
      <c r="Y331">
        <v>0</v>
      </c>
      <c r="Z331">
        <v>2.58</v>
      </c>
      <c r="AA331">
        <v>0.04</v>
      </c>
      <c r="AB331">
        <v>0</v>
      </c>
      <c r="AC331">
        <v>0</v>
      </c>
      <c r="AD331">
        <v>1</v>
      </c>
      <c r="AE331">
        <v>0</v>
      </c>
      <c r="AF331" t="s">
        <v>36</v>
      </c>
      <c r="AG331">
        <v>7.7</v>
      </c>
      <c r="AH331">
        <v>2</v>
      </c>
      <c r="AI331">
        <v>45038148</v>
      </c>
      <c r="AJ331">
        <v>339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0</v>
      </c>
      <c r="AQ331">
        <v>0</v>
      </c>
      <c r="AR331">
        <v>0</v>
      </c>
    </row>
    <row r="332" spans="1:44" x14ac:dyDescent="0.2">
      <c r="A332">
        <f>ROW(Source!A345)</f>
        <v>345</v>
      </c>
      <c r="B332">
        <v>45038653</v>
      </c>
      <c r="C332">
        <v>45038144</v>
      </c>
      <c r="D332">
        <v>22725104</v>
      </c>
      <c r="E332">
        <v>1</v>
      </c>
      <c r="F332">
        <v>1</v>
      </c>
      <c r="G332">
        <v>22652947</v>
      </c>
      <c r="H332">
        <v>2</v>
      </c>
      <c r="I332" t="s">
        <v>759</v>
      </c>
      <c r="J332" t="s">
        <v>760</v>
      </c>
      <c r="K332" t="s">
        <v>761</v>
      </c>
      <c r="L332">
        <v>1367</v>
      </c>
      <c r="N332">
        <v>1011</v>
      </c>
      <c r="O332" t="s">
        <v>623</v>
      </c>
      <c r="P332" t="s">
        <v>623</v>
      </c>
      <c r="Q332">
        <v>1</v>
      </c>
      <c r="X332">
        <v>4.13</v>
      </c>
      <c r="Y332">
        <v>0</v>
      </c>
      <c r="Z332">
        <v>102.11</v>
      </c>
      <c r="AA332">
        <v>30.03</v>
      </c>
      <c r="AB332">
        <v>0</v>
      </c>
      <c r="AC332">
        <v>0</v>
      </c>
      <c r="AD332">
        <v>1</v>
      </c>
      <c r="AE332">
        <v>0</v>
      </c>
      <c r="AF332" t="s">
        <v>36</v>
      </c>
      <c r="AG332">
        <v>5.1624999999999996</v>
      </c>
      <c r="AH332">
        <v>2</v>
      </c>
      <c r="AI332">
        <v>45038147</v>
      </c>
      <c r="AJ332">
        <v>340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</row>
    <row r="333" spans="1:44" x14ac:dyDescent="0.2">
      <c r="A333">
        <f>ROW(Source!A345)</f>
        <v>345</v>
      </c>
      <c r="B333">
        <v>45038655</v>
      </c>
      <c r="C333">
        <v>45038144</v>
      </c>
      <c r="D333">
        <v>22725226</v>
      </c>
      <c r="E333">
        <v>1</v>
      </c>
      <c r="F333">
        <v>1</v>
      </c>
      <c r="G333">
        <v>22652947</v>
      </c>
      <c r="H333">
        <v>2</v>
      </c>
      <c r="I333" t="s">
        <v>780</v>
      </c>
      <c r="J333" t="s">
        <v>781</v>
      </c>
      <c r="K333" t="s">
        <v>782</v>
      </c>
      <c r="L333">
        <v>1367</v>
      </c>
      <c r="N333">
        <v>1011</v>
      </c>
      <c r="O333" t="s">
        <v>623</v>
      </c>
      <c r="P333" t="s">
        <v>623</v>
      </c>
      <c r="Q333">
        <v>1</v>
      </c>
      <c r="X333">
        <v>3.17</v>
      </c>
      <c r="Y333">
        <v>0</v>
      </c>
      <c r="Z333">
        <v>0.8</v>
      </c>
      <c r="AA333">
        <v>0.09</v>
      </c>
      <c r="AB333">
        <v>0</v>
      </c>
      <c r="AC333">
        <v>0</v>
      </c>
      <c r="AD333">
        <v>1</v>
      </c>
      <c r="AE333">
        <v>0</v>
      </c>
      <c r="AF333" t="s">
        <v>36</v>
      </c>
      <c r="AG333">
        <v>3.9624999999999999</v>
      </c>
      <c r="AH333">
        <v>2</v>
      </c>
      <c r="AI333">
        <v>45038149</v>
      </c>
      <c r="AJ333">
        <v>341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</row>
    <row r="334" spans="1:44" x14ac:dyDescent="0.2">
      <c r="A334">
        <f>ROW(Source!A345)</f>
        <v>345</v>
      </c>
      <c r="B334">
        <v>45038656</v>
      </c>
      <c r="C334">
        <v>45038144</v>
      </c>
      <c r="D334">
        <v>22653672</v>
      </c>
      <c r="E334">
        <v>22652947</v>
      </c>
      <c r="F334">
        <v>1</v>
      </c>
      <c r="G334">
        <v>22652947</v>
      </c>
      <c r="H334">
        <v>2</v>
      </c>
      <c r="I334" t="s">
        <v>630</v>
      </c>
      <c r="J334" t="s">
        <v>3</v>
      </c>
      <c r="K334" t="s">
        <v>631</v>
      </c>
      <c r="L334">
        <v>1344</v>
      </c>
      <c r="N334">
        <v>1008</v>
      </c>
      <c r="O334" t="s">
        <v>632</v>
      </c>
      <c r="P334" t="s">
        <v>632</v>
      </c>
      <c r="Q334">
        <v>1</v>
      </c>
      <c r="X334">
        <v>37.450000000000003</v>
      </c>
      <c r="Y334">
        <v>0</v>
      </c>
      <c r="Z334">
        <v>1</v>
      </c>
      <c r="AA334">
        <v>0</v>
      </c>
      <c r="AB334">
        <v>0</v>
      </c>
      <c r="AC334">
        <v>0</v>
      </c>
      <c r="AD334">
        <v>1</v>
      </c>
      <c r="AE334">
        <v>0</v>
      </c>
      <c r="AF334" t="s">
        <v>36</v>
      </c>
      <c r="AG334">
        <v>46.8125</v>
      </c>
      <c r="AH334">
        <v>2</v>
      </c>
      <c r="AI334">
        <v>45038150</v>
      </c>
      <c r="AJ334">
        <v>342</v>
      </c>
      <c r="AK334">
        <v>0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</row>
    <row r="335" spans="1:44" x14ac:dyDescent="0.2">
      <c r="A335">
        <f>ROW(Source!A345)</f>
        <v>345</v>
      </c>
      <c r="B335">
        <v>45038657</v>
      </c>
      <c r="C335">
        <v>45038144</v>
      </c>
      <c r="D335">
        <v>22702279</v>
      </c>
      <c r="E335">
        <v>1</v>
      </c>
      <c r="F335">
        <v>1</v>
      </c>
      <c r="G335">
        <v>22652947</v>
      </c>
      <c r="H335">
        <v>3</v>
      </c>
      <c r="I335" t="s">
        <v>666</v>
      </c>
      <c r="J335" t="s">
        <v>667</v>
      </c>
      <c r="K335" t="s">
        <v>668</v>
      </c>
      <c r="L335">
        <v>1348</v>
      </c>
      <c r="N335">
        <v>1009</v>
      </c>
      <c r="O335" t="s">
        <v>29</v>
      </c>
      <c r="P335" t="s">
        <v>29</v>
      </c>
      <c r="Q335">
        <v>1000</v>
      </c>
      <c r="X335">
        <v>4.0000000000000001E-3</v>
      </c>
      <c r="Y335">
        <v>7191.81</v>
      </c>
      <c r="Z335">
        <v>0</v>
      </c>
      <c r="AA335">
        <v>0</v>
      </c>
      <c r="AB335">
        <v>0</v>
      </c>
      <c r="AC335">
        <v>0</v>
      </c>
      <c r="AD335">
        <v>1</v>
      </c>
      <c r="AE335">
        <v>0</v>
      </c>
      <c r="AF335" t="s">
        <v>3</v>
      </c>
      <c r="AG335">
        <v>4.0000000000000001E-3</v>
      </c>
      <c r="AH335">
        <v>2</v>
      </c>
      <c r="AI335">
        <v>45038151</v>
      </c>
      <c r="AJ335">
        <v>345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</row>
    <row r="336" spans="1:44" x14ac:dyDescent="0.2">
      <c r="A336">
        <f>ROW(Source!A345)</f>
        <v>345</v>
      </c>
      <c r="B336">
        <v>45038658</v>
      </c>
      <c r="C336">
        <v>45038144</v>
      </c>
      <c r="D336">
        <v>22722464</v>
      </c>
      <c r="E336">
        <v>1</v>
      </c>
      <c r="F336">
        <v>1</v>
      </c>
      <c r="G336">
        <v>22652947</v>
      </c>
      <c r="H336">
        <v>3</v>
      </c>
      <c r="I336" t="s">
        <v>783</v>
      </c>
      <c r="J336" t="s">
        <v>784</v>
      </c>
      <c r="K336" t="s">
        <v>785</v>
      </c>
      <c r="L336">
        <v>1348</v>
      </c>
      <c r="N336">
        <v>1009</v>
      </c>
      <c r="O336" t="s">
        <v>29</v>
      </c>
      <c r="P336" t="s">
        <v>29</v>
      </c>
      <c r="Q336">
        <v>1000</v>
      </c>
      <c r="X336">
        <v>1E-3</v>
      </c>
      <c r="Y336">
        <v>12654.07</v>
      </c>
      <c r="Z336">
        <v>0</v>
      </c>
      <c r="AA336">
        <v>0</v>
      </c>
      <c r="AB336">
        <v>0</v>
      </c>
      <c r="AC336">
        <v>0</v>
      </c>
      <c r="AD336">
        <v>1</v>
      </c>
      <c r="AE336">
        <v>0</v>
      </c>
      <c r="AF336" t="s">
        <v>3</v>
      </c>
      <c r="AG336">
        <v>1E-3</v>
      </c>
      <c r="AH336">
        <v>2</v>
      </c>
      <c r="AI336">
        <v>45038152</v>
      </c>
      <c r="AJ336">
        <v>349</v>
      </c>
      <c r="AK336">
        <v>0</v>
      </c>
      <c r="AL336">
        <v>0</v>
      </c>
      <c r="AM336">
        <v>0</v>
      </c>
      <c r="AN336">
        <v>0</v>
      </c>
      <c r="AO336">
        <v>0</v>
      </c>
      <c r="AP336">
        <v>0</v>
      </c>
      <c r="AQ336">
        <v>0</v>
      </c>
      <c r="AR336">
        <v>0</v>
      </c>
    </row>
    <row r="337" spans="1:44" x14ac:dyDescent="0.2">
      <c r="A337">
        <f>ROW(Source!A345)</f>
        <v>345</v>
      </c>
      <c r="B337">
        <v>45038659</v>
      </c>
      <c r="C337">
        <v>45038144</v>
      </c>
      <c r="D337">
        <v>22668568</v>
      </c>
      <c r="E337">
        <v>22652947</v>
      </c>
      <c r="F337">
        <v>1</v>
      </c>
      <c r="G337">
        <v>22652947</v>
      </c>
      <c r="H337">
        <v>3</v>
      </c>
      <c r="I337" t="s">
        <v>850</v>
      </c>
      <c r="J337" t="s">
        <v>3</v>
      </c>
      <c r="K337" t="s">
        <v>851</v>
      </c>
      <c r="L337">
        <v>1348</v>
      </c>
      <c r="N337">
        <v>1009</v>
      </c>
      <c r="O337" t="s">
        <v>29</v>
      </c>
      <c r="P337" t="s">
        <v>29</v>
      </c>
      <c r="Q337">
        <v>1000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 t="s">
        <v>3</v>
      </c>
      <c r="AG337">
        <v>0</v>
      </c>
      <c r="AH337">
        <v>3</v>
      </c>
      <c r="AI337">
        <v>-1</v>
      </c>
      <c r="AJ337" t="s">
        <v>3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</row>
    <row r="338" spans="1:44" x14ac:dyDescent="0.2">
      <c r="A338">
        <f>ROW(Source!A345)</f>
        <v>345</v>
      </c>
      <c r="B338">
        <v>45038660</v>
      </c>
      <c r="C338">
        <v>45038144</v>
      </c>
      <c r="D338">
        <v>22675621</v>
      </c>
      <c r="E338">
        <v>22652947</v>
      </c>
      <c r="F338">
        <v>1</v>
      </c>
      <c r="G338">
        <v>22652947</v>
      </c>
      <c r="H338">
        <v>3</v>
      </c>
      <c r="I338" t="s">
        <v>810</v>
      </c>
      <c r="J338" t="s">
        <v>3</v>
      </c>
      <c r="K338" t="s">
        <v>852</v>
      </c>
      <c r="L338">
        <v>1348</v>
      </c>
      <c r="N338">
        <v>1009</v>
      </c>
      <c r="O338" t="s">
        <v>29</v>
      </c>
      <c r="P338" t="s">
        <v>29</v>
      </c>
      <c r="Q338">
        <v>1000</v>
      </c>
      <c r="X338">
        <v>1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 t="s">
        <v>3</v>
      </c>
      <c r="AG338">
        <v>1</v>
      </c>
      <c r="AH338">
        <v>3</v>
      </c>
      <c r="AI338">
        <v>-1</v>
      </c>
      <c r="AJ338" t="s">
        <v>3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</row>
    <row r="339" spans="1:44" x14ac:dyDescent="0.2">
      <c r="A339">
        <f>ROW(Source!A345)</f>
        <v>345</v>
      </c>
      <c r="B339">
        <v>45038661</v>
      </c>
      <c r="C339">
        <v>45038144</v>
      </c>
      <c r="D339">
        <v>22674651</v>
      </c>
      <c r="E339">
        <v>22652947</v>
      </c>
      <c r="F339">
        <v>1</v>
      </c>
      <c r="G339">
        <v>22652947</v>
      </c>
      <c r="H339">
        <v>3</v>
      </c>
      <c r="I339" t="s">
        <v>675</v>
      </c>
      <c r="J339" t="s">
        <v>3</v>
      </c>
      <c r="K339" t="s">
        <v>676</v>
      </c>
      <c r="L339">
        <v>1344</v>
      </c>
      <c r="N339">
        <v>1008</v>
      </c>
      <c r="O339" t="s">
        <v>632</v>
      </c>
      <c r="P339" t="s">
        <v>632</v>
      </c>
      <c r="Q339">
        <v>1</v>
      </c>
      <c r="X339">
        <v>39.479999999999997</v>
      </c>
      <c r="Y339">
        <v>1</v>
      </c>
      <c r="Z339">
        <v>0</v>
      </c>
      <c r="AA339">
        <v>0</v>
      </c>
      <c r="AB339">
        <v>0</v>
      </c>
      <c r="AC339">
        <v>0</v>
      </c>
      <c r="AD339">
        <v>1</v>
      </c>
      <c r="AE339">
        <v>0</v>
      </c>
      <c r="AF339" t="s">
        <v>3</v>
      </c>
      <c r="AG339">
        <v>39.479999999999997</v>
      </c>
      <c r="AH339">
        <v>2</v>
      </c>
      <c r="AI339">
        <v>45038153</v>
      </c>
      <c r="AJ339">
        <v>350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</row>
    <row r="340" spans="1:44" x14ac:dyDescent="0.2">
      <c r="A340">
        <f>ROW(Source!A346)</f>
        <v>346</v>
      </c>
      <c r="B340">
        <v>45038651</v>
      </c>
      <c r="C340">
        <v>45038144</v>
      </c>
      <c r="D340">
        <v>22652952</v>
      </c>
      <c r="E340">
        <v>22652947</v>
      </c>
      <c r="F340">
        <v>1</v>
      </c>
      <c r="G340">
        <v>22652947</v>
      </c>
      <c r="H340">
        <v>1</v>
      </c>
      <c r="I340" t="s">
        <v>617</v>
      </c>
      <c r="J340" t="s">
        <v>3</v>
      </c>
      <c r="K340" t="s">
        <v>618</v>
      </c>
      <c r="L340">
        <v>1191</v>
      </c>
      <c r="N340">
        <v>1013</v>
      </c>
      <c r="O340" t="s">
        <v>619</v>
      </c>
      <c r="P340" t="s">
        <v>619</v>
      </c>
      <c r="Q340">
        <v>1</v>
      </c>
      <c r="X340">
        <v>35.9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1</v>
      </c>
      <c r="AE340">
        <v>1</v>
      </c>
      <c r="AF340" t="s">
        <v>37</v>
      </c>
      <c r="AG340">
        <v>41.284999999999997</v>
      </c>
      <c r="AH340">
        <v>2</v>
      </c>
      <c r="AI340">
        <v>45038145</v>
      </c>
      <c r="AJ340">
        <v>351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</row>
    <row r="341" spans="1:44" x14ac:dyDescent="0.2">
      <c r="A341">
        <f>ROW(Source!A346)</f>
        <v>346</v>
      </c>
      <c r="B341">
        <v>45038652</v>
      </c>
      <c r="C341">
        <v>45038144</v>
      </c>
      <c r="D341">
        <v>22725583</v>
      </c>
      <c r="E341">
        <v>1</v>
      </c>
      <c r="F341">
        <v>1</v>
      </c>
      <c r="G341">
        <v>22652947</v>
      </c>
      <c r="H341">
        <v>2</v>
      </c>
      <c r="I341" t="s">
        <v>669</v>
      </c>
      <c r="J341" t="s">
        <v>670</v>
      </c>
      <c r="K341" t="s">
        <v>671</v>
      </c>
      <c r="L341">
        <v>1367</v>
      </c>
      <c r="N341">
        <v>1011</v>
      </c>
      <c r="O341" t="s">
        <v>623</v>
      </c>
      <c r="P341" t="s">
        <v>623</v>
      </c>
      <c r="Q341">
        <v>1</v>
      </c>
      <c r="X341">
        <v>0.34</v>
      </c>
      <c r="Y341">
        <v>0</v>
      </c>
      <c r="Z341">
        <v>6.39</v>
      </c>
      <c r="AA341">
        <v>0.32</v>
      </c>
      <c r="AB341">
        <v>0</v>
      </c>
      <c r="AC341">
        <v>0</v>
      </c>
      <c r="AD341">
        <v>1</v>
      </c>
      <c r="AE341">
        <v>0</v>
      </c>
      <c r="AF341" t="s">
        <v>36</v>
      </c>
      <c r="AG341">
        <v>0.42500000000000004</v>
      </c>
      <c r="AH341">
        <v>2</v>
      </c>
      <c r="AI341">
        <v>45038146</v>
      </c>
      <c r="AJ341">
        <v>352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</row>
    <row r="342" spans="1:44" x14ac:dyDescent="0.2">
      <c r="A342">
        <f>ROW(Source!A346)</f>
        <v>346</v>
      </c>
      <c r="B342">
        <v>45038654</v>
      </c>
      <c r="C342">
        <v>45038144</v>
      </c>
      <c r="D342">
        <v>22725932</v>
      </c>
      <c r="E342">
        <v>1</v>
      </c>
      <c r="F342">
        <v>1</v>
      </c>
      <c r="G342">
        <v>22652947</v>
      </c>
      <c r="H342">
        <v>2</v>
      </c>
      <c r="I342" t="s">
        <v>672</v>
      </c>
      <c r="J342" t="s">
        <v>673</v>
      </c>
      <c r="K342" t="s">
        <v>674</v>
      </c>
      <c r="L342">
        <v>1367</v>
      </c>
      <c r="N342">
        <v>1011</v>
      </c>
      <c r="O342" t="s">
        <v>623</v>
      </c>
      <c r="P342" t="s">
        <v>623</v>
      </c>
      <c r="Q342">
        <v>1</v>
      </c>
      <c r="X342">
        <v>6.16</v>
      </c>
      <c r="Y342">
        <v>0</v>
      </c>
      <c r="Z342">
        <v>2.58</v>
      </c>
      <c r="AA342">
        <v>0.04</v>
      </c>
      <c r="AB342">
        <v>0</v>
      </c>
      <c r="AC342">
        <v>0</v>
      </c>
      <c r="AD342">
        <v>1</v>
      </c>
      <c r="AE342">
        <v>0</v>
      </c>
      <c r="AF342" t="s">
        <v>36</v>
      </c>
      <c r="AG342">
        <v>7.7</v>
      </c>
      <c r="AH342">
        <v>2</v>
      </c>
      <c r="AI342">
        <v>45038148</v>
      </c>
      <c r="AJ342">
        <v>353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</row>
    <row r="343" spans="1:44" x14ac:dyDescent="0.2">
      <c r="A343">
        <f>ROW(Source!A346)</f>
        <v>346</v>
      </c>
      <c r="B343">
        <v>45038653</v>
      </c>
      <c r="C343">
        <v>45038144</v>
      </c>
      <c r="D343">
        <v>22725104</v>
      </c>
      <c r="E343">
        <v>1</v>
      </c>
      <c r="F343">
        <v>1</v>
      </c>
      <c r="G343">
        <v>22652947</v>
      </c>
      <c r="H343">
        <v>2</v>
      </c>
      <c r="I343" t="s">
        <v>759</v>
      </c>
      <c r="J343" t="s">
        <v>760</v>
      </c>
      <c r="K343" t="s">
        <v>761</v>
      </c>
      <c r="L343">
        <v>1367</v>
      </c>
      <c r="N343">
        <v>1011</v>
      </c>
      <c r="O343" t="s">
        <v>623</v>
      </c>
      <c r="P343" t="s">
        <v>623</v>
      </c>
      <c r="Q343">
        <v>1</v>
      </c>
      <c r="X343">
        <v>4.13</v>
      </c>
      <c r="Y343">
        <v>0</v>
      </c>
      <c r="Z343">
        <v>102.11</v>
      </c>
      <c r="AA343">
        <v>30.03</v>
      </c>
      <c r="AB343">
        <v>0</v>
      </c>
      <c r="AC343">
        <v>0</v>
      </c>
      <c r="AD343">
        <v>1</v>
      </c>
      <c r="AE343">
        <v>0</v>
      </c>
      <c r="AF343" t="s">
        <v>36</v>
      </c>
      <c r="AG343">
        <v>5.1624999999999996</v>
      </c>
      <c r="AH343">
        <v>2</v>
      </c>
      <c r="AI343">
        <v>45038147</v>
      </c>
      <c r="AJ343">
        <v>354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</row>
    <row r="344" spans="1:44" x14ac:dyDescent="0.2">
      <c r="A344">
        <f>ROW(Source!A346)</f>
        <v>346</v>
      </c>
      <c r="B344">
        <v>45038655</v>
      </c>
      <c r="C344">
        <v>45038144</v>
      </c>
      <c r="D344">
        <v>22725226</v>
      </c>
      <c r="E344">
        <v>1</v>
      </c>
      <c r="F344">
        <v>1</v>
      </c>
      <c r="G344">
        <v>22652947</v>
      </c>
      <c r="H344">
        <v>2</v>
      </c>
      <c r="I344" t="s">
        <v>780</v>
      </c>
      <c r="J344" t="s">
        <v>781</v>
      </c>
      <c r="K344" t="s">
        <v>782</v>
      </c>
      <c r="L344">
        <v>1367</v>
      </c>
      <c r="N344">
        <v>1011</v>
      </c>
      <c r="O344" t="s">
        <v>623</v>
      </c>
      <c r="P344" t="s">
        <v>623</v>
      </c>
      <c r="Q344">
        <v>1</v>
      </c>
      <c r="X344">
        <v>3.17</v>
      </c>
      <c r="Y344">
        <v>0</v>
      </c>
      <c r="Z344">
        <v>0.8</v>
      </c>
      <c r="AA344">
        <v>0.09</v>
      </c>
      <c r="AB344">
        <v>0</v>
      </c>
      <c r="AC344">
        <v>0</v>
      </c>
      <c r="AD344">
        <v>1</v>
      </c>
      <c r="AE344">
        <v>0</v>
      </c>
      <c r="AF344" t="s">
        <v>36</v>
      </c>
      <c r="AG344">
        <v>3.9624999999999999</v>
      </c>
      <c r="AH344">
        <v>2</v>
      </c>
      <c r="AI344">
        <v>45038149</v>
      </c>
      <c r="AJ344">
        <v>355</v>
      </c>
      <c r="AK344">
        <v>0</v>
      </c>
      <c r="AL344">
        <v>0</v>
      </c>
      <c r="AM344">
        <v>0</v>
      </c>
      <c r="AN344">
        <v>0</v>
      </c>
      <c r="AO344">
        <v>0</v>
      </c>
      <c r="AP344">
        <v>0</v>
      </c>
      <c r="AQ344">
        <v>0</v>
      </c>
      <c r="AR344">
        <v>0</v>
      </c>
    </row>
    <row r="345" spans="1:44" x14ac:dyDescent="0.2">
      <c r="A345">
        <f>ROW(Source!A346)</f>
        <v>346</v>
      </c>
      <c r="B345">
        <v>45038656</v>
      </c>
      <c r="C345">
        <v>45038144</v>
      </c>
      <c r="D345">
        <v>22653672</v>
      </c>
      <c r="E345">
        <v>22652947</v>
      </c>
      <c r="F345">
        <v>1</v>
      </c>
      <c r="G345">
        <v>22652947</v>
      </c>
      <c r="H345">
        <v>2</v>
      </c>
      <c r="I345" t="s">
        <v>630</v>
      </c>
      <c r="J345" t="s">
        <v>3</v>
      </c>
      <c r="K345" t="s">
        <v>631</v>
      </c>
      <c r="L345">
        <v>1344</v>
      </c>
      <c r="N345">
        <v>1008</v>
      </c>
      <c r="O345" t="s">
        <v>632</v>
      </c>
      <c r="P345" t="s">
        <v>632</v>
      </c>
      <c r="Q345">
        <v>1</v>
      </c>
      <c r="X345">
        <v>37.450000000000003</v>
      </c>
      <c r="Y345">
        <v>0</v>
      </c>
      <c r="Z345">
        <v>1</v>
      </c>
      <c r="AA345">
        <v>0</v>
      </c>
      <c r="AB345">
        <v>0</v>
      </c>
      <c r="AC345">
        <v>0</v>
      </c>
      <c r="AD345">
        <v>1</v>
      </c>
      <c r="AE345">
        <v>0</v>
      </c>
      <c r="AF345" t="s">
        <v>36</v>
      </c>
      <c r="AG345">
        <v>46.8125</v>
      </c>
      <c r="AH345">
        <v>2</v>
      </c>
      <c r="AI345">
        <v>45038150</v>
      </c>
      <c r="AJ345">
        <v>356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</row>
    <row r="346" spans="1:44" x14ac:dyDescent="0.2">
      <c r="A346">
        <f>ROW(Source!A346)</f>
        <v>346</v>
      </c>
      <c r="B346">
        <v>45038657</v>
      </c>
      <c r="C346">
        <v>45038144</v>
      </c>
      <c r="D346">
        <v>22702279</v>
      </c>
      <c r="E346">
        <v>1</v>
      </c>
      <c r="F346">
        <v>1</v>
      </c>
      <c r="G346">
        <v>22652947</v>
      </c>
      <c r="H346">
        <v>3</v>
      </c>
      <c r="I346" t="s">
        <v>666</v>
      </c>
      <c r="J346" t="s">
        <v>667</v>
      </c>
      <c r="K346" t="s">
        <v>668</v>
      </c>
      <c r="L346">
        <v>1348</v>
      </c>
      <c r="N346">
        <v>1009</v>
      </c>
      <c r="O346" t="s">
        <v>29</v>
      </c>
      <c r="P346" t="s">
        <v>29</v>
      </c>
      <c r="Q346">
        <v>1000</v>
      </c>
      <c r="X346">
        <v>4.0000000000000001E-3</v>
      </c>
      <c r="Y346">
        <v>7191.81</v>
      </c>
      <c r="Z346">
        <v>0</v>
      </c>
      <c r="AA346">
        <v>0</v>
      </c>
      <c r="AB346">
        <v>0</v>
      </c>
      <c r="AC346">
        <v>0</v>
      </c>
      <c r="AD346">
        <v>1</v>
      </c>
      <c r="AE346">
        <v>0</v>
      </c>
      <c r="AF346" t="s">
        <v>3</v>
      </c>
      <c r="AG346">
        <v>4.0000000000000001E-3</v>
      </c>
      <c r="AH346">
        <v>2</v>
      </c>
      <c r="AI346">
        <v>45038151</v>
      </c>
      <c r="AJ346">
        <v>359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</row>
    <row r="347" spans="1:44" x14ac:dyDescent="0.2">
      <c r="A347">
        <f>ROW(Source!A346)</f>
        <v>346</v>
      </c>
      <c r="B347">
        <v>45038658</v>
      </c>
      <c r="C347">
        <v>45038144</v>
      </c>
      <c r="D347">
        <v>22722464</v>
      </c>
      <c r="E347">
        <v>1</v>
      </c>
      <c r="F347">
        <v>1</v>
      </c>
      <c r="G347">
        <v>22652947</v>
      </c>
      <c r="H347">
        <v>3</v>
      </c>
      <c r="I347" t="s">
        <v>783</v>
      </c>
      <c r="J347" t="s">
        <v>784</v>
      </c>
      <c r="K347" t="s">
        <v>785</v>
      </c>
      <c r="L347">
        <v>1348</v>
      </c>
      <c r="N347">
        <v>1009</v>
      </c>
      <c r="O347" t="s">
        <v>29</v>
      </c>
      <c r="P347" t="s">
        <v>29</v>
      </c>
      <c r="Q347">
        <v>1000</v>
      </c>
      <c r="X347">
        <v>1E-3</v>
      </c>
      <c r="Y347">
        <v>12654.07</v>
      </c>
      <c r="Z347">
        <v>0</v>
      </c>
      <c r="AA347">
        <v>0</v>
      </c>
      <c r="AB347">
        <v>0</v>
      </c>
      <c r="AC347">
        <v>0</v>
      </c>
      <c r="AD347">
        <v>1</v>
      </c>
      <c r="AE347">
        <v>0</v>
      </c>
      <c r="AF347" t="s">
        <v>3</v>
      </c>
      <c r="AG347">
        <v>1E-3</v>
      </c>
      <c r="AH347">
        <v>2</v>
      </c>
      <c r="AI347">
        <v>45038152</v>
      </c>
      <c r="AJ347">
        <v>363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</row>
    <row r="348" spans="1:44" x14ac:dyDescent="0.2">
      <c r="A348">
        <f>ROW(Source!A346)</f>
        <v>346</v>
      </c>
      <c r="B348">
        <v>45038659</v>
      </c>
      <c r="C348">
        <v>45038144</v>
      </c>
      <c r="D348">
        <v>22668568</v>
      </c>
      <c r="E348">
        <v>22652947</v>
      </c>
      <c r="F348">
        <v>1</v>
      </c>
      <c r="G348">
        <v>22652947</v>
      </c>
      <c r="H348">
        <v>3</v>
      </c>
      <c r="I348" t="s">
        <v>850</v>
      </c>
      <c r="J348" t="s">
        <v>3</v>
      </c>
      <c r="K348" t="s">
        <v>851</v>
      </c>
      <c r="L348">
        <v>1348</v>
      </c>
      <c r="N348">
        <v>1009</v>
      </c>
      <c r="O348" t="s">
        <v>29</v>
      </c>
      <c r="P348" t="s">
        <v>29</v>
      </c>
      <c r="Q348">
        <v>1000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 t="s">
        <v>3</v>
      </c>
      <c r="AG348">
        <v>0</v>
      </c>
      <c r="AH348">
        <v>3</v>
      </c>
      <c r="AI348">
        <v>-1</v>
      </c>
      <c r="AJ348" t="s">
        <v>3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</row>
    <row r="349" spans="1:44" x14ac:dyDescent="0.2">
      <c r="A349">
        <f>ROW(Source!A346)</f>
        <v>346</v>
      </c>
      <c r="B349">
        <v>45038660</v>
      </c>
      <c r="C349">
        <v>45038144</v>
      </c>
      <c r="D349">
        <v>22675621</v>
      </c>
      <c r="E349">
        <v>22652947</v>
      </c>
      <c r="F349">
        <v>1</v>
      </c>
      <c r="G349">
        <v>22652947</v>
      </c>
      <c r="H349">
        <v>3</v>
      </c>
      <c r="I349" t="s">
        <v>810</v>
      </c>
      <c r="J349" t="s">
        <v>3</v>
      </c>
      <c r="K349" t="s">
        <v>852</v>
      </c>
      <c r="L349">
        <v>1348</v>
      </c>
      <c r="N349">
        <v>1009</v>
      </c>
      <c r="O349" t="s">
        <v>29</v>
      </c>
      <c r="P349" t="s">
        <v>29</v>
      </c>
      <c r="Q349">
        <v>1000</v>
      </c>
      <c r="X349">
        <v>1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 t="s">
        <v>3</v>
      </c>
      <c r="AG349">
        <v>1</v>
      </c>
      <c r="AH349">
        <v>3</v>
      </c>
      <c r="AI349">
        <v>-1</v>
      </c>
      <c r="AJ349" t="s">
        <v>3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</row>
    <row r="350" spans="1:44" x14ac:dyDescent="0.2">
      <c r="A350">
        <f>ROW(Source!A346)</f>
        <v>346</v>
      </c>
      <c r="B350">
        <v>45038661</v>
      </c>
      <c r="C350">
        <v>45038144</v>
      </c>
      <c r="D350">
        <v>22674651</v>
      </c>
      <c r="E350">
        <v>22652947</v>
      </c>
      <c r="F350">
        <v>1</v>
      </c>
      <c r="G350">
        <v>22652947</v>
      </c>
      <c r="H350">
        <v>3</v>
      </c>
      <c r="I350" t="s">
        <v>675</v>
      </c>
      <c r="J350" t="s">
        <v>3</v>
      </c>
      <c r="K350" t="s">
        <v>676</v>
      </c>
      <c r="L350">
        <v>1344</v>
      </c>
      <c r="N350">
        <v>1008</v>
      </c>
      <c r="O350" t="s">
        <v>632</v>
      </c>
      <c r="P350" t="s">
        <v>632</v>
      </c>
      <c r="Q350">
        <v>1</v>
      </c>
      <c r="X350">
        <v>39.479999999999997</v>
      </c>
      <c r="Y350">
        <v>1</v>
      </c>
      <c r="Z350">
        <v>0</v>
      </c>
      <c r="AA350">
        <v>0</v>
      </c>
      <c r="AB350">
        <v>0</v>
      </c>
      <c r="AC350">
        <v>0</v>
      </c>
      <c r="AD350">
        <v>1</v>
      </c>
      <c r="AE350">
        <v>0</v>
      </c>
      <c r="AF350" t="s">
        <v>3</v>
      </c>
      <c r="AG350">
        <v>39.479999999999997</v>
      </c>
      <c r="AH350">
        <v>2</v>
      </c>
      <c r="AI350">
        <v>45038153</v>
      </c>
      <c r="AJ350">
        <v>364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</row>
    <row r="351" spans="1:44" x14ac:dyDescent="0.2">
      <c r="A351">
        <f>ROW(Source!A391)</f>
        <v>391</v>
      </c>
      <c r="B351">
        <v>45038662</v>
      </c>
      <c r="C351">
        <v>45038229</v>
      </c>
      <c r="D351">
        <v>22652952</v>
      </c>
      <c r="E351">
        <v>22652947</v>
      </c>
      <c r="F351">
        <v>1</v>
      </c>
      <c r="G351">
        <v>22652947</v>
      </c>
      <c r="H351">
        <v>1</v>
      </c>
      <c r="I351" t="s">
        <v>617</v>
      </c>
      <c r="J351" t="s">
        <v>3</v>
      </c>
      <c r="K351" t="s">
        <v>618</v>
      </c>
      <c r="L351">
        <v>1191</v>
      </c>
      <c r="N351">
        <v>1013</v>
      </c>
      <c r="O351" t="s">
        <v>619</v>
      </c>
      <c r="P351" t="s">
        <v>619</v>
      </c>
      <c r="Q351">
        <v>1</v>
      </c>
      <c r="X351">
        <v>1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1</v>
      </c>
      <c r="AE351">
        <v>1</v>
      </c>
      <c r="AF351" t="s">
        <v>37</v>
      </c>
      <c r="AG351">
        <v>1.1499999999999999</v>
      </c>
      <c r="AH351">
        <v>2</v>
      </c>
      <c r="AI351">
        <v>45038230</v>
      </c>
      <c r="AJ351">
        <v>365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</row>
    <row r="352" spans="1:44" x14ac:dyDescent="0.2">
      <c r="A352">
        <f>ROW(Source!A391)</f>
        <v>391</v>
      </c>
      <c r="B352">
        <v>45038663</v>
      </c>
      <c r="C352">
        <v>45038229</v>
      </c>
      <c r="D352">
        <v>22674638</v>
      </c>
      <c r="E352">
        <v>22652947</v>
      </c>
      <c r="F352">
        <v>1</v>
      </c>
      <c r="G352">
        <v>22652947</v>
      </c>
      <c r="H352">
        <v>3</v>
      </c>
      <c r="I352" t="s">
        <v>786</v>
      </c>
      <c r="J352" t="s">
        <v>3</v>
      </c>
      <c r="K352" t="s">
        <v>787</v>
      </c>
      <c r="L352">
        <v>1348</v>
      </c>
      <c r="N352">
        <v>1009</v>
      </c>
      <c r="O352" t="s">
        <v>29</v>
      </c>
      <c r="P352" t="s">
        <v>29</v>
      </c>
      <c r="Q352">
        <v>1000</v>
      </c>
      <c r="X352">
        <v>1E-3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1</v>
      </c>
      <c r="AE352">
        <v>0</v>
      </c>
      <c r="AF352" t="s">
        <v>3</v>
      </c>
      <c r="AG352">
        <v>1E-3</v>
      </c>
      <c r="AH352">
        <v>2</v>
      </c>
      <c r="AI352">
        <v>45038231</v>
      </c>
      <c r="AJ352">
        <v>366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</row>
    <row r="353" spans="1:44" x14ac:dyDescent="0.2">
      <c r="A353">
        <f>ROW(Source!A392)</f>
        <v>392</v>
      </c>
      <c r="B353">
        <v>45038662</v>
      </c>
      <c r="C353">
        <v>45038229</v>
      </c>
      <c r="D353">
        <v>22652952</v>
      </c>
      <c r="E353">
        <v>22652947</v>
      </c>
      <c r="F353">
        <v>1</v>
      </c>
      <c r="G353">
        <v>22652947</v>
      </c>
      <c r="H353">
        <v>1</v>
      </c>
      <c r="I353" t="s">
        <v>617</v>
      </c>
      <c r="J353" t="s">
        <v>3</v>
      </c>
      <c r="K353" t="s">
        <v>618</v>
      </c>
      <c r="L353">
        <v>1191</v>
      </c>
      <c r="N353">
        <v>1013</v>
      </c>
      <c r="O353" t="s">
        <v>619</v>
      </c>
      <c r="P353" t="s">
        <v>619</v>
      </c>
      <c r="Q353">
        <v>1</v>
      </c>
      <c r="X353">
        <v>1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1</v>
      </c>
      <c r="AE353">
        <v>1</v>
      </c>
      <c r="AF353" t="s">
        <v>37</v>
      </c>
      <c r="AG353">
        <v>1.1499999999999999</v>
      </c>
      <c r="AH353">
        <v>2</v>
      </c>
      <c r="AI353">
        <v>45038230</v>
      </c>
      <c r="AJ353">
        <v>367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</row>
    <row r="354" spans="1:44" x14ac:dyDescent="0.2">
      <c r="A354">
        <f>ROW(Source!A392)</f>
        <v>392</v>
      </c>
      <c r="B354">
        <v>45038663</v>
      </c>
      <c r="C354">
        <v>45038229</v>
      </c>
      <c r="D354">
        <v>22674638</v>
      </c>
      <c r="E354">
        <v>22652947</v>
      </c>
      <c r="F354">
        <v>1</v>
      </c>
      <c r="G354">
        <v>22652947</v>
      </c>
      <c r="H354">
        <v>3</v>
      </c>
      <c r="I354" t="s">
        <v>786</v>
      </c>
      <c r="J354" t="s">
        <v>3</v>
      </c>
      <c r="K354" t="s">
        <v>787</v>
      </c>
      <c r="L354">
        <v>1348</v>
      </c>
      <c r="N354">
        <v>1009</v>
      </c>
      <c r="O354" t="s">
        <v>29</v>
      </c>
      <c r="P354" t="s">
        <v>29</v>
      </c>
      <c r="Q354">
        <v>1000</v>
      </c>
      <c r="X354">
        <v>1E-3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1</v>
      </c>
      <c r="AE354">
        <v>0</v>
      </c>
      <c r="AF354" t="s">
        <v>3</v>
      </c>
      <c r="AG354">
        <v>1E-3</v>
      </c>
      <c r="AH354">
        <v>2</v>
      </c>
      <c r="AI354">
        <v>45038231</v>
      </c>
      <c r="AJ354">
        <v>368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</row>
    <row r="355" spans="1:44" x14ac:dyDescent="0.2">
      <c r="A355">
        <f>ROW(Source!A393)</f>
        <v>393</v>
      </c>
      <c r="B355">
        <v>45038664</v>
      </c>
      <c r="C355">
        <v>45038234</v>
      </c>
      <c r="D355">
        <v>22652952</v>
      </c>
      <c r="E355">
        <v>22652947</v>
      </c>
      <c r="F355">
        <v>1</v>
      </c>
      <c r="G355">
        <v>22652947</v>
      </c>
      <c r="H355">
        <v>1</v>
      </c>
      <c r="I355" t="s">
        <v>617</v>
      </c>
      <c r="J355" t="s">
        <v>3</v>
      </c>
      <c r="K355" t="s">
        <v>618</v>
      </c>
      <c r="L355">
        <v>1191</v>
      </c>
      <c r="N355">
        <v>1013</v>
      </c>
      <c r="O355" t="s">
        <v>619</v>
      </c>
      <c r="P355" t="s">
        <v>619</v>
      </c>
      <c r="Q355">
        <v>1</v>
      </c>
      <c r="X355">
        <v>2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1</v>
      </c>
      <c r="AE355">
        <v>1</v>
      </c>
      <c r="AF355" t="s">
        <v>37</v>
      </c>
      <c r="AG355">
        <v>2.2999999999999998</v>
      </c>
      <c r="AH355">
        <v>2</v>
      </c>
      <c r="AI355">
        <v>45038235</v>
      </c>
      <c r="AJ355">
        <v>369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</row>
    <row r="356" spans="1:44" x14ac:dyDescent="0.2">
      <c r="A356">
        <f>ROW(Source!A394)</f>
        <v>394</v>
      </c>
      <c r="B356">
        <v>45038664</v>
      </c>
      <c r="C356">
        <v>45038234</v>
      </c>
      <c r="D356">
        <v>22652952</v>
      </c>
      <c r="E356">
        <v>22652947</v>
      </c>
      <c r="F356">
        <v>1</v>
      </c>
      <c r="G356">
        <v>22652947</v>
      </c>
      <c r="H356">
        <v>1</v>
      </c>
      <c r="I356" t="s">
        <v>617</v>
      </c>
      <c r="J356" t="s">
        <v>3</v>
      </c>
      <c r="K356" t="s">
        <v>618</v>
      </c>
      <c r="L356">
        <v>1191</v>
      </c>
      <c r="N356">
        <v>1013</v>
      </c>
      <c r="O356" t="s">
        <v>619</v>
      </c>
      <c r="P356" t="s">
        <v>619</v>
      </c>
      <c r="Q356">
        <v>1</v>
      </c>
      <c r="X356">
        <v>2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1</v>
      </c>
      <c r="AE356">
        <v>1</v>
      </c>
      <c r="AF356" t="s">
        <v>37</v>
      </c>
      <c r="AG356">
        <v>2.2999999999999998</v>
      </c>
      <c r="AH356">
        <v>2</v>
      </c>
      <c r="AI356">
        <v>45038235</v>
      </c>
      <c r="AJ356">
        <v>370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</row>
    <row r="357" spans="1:44" x14ac:dyDescent="0.2">
      <c r="A357">
        <f>ROW(Source!A395)</f>
        <v>395</v>
      </c>
      <c r="B357">
        <v>45038665</v>
      </c>
      <c r="C357">
        <v>45038237</v>
      </c>
      <c r="D357">
        <v>22652952</v>
      </c>
      <c r="E357">
        <v>22652947</v>
      </c>
      <c r="F357">
        <v>1</v>
      </c>
      <c r="G357">
        <v>22652947</v>
      </c>
      <c r="H357">
        <v>1</v>
      </c>
      <c r="I357" t="s">
        <v>617</v>
      </c>
      <c r="J357" t="s">
        <v>3</v>
      </c>
      <c r="K357" t="s">
        <v>618</v>
      </c>
      <c r="L357">
        <v>1191</v>
      </c>
      <c r="N357">
        <v>1013</v>
      </c>
      <c r="O357" t="s">
        <v>619</v>
      </c>
      <c r="P357" t="s">
        <v>619</v>
      </c>
      <c r="Q357">
        <v>1</v>
      </c>
      <c r="X357">
        <v>84.67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1</v>
      </c>
      <c r="AE357">
        <v>1</v>
      </c>
      <c r="AF357" t="s">
        <v>37</v>
      </c>
      <c r="AG357">
        <v>97.370499999999993</v>
      </c>
      <c r="AH357">
        <v>2</v>
      </c>
      <c r="AI357">
        <v>45038238</v>
      </c>
      <c r="AJ357">
        <v>371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</row>
    <row r="358" spans="1:44" x14ac:dyDescent="0.2">
      <c r="A358">
        <f>ROW(Source!A396)</f>
        <v>396</v>
      </c>
      <c r="B358">
        <v>45038665</v>
      </c>
      <c r="C358">
        <v>45038237</v>
      </c>
      <c r="D358">
        <v>22652952</v>
      </c>
      <c r="E358">
        <v>22652947</v>
      </c>
      <c r="F358">
        <v>1</v>
      </c>
      <c r="G358">
        <v>22652947</v>
      </c>
      <c r="H358">
        <v>1</v>
      </c>
      <c r="I358" t="s">
        <v>617</v>
      </c>
      <c r="J358" t="s">
        <v>3</v>
      </c>
      <c r="K358" t="s">
        <v>618</v>
      </c>
      <c r="L358">
        <v>1191</v>
      </c>
      <c r="N358">
        <v>1013</v>
      </c>
      <c r="O358" t="s">
        <v>619</v>
      </c>
      <c r="P358" t="s">
        <v>619</v>
      </c>
      <c r="Q358">
        <v>1</v>
      </c>
      <c r="X358">
        <v>84.67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1</v>
      </c>
      <c r="AE358">
        <v>1</v>
      </c>
      <c r="AF358" t="s">
        <v>37</v>
      </c>
      <c r="AG358">
        <v>97.370499999999993</v>
      </c>
      <c r="AH358">
        <v>2</v>
      </c>
      <c r="AI358">
        <v>45038238</v>
      </c>
      <c r="AJ358">
        <v>372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</row>
    <row r="359" spans="1:44" x14ac:dyDescent="0.2">
      <c r="A359">
        <f>ROW(Source!A397)</f>
        <v>397</v>
      </c>
      <c r="B359">
        <v>45038666</v>
      </c>
      <c r="C359">
        <v>45038240</v>
      </c>
      <c r="D359">
        <v>22652952</v>
      </c>
      <c r="E359">
        <v>22652947</v>
      </c>
      <c r="F359">
        <v>1</v>
      </c>
      <c r="G359">
        <v>22652947</v>
      </c>
      <c r="H359">
        <v>1</v>
      </c>
      <c r="I359" t="s">
        <v>617</v>
      </c>
      <c r="J359" t="s">
        <v>3</v>
      </c>
      <c r="K359" t="s">
        <v>618</v>
      </c>
      <c r="L359">
        <v>1191</v>
      </c>
      <c r="N359">
        <v>1013</v>
      </c>
      <c r="O359" t="s">
        <v>619</v>
      </c>
      <c r="P359" t="s">
        <v>619</v>
      </c>
      <c r="Q359">
        <v>1</v>
      </c>
      <c r="X359">
        <v>0.52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1</v>
      </c>
      <c r="AE359">
        <v>1</v>
      </c>
      <c r="AF359" t="s">
        <v>37</v>
      </c>
      <c r="AG359">
        <v>0.59799999999999998</v>
      </c>
      <c r="AH359">
        <v>2</v>
      </c>
      <c r="AI359">
        <v>45038241</v>
      </c>
      <c r="AJ359">
        <v>373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</row>
    <row r="360" spans="1:44" x14ac:dyDescent="0.2">
      <c r="A360">
        <f>ROW(Source!A398)</f>
        <v>398</v>
      </c>
      <c r="B360">
        <v>45038666</v>
      </c>
      <c r="C360">
        <v>45038240</v>
      </c>
      <c r="D360">
        <v>22652952</v>
      </c>
      <c r="E360">
        <v>22652947</v>
      </c>
      <c r="F360">
        <v>1</v>
      </c>
      <c r="G360">
        <v>22652947</v>
      </c>
      <c r="H360">
        <v>1</v>
      </c>
      <c r="I360" t="s">
        <v>617</v>
      </c>
      <c r="J360" t="s">
        <v>3</v>
      </c>
      <c r="K360" t="s">
        <v>618</v>
      </c>
      <c r="L360">
        <v>1191</v>
      </c>
      <c r="N360">
        <v>1013</v>
      </c>
      <c r="O360" t="s">
        <v>619</v>
      </c>
      <c r="P360" t="s">
        <v>619</v>
      </c>
      <c r="Q360">
        <v>1</v>
      </c>
      <c r="X360">
        <v>0.52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1</v>
      </c>
      <c r="AE360">
        <v>1</v>
      </c>
      <c r="AF360" t="s">
        <v>37</v>
      </c>
      <c r="AG360">
        <v>0.59799999999999998</v>
      </c>
      <c r="AH360">
        <v>2</v>
      </c>
      <c r="AI360">
        <v>45038241</v>
      </c>
      <c r="AJ360">
        <v>374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</row>
    <row r="361" spans="1:44" x14ac:dyDescent="0.2">
      <c r="A361">
        <f>ROW(Source!A399)</f>
        <v>399</v>
      </c>
      <c r="B361">
        <v>45038667</v>
      </c>
      <c r="C361">
        <v>45038243</v>
      </c>
      <c r="D361">
        <v>22652952</v>
      </c>
      <c r="E361">
        <v>22652947</v>
      </c>
      <c r="F361">
        <v>1</v>
      </c>
      <c r="G361">
        <v>22652947</v>
      </c>
      <c r="H361">
        <v>1</v>
      </c>
      <c r="I361" t="s">
        <v>617</v>
      </c>
      <c r="J361" t="s">
        <v>3</v>
      </c>
      <c r="K361" t="s">
        <v>618</v>
      </c>
      <c r="L361">
        <v>1191</v>
      </c>
      <c r="N361">
        <v>1013</v>
      </c>
      <c r="O361" t="s">
        <v>619</v>
      </c>
      <c r="P361" t="s">
        <v>619</v>
      </c>
      <c r="Q361">
        <v>1</v>
      </c>
      <c r="X361">
        <v>8.1999999999999993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1</v>
      </c>
      <c r="AE361">
        <v>1</v>
      </c>
      <c r="AF361" t="s">
        <v>37</v>
      </c>
      <c r="AG361">
        <v>9.4299999999999979</v>
      </c>
      <c r="AH361">
        <v>2</v>
      </c>
      <c r="AI361">
        <v>45038244</v>
      </c>
      <c r="AJ361">
        <v>375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</row>
    <row r="362" spans="1:44" x14ac:dyDescent="0.2">
      <c r="A362">
        <f>ROW(Source!A400)</f>
        <v>400</v>
      </c>
      <c r="B362">
        <v>45038667</v>
      </c>
      <c r="C362">
        <v>45038243</v>
      </c>
      <c r="D362">
        <v>22652952</v>
      </c>
      <c r="E362">
        <v>22652947</v>
      </c>
      <c r="F362">
        <v>1</v>
      </c>
      <c r="G362">
        <v>22652947</v>
      </c>
      <c r="H362">
        <v>1</v>
      </c>
      <c r="I362" t="s">
        <v>617</v>
      </c>
      <c r="J362" t="s">
        <v>3</v>
      </c>
      <c r="K362" t="s">
        <v>618</v>
      </c>
      <c r="L362">
        <v>1191</v>
      </c>
      <c r="N362">
        <v>1013</v>
      </c>
      <c r="O362" t="s">
        <v>619</v>
      </c>
      <c r="P362" t="s">
        <v>619</v>
      </c>
      <c r="Q362">
        <v>1</v>
      </c>
      <c r="X362">
        <v>8.1999999999999993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1</v>
      </c>
      <c r="AE362">
        <v>1</v>
      </c>
      <c r="AF362" t="s">
        <v>37</v>
      </c>
      <c r="AG362">
        <v>9.4299999999999979</v>
      </c>
      <c r="AH362">
        <v>2</v>
      </c>
      <c r="AI362">
        <v>45038244</v>
      </c>
      <c r="AJ362">
        <v>377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</row>
    <row r="363" spans="1:44" x14ac:dyDescent="0.2">
      <c r="A363">
        <f>ROW(Source!A403)</f>
        <v>403</v>
      </c>
      <c r="B363">
        <v>45038668</v>
      </c>
      <c r="C363">
        <v>45038248</v>
      </c>
      <c r="D363">
        <v>22652952</v>
      </c>
      <c r="E363">
        <v>22652947</v>
      </c>
      <c r="F363">
        <v>1</v>
      </c>
      <c r="G363">
        <v>22652947</v>
      </c>
      <c r="H363">
        <v>1</v>
      </c>
      <c r="I363" t="s">
        <v>617</v>
      </c>
      <c r="J363" t="s">
        <v>3</v>
      </c>
      <c r="K363" t="s">
        <v>618</v>
      </c>
      <c r="L363">
        <v>1191</v>
      </c>
      <c r="N363">
        <v>1013</v>
      </c>
      <c r="O363" t="s">
        <v>619</v>
      </c>
      <c r="P363" t="s">
        <v>619</v>
      </c>
      <c r="Q363">
        <v>1</v>
      </c>
      <c r="X363">
        <v>14.37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1</v>
      </c>
      <c r="AE363">
        <v>1</v>
      </c>
      <c r="AF363" t="s">
        <v>37</v>
      </c>
      <c r="AG363">
        <v>16.525499999999997</v>
      </c>
      <c r="AH363">
        <v>2</v>
      </c>
      <c r="AI363">
        <v>45038249</v>
      </c>
      <c r="AJ363">
        <v>379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</row>
    <row r="364" spans="1:44" x14ac:dyDescent="0.2">
      <c r="A364">
        <f>ROW(Source!A403)</f>
        <v>403</v>
      </c>
      <c r="B364">
        <v>45038669</v>
      </c>
      <c r="C364">
        <v>45038248</v>
      </c>
      <c r="D364">
        <v>22666678</v>
      </c>
      <c r="E364">
        <v>22652947</v>
      </c>
      <c r="F364">
        <v>1</v>
      </c>
      <c r="G364">
        <v>22652947</v>
      </c>
      <c r="H364">
        <v>3</v>
      </c>
      <c r="I364" t="s">
        <v>853</v>
      </c>
      <c r="J364" t="s">
        <v>3</v>
      </c>
      <c r="K364" t="s">
        <v>854</v>
      </c>
      <c r="L364">
        <v>1301</v>
      </c>
      <c r="N364">
        <v>1003</v>
      </c>
      <c r="O364" t="s">
        <v>364</v>
      </c>
      <c r="P364" t="s">
        <v>364</v>
      </c>
      <c r="Q364">
        <v>1</v>
      </c>
      <c r="X364">
        <v>102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 t="s">
        <v>3</v>
      </c>
      <c r="AG364">
        <v>102</v>
      </c>
      <c r="AH364">
        <v>3</v>
      </c>
      <c r="AI364">
        <v>-1</v>
      </c>
      <c r="AJ364" t="s">
        <v>3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</row>
    <row r="365" spans="1:44" x14ac:dyDescent="0.2">
      <c r="A365">
        <f>ROW(Source!A403)</f>
        <v>403</v>
      </c>
      <c r="B365">
        <v>45038670</v>
      </c>
      <c r="C365">
        <v>45038248</v>
      </c>
      <c r="D365">
        <v>22666679</v>
      </c>
      <c r="E365">
        <v>22652947</v>
      </c>
      <c r="F365">
        <v>1</v>
      </c>
      <c r="G365">
        <v>22652947</v>
      </c>
      <c r="H365">
        <v>3</v>
      </c>
      <c r="I365" t="s">
        <v>855</v>
      </c>
      <c r="J365" t="s">
        <v>3</v>
      </c>
      <c r="K365" t="s">
        <v>856</v>
      </c>
      <c r="L365">
        <v>1354</v>
      </c>
      <c r="N365">
        <v>1010</v>
      </c>
      <c r="O365" t="s">
        <v>304</v>
      </c>
      <c r="P365" t="s">
        <v>304</v>
      </c>
      <c r="Q365">
        <v>1</v>
      </c>
      <c r="X365">
        <v>0</v>
      </c>
      <c r="Y365">
        <v>0</v>
      </c>
      <c r="Z365">
        <v>0</v>
      </c>
      <c r="AA365">
        <v>0</v>
      </c>
      <c r="AB365">
        <v>0</v>
      </c>
      <c r="AC365">
        <v>0</v>
      </c>
      <c r="AD365">
        <v>0</v>
      </c>
      <c r="AE365">
        <v>0</v>
      </c>
      <c r="AF365" t="s">
        <v>3</v>
      </c>
      <c r="AG365">
        <v>0</v>
      </c>
      <c r="AH365">
        <v>3</v>
      </c>
      <c r="AI365">
        <v>-1</v>
      </c>
      <c r="AJ365" t="s">
        <v>3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0</v>
      </c>
      <c r="AQ365">
        <v>0</v>
      </c>
      <c r="AR365">
        <v>0</v>
      </c>
    </row>
    <row r="366" spans="1:44" x14ac:dyDescent="0.2">
      <c r="A366">
        <f>ROW(Source!A403)</f>
        <v>403</v>
      </c>
      <c r="B366">
        <v>45038671</v>
      </c>
      <c r="C366">
        <v>45038248</v>
      </c>
      <c r="D366">
        <v>22666568</v>
      </c>
      <c r="E366">
        <v>22652947</v>
      </c>
      <c r="F366">
        <v>1</v>
      </c>
      <c r="G366">
        <v>22652947</v>
      </c>
      <c r="H366">
        <v>3</v>
      </c>
      <c r="I366" t="s">
        <v>857</v>
      </c>
      <c r="J366" t="s">
        <v>3</v>
      </c>
      <c r="K366" t="s">
        <v>858</v>
      </c>
      <c r="L366">
        <v>1354</v>
      </c>
      <c r="N366">
        <v>1010</v>
      </c>
      <c r="O366" t="s">
        <v>304</v>
      </c>
      <c r="P366" t="s">
        <v>304</v>
      </c>
      <c r="Q366">
        <v>1</v>
      </c>
      <c r="X366">
        <v>111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 t="s">
        <v>3</v>
      </c>
      <c r="AG366">
        <v>111</v>
      </c>
      <c r="AH366">
        <v>3</v>
      </c>
      <c r="AI366">
        <v>-1</v>
      </c>
      <c r="AJ366" t="s">
        <v>3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</row>
    <row r="367" spans="1:44" x14ac:dyDescent="0.2">
      <c r="A367">
        <f>ROW(Source!A404)</f>
        <v>404</v>
      </c>
      <c r="B367">
        <v>45038668</v>
      </c>
      <c r="C367">
        <v>45038248</v>
      </c>
      <c r="D367">
        <v>22652952</v>
      </c>
      <c r="E367">
        <v>22652947</v>
      </c>
      <c r="F367">
        <v>1</v>
      </c>
      <c r="G367">
        <v>22652947</v>
      </c>
      <c r="H367">
        <v>1</v>
      </c>
      <c r="I367" t="s">
        <v>617</v>
      </c>
      <c r="J367" t="s">
        <v>3</v>
      </c>
      <c r="K367" t="s">
        <v>618</v>
      </c>
      <c r="L367">
        <v>1191</v>
      </c>
      <c r="N367">
        <v>1013</v>
      </c>
      <c r="O367" t="s">
        <v>619</v>
      </c>
      <c r="P367" t="s">
        <v>619</v>
      </c>
      <c r="Q367">
        <v>1</v>
      </c>
      <c r="X367">
        <v>14.37</v>
      </c>
      <c r="Y367">
        <v>0</v>
      </c>
      <c r="Z367">
        <v>0</v>
      </c>
      <c r="AA367">
        <v>0</v>
      </c>
      <c r="AB367">
        <v>0</v>
      </c>
      <c r="AC367">
        <v>0</v>
      </c>
      <c r="AD367">
        <v>1</v>
      </c>
      <c r="AE367">
        <v>1</v>
      </c>
      <c r="AF367" t="s">
        <v>37</v>
      </c>
      <c r="AG367">
        <v>16.525499999999997</v>
      </c>
      <c r="AH367">
        <v>2</v>
      </c>
      <c r="AI367">
        <v>45038249</v>
      </c>
      <c r="AJ367">
        <v>382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0</v>
      </c>
    </row>
    <row r="368" spans="1:44" x14ac:dyDescent="0.2">
      <c r="A368">
        <f>ROW(Source!A404)</f>
        <v>404</v>
      </c>
      <c r="B368">
        <v>45038669</v>
      </c>
      <c r="C368">
        <v>45038248</v>
      </c>
      <c r="D368">
        <v>22666678</v>
      </c>
      <c r="E368">
        <v>22652947</v>
      </c>
      <c r="F368">
        <v>1</v>
      </c>
      <c r="G368">
        <v>22652947</v>
      </c>
      <c r="H368">
        <v>3</v>
      </c>
      <c r="I368" t="s">
        <v>853</v>
      </c>
      <c r="J368" t="s">
        <v>3</v>
      </c>
      <c r="K368" t="s">
        <v>854</v>
      </c>
      <c r="L368">
        <v>1301</v>
      </c>
      <c r="N368">
        <v>1003</v>
      </c>
      <c r="O368" t="s">
        <v>364</v>
      </c>
      <c r="P368" t="s">
        <v>364</v>
      </c>
      <c r="Q368">
        <v>1</v>
      </c>
      <c r="X368">
        <v>102</v>
      </c>
      <c r="Y368">
        <v>0</v>
      </c>
      <c r="Z368">
        <v>0</v>
      </c>
      <c r="AA368">
        <v>0</v>
      </c>
      <c r="AB368">
        <v>0</v>
      </c>
      <c r="AC368">
        <v>0</v>
      </c>
      <c r="AD368">
        <v>0</v>
      </c>
      <c r="AE368">
        <v>0</v>
      </c>
      <c r="AF368" t="s">
        <v>3</v>
      </c>
      <c r="AG368">
        <v>102</v>
      </c>
      <c r="AH368">
        <v>3</v>
      </c>
      <c r="AI368">
        <v>-1</v>
      </c>
      <c r="AJ368" t="s">
        <v>3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0</v>
      </c>
    </row>
    <row r="369" spans="1:44" x14ac:dyDescent="0.2">
      <c r="A369">
        <f>ROW(Source!A404)</f>
        <v>404</v>
      </c>
      <c r="B369">
        <v>45038670</v>
      </c>
      <c r="C369">
        <v>45038248</v>
      </c>
      <c r="D369">
        <v>22666679</v>
      </c>
      <c r="E369">
        <v>22652947</v>
      </c>
      <c r="F369">
        <v>1</v>
      </c>
      <c r="G369">
        <v>22652947</v>
      </c>
      <c r="H369">
        <v>3</v>
      </c>
      <c r="I369" t="s">
        <v>855</v>
      </c>
      <c r="J369" t="s">
        <v>3</v>
      </c>
      <c r="K369" t="s">
        <v>856</v>
      </c>
      <c r="L369">
        <v>1354</v>
      </c>
      <c r="N369">
        <v>1010</v>
      </c>
      <c r="O369" t="s">
        <v>304</v>
      </c>
      <c r="P369" t="s">
        <v>304</v>
      </c>
      <c r="Q369">
        <v>1</v>
      </c>
      <c r="X369">
        <v>0</v>
      </c>
      <c r="Y369">
        <v>0</v>
      </c>
      <c r="Z369">
        <v>0</v>
      </c>
      <c r="AA369">
        <v>0</v>
      </c>
      <c r="AB369">
        <v>0</v>
      </c>
      <c r="AC369">
        <v>0</v>
      </c>
      <c r="AD369">
        <v>0</v>
      </c>
      <c r="AE369">
        <v>0</v>
      </c>
      <c r="AF369" t="s">
        <v>3</v>
      </c>
      <c r="AG369">
        <v>0</v>
      </c>
      <c r="AH369">
        <v>3</v>
      </c>
      <c r="AI369">
        <v>-1</v>
      </c>
      <c r="AJ369" t="s">
        <v>3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0</v>
      </c>
    </row>
    <row r="370" spans="1:44" x14ac:dyDescent="0.2">
      <c r="A370">
        <f>ROW(Source!A404)</f>
        <v>404</v>
      </c>
      <c r="B370">
        <v>45038671</v>
      </c>
      <c r="C370">
        <v>45038248</v>
      </c>
      <c r="D370">
        <v>22666568</v>
      </c>
      <c r="E370">
        <v>22652947</v>
      </c>
      <c r="F370">
        <v>1</v>
      </c>
      <c r="G370">
        <v>22652947</v>
      </c>
      <c r="H370">
        <v>3</v>
      </c>
      <c r="I370" t="s">
        <v>857</v>
      </c>
      <c r="J370" t="s">
        <v>3</v>
      </c>
      <c r="K370" t="s">
        <v>858</v>
      </c>
      <c r="L370">
        <v>1354</v>
      </c>
      <c r="N370">
        <v>1010</v>
      </c>
      <c r="O370" t="s">
        <v>304</v>
      </c>
      <c r="P370" t="s">
        <v>304</v>
      </c>
      <c r="Q370">
        <v>1</v>
      </c>
      <c r="X370">
        <v>111</v>
      </c>
      <c r="Y370">
        <v>0</v>
      </c>
      <c r="Z370">
        <v>0</v>
      </c>
      <c r="AA370">
        <v>0</v>
      </c>
      <c r="AB370">
        <v>0</v>
      </c>
      <c r="AC370">
        <v>0</v>
      </c>
      <c r="AD370">
        <v>0</v>
      </c>
      <c r="AE370">
        <v>0</v>
      </c>
      <c r="AF370" t="s">
        <v>3</v>
      </c>
      <c r="AG370">
        <v>111</v>
      </c>
      <c r="AH370">
        <v>3</v>
      </c>
      <c r="AI370">
        <v>-1</v>
      </c>
      <c r="AJ370" t="s">
        <v>3</v>
      </c>
      <c r="AK370">
        <v>0</v>
      </c>
      <c r="AL370">
        <v>0</v>
      </c>
      <c r="AM370">
        <v>0</v>
      </c>
      <c r="AN370">
        <v>0</v>
      </c>
      <c r="AO370">
        <v>0</v>
      </c>
      <c r="AP370">
        <v>0</v>
      </c>
      <c r="AQ370">
        <v>0</v>
      </c>
      <c r="AR370">
        <v>0</v>
      </c>
    </row>
    <row r="371" spans="1:44" x14ac:dyDescent="0.2">
      <c r="A371">
        <f>ROW(Source!A409)</f>
        <v>409</v>
      </c>
      <c r="B371">
        <v>45038672</v>
      </c>
      <c r="C371">
        <v>45038258</v>
      </c>
      <c r="D371">
        <v>22652952</v>
      </c>
      <c r="E371">
        <v>22652947</v>
      </c>
      <c r="F371">
        <v>1</v>
      </c>
      <c r="G371">
        <v>22652947</v>
      </c>
      <c r="H371">
        <v>1</v>
      </c>
      <c r="I371" t="s">
        <v>617</v>
      </c>
      <c r="J371" t="s">
        <v>3</v>
      </c>
      <c r="K371" t="s">
        <v>618</v>
      </c>
      <c r="L371">
        <v>1191</v>
      </c>
      <c r="N371">
        <v>1013</v>
      </c>
      <c r="O371" t="s">
        <v>619</v>
      </c>
      <c r="P371" t="s">
        <v>619</v>
      </c>
      <c r="Q371">
        <v>1</v>
      </c>
      <c r="X371">
        <v>5.15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1</v>
      </c>
      <c r="AE371">
        <v>1</v>
      </c>
      <c r="AF371" t="s">
        <v>37</v>
      </c>
      <c r="AG371">
        <v>5.9225000000000003</v>
      </c>
      <c r="AH371">
        <v>2</v>
      </c>
      <c r="AI371">
        <v>45038259</v>
      </c>
      <c r="AJ371">
        <v>385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</row>
    <row r="372" spans="1:44" x14ac:dyDescent="0.2">
      <c r="A372">
        <f>ROW(Source!A410)</f>
        <v>410</v>
      </c>
      <c r="B372">
        <v>45038672</v>
      </c>
      <c r="C372">
        <v>45038258</v>
      </c>
      <c r="D372">
        <v>22652952</v>
      </c>
      <c r="E372">
        <v>22652947</v>
      </c>
      <c r="F372">
        <v>1</v>
      </c>
      <c r="G372">
        <v>22652947</v>
      </c>
      <c r="H372">
        <v>1</v>
      </c>
      <c r="I372" t="s">
        <v>617</v>
      </c>
      <c r="J372" t="s">
        <v>3</v>
      </c>
      <c r="K372" t="s">
        <v>618</v>
      </c>
      <c r="L372">
        <v>1191</v>
      </c>
      <c r="N372">
        <v>1013</v>
      </c>
      <c r="O372" t="s">
        <v>619</v>
      </c>
      <c r="P372" t="s">
        <v>619</v>
      </c>
      <c r="Q372">
        <v>1</v>
      </c>
      <c r="X372">
        <v>5.15</v>
      </c>
      <c r="Y372">
        <v>0</v>
      </c>
      <c r="Z372">
        <v>0</v>
      </c>
      <c r="AA372">
        <v>0</v>
      </c>
      <c r="AB372">
        <v>0</v>
      </c>
      <c r="AC372">
        <v>0</v>
      </c>
      <c r="AD372">
        <v>1</v>
      </c>
      <c r="AE372">
        <v>1</v>
      </c>
      <c r="AF372" t="s">
        <v>37</v>
      </c>
      <c r="AG372">
        <v>5.9225000000000003</v>
      </c>
      <c r="AH372">
        <v>2</v>
      </c>
      <c r="AI372">
        <v>45038259</v>
      </c>
      <c r="AJ372">
        <v>387</v>
      </c>
      <c r="AK372">
        <v>0</v>
      </c>
      <c r="AL372">
        <v>0</v>
      </c>
      <c r="AM372">
        <v>0</v>
      </c>
      <c r="AN372">
        <v>0</v>
      </c>
      <c r="AO372">
        <v>0</v>
      </c>
      <c r="AP372">
        <v>0</v>
      </c>
      <c r="AQ372">
        <v>0</v>
      </c>
      <c r="AR372">
        <v>0</v>
      </c>
    </row>
    <row r="373" spans="1:44" x14ac:dyDescent="0.2">
      <c r="A373">
        <f>ROW(Source!A413)</f>
        <v>413</v>
      </c>
      <c r="B373">
        <v>45038673</v>
      </c>
      <c r="C373">
        <v>45038263</v>
      </c>
      <c r="D373">
        <v>22652952</v>
      </c>
      <c r="E373">
        <v>22652947</v>
      </c>
      <c r="F373">
        <v>1</v>
      </c>
      <c r="G373">
        <v>22652947</v>
      </c>
      <c r="H373">
        <v>1</v>
      </c>
      <c r="I373" t="s">
        <v>617</v>
      </c>
      <c r="J373" t="s">
        <v>3</v>
      </c>
      <c r="K373" t="s">
        <v>618</v>
      </c>
      <c r="L373">
        <v>1191</v>
      </c>
      <c r="N373">
        <v>1013</v>
      </c>
      <c r="O373" t="s">
        <v>619</v>
      </c>
      <c r="P373" t="s">
        <v>619</v>
      </c>
      <c r="Q373">
        <v>1</v>
      </c>
      <c r="X373">
        <v>2.1</v>
      </c>
      <c r="Y373">
        <v>0</v>
      </c>
      <c r="Z373">
        <v>0</v>
      </c>
      <c r="AA373">
        <v>0</v>
      </c>
      <c r="AB373">
        <v>0</v>
      </c>
      <c r="AC373">
        <v>0</v>
      </c>
      <c r="AD373">
        <v>1</v>
      </c>
      <c r="AE373">
        <v>1</v>
      </c>
      <c r="AF373" t="s">
        <v>37</v>
      </c>
      <c r="AG373">
        <v>2.415</v>
      </c>
      <c r="AH373">
        <v>2</v>
      </c>
      <c r="AI373">
        <v>45038264</v>
      </c>
      <c r="AJ373">
        <v>389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0</v>
      </c>
    </row>
    <row r="374" spans="1:44" x14ac:dyDescent="0.2">
      <c r="A374">
        <f>ROW(Source!A414)</f>
        <v>414</v>
      </c>
      <c r="B374">
        <v>45038673</v>
      </c>
      <c r="C374">
        <v>45038263</v>
      </c>
      <c r="D374">
        <v>22652952</v>
      </c>
      <c r="E374">
        <v>22652947</v>
      </c>
      <c r="F374">
        <v>1</v>
      </c>
      <c r="G374">
        <v>22652947</v>
      </c>
      <c r="H374">
        <v>1</v>
      </c>
      <c r="I374" t="s">
        <v>617</v>
      </c>
      <c r="J374" t="s">
        <v>3</v>
      </c>
      <c r="K374" t="s">
        <v>618</v>
      </c>
      <c r="L374">
        <v>1191</v>
      </c>
      <c r="N374">
        <v>1013</v>
      </c>
      <c r="O374" t="s">
        <v>619</v>
      </c>
      <c r="P374" t="s">
        <v>619</v>
      </c>
      <c r="Q374">
        <v>1</v>
      </c>
      <c r="X374">
        <v>2.1</v>
      </c>
      <c r="Y374">
        <v>0</v>
      </c>
      <c r="Z374">
        <v>0</v>
      </c>
      <c r="AA374">
        <v>0</v>
      </c>
      <c r="AB374">
        <v>0</v>
      </c>
      <c r="AC374">
        <v>0</v>
      </c>
      <c r="AD374">
        <v>1</v>
      </c>
      <c r="AE374">
        <v>1</v>
      </c>
      <c r="AF374" t="s">
        <v>37</v>
      </c>
      <c r="AG374">
        <v>2.415</v>
      </c>
      <c r="AH374">
        <v>2</v>
      </c>
      <c r="AI374">
        <v>45038264</v>
      </c>
      <c r="AJ374">
        <v>392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0</v>
      </c>
    </row>
    <row r="375" spans="1:44" x14ac:dyDescent="0.2">
      <c r="A375">
        <f>ROW(Source!A453)</f>
        <v>453</v>
      </c>
      <c r="B375">
        <v>45038674</v>
      </c>
      <c r="C375">
        <v>45038324</v>
      </c>
      <c r="D375">
        <v>22652952</v>
      </c>
      <c r="E375">
        <v>22652947</v>
      </c>
      <c r="F375">
        <v>1</v>
      </c>
      <c r="G375">
        <v>22652947</v>
      </c>
      <c r="H375">
        <v>1</v>
      </c>
      <c r="I375" t="s">
        <v>617</v>
      </c>
      <c r="J375" t="s">
        <v>3</v>
      </c>
      <c r="K375" t="s">
        <v>618</v>
      </c>
      <c r="L375">
        <v>1191</v>
      </c>
      <c r="N375">
        <v>1013</v>
      </c>
      <c r="O375" t="s">
        <v>619</v>
      </c>
      <c r="P375" t="s">
        <v>619</v>
      </c>
      <c r="Q375">
        <v>1</v>
      </c>
      <c r="X375">
        <v>33.79</v>
      </c>
      <c r="Y375">
        <v>0</v>
      </c>
      <c r="Z375">
        <v>0</v>
      </c>
      <c r="AA375">
        <v>0</v>
      </c>
      <c r="AB375">
        <v>0</v>
      </c>
      <c r="AC375">
        <v>0</v>
      </c>
      <c r="AD375">
        <v>1</v>
      </c>
      <c r="AE375">
        <v>1</v>
      </c>
      <c r="AF375" t="s">
        <v>37</v>
      </c>
      <c r="AG375">
        <v>38.858499999999999</v>
      </c>
      <c r="AH375">
        <v>2</v>
      </c>
      <c r="AI375">
        <v>45038325</v>
      </c>
      <c r="AJ375">
        <v>395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0</v>
      </c>
    </row>
    <row r="376" spans="1:44" x14ac:dyDescent="0.2">
      <c r="A376">
        <f>ROW(Source!A453)</f>
        <v>453</v>
      </c>
      <c r="B376">
        <v>45038675</v>
      </c>
      <c r="C376">
        <v>45038324</v>
      </c>
      <c r="D376">
        <v>22670511</v>
      </c>
      <c r="E376">
        <v>22652947</v>
      </c>
      <c r="F376">
        <v>1</v>
      </c>
      <c r="G376">
        <v>22652947</v>
      </c>
      <c r="H376">
        <v>3</v>
      </c>
      <c r="I376" t="s">
        <v>859</v>
      </c>
      <c r="J376" t="s">
        <v>3</v>
      </c>
      <c r="K376" t="s">
        <v>860</v>
      </c>
      <c r="L376">
        <v>1301</v>
      </c>
      <c r="N376">
        <v>1003</v>
      </c>
      <c r="O376" t="s">
        <v>364</v>
      </c>
      <c r="P376" t="s">
        <v>364</v>
      </c>
      <c r="Q376">
        <v>1</v>
      </c>
      <c r="X376">
        <v>0</v>
      </c>
      <c r="Y376">
        <v>0</v>
      </c>
      <c r="Z376">
        <v>0</v>
      </c>
      <c r="AA376">
        <v>0</v>
      </c>
      <c r="AB376">
        <v>0</v>
      </c>
      <c r="AC376">
        <v>0</v>
      </c>
      <c r="AD376">
        <v>0</v>
      </c>
      <c r="AE376">
        <v>0</v>
      </c>
      <c r="AF376" t="s">
        <v>3</v>
      </c>
      <c r="AG376">
        <v>0</v>
      </c>
      <c r="AH376">
        <v>3</v>
      </c>
      <c r="AI376">
        <v>-1</v>
      </c>
      <c r="AJ376" t="s">
        <v>3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0</v>
      </c>
    </row>
    <row r="377" spans="1:44" x14ac:dyDescent="0.2">
      <c r="A377">
        <f>ROW(Source!A453)</f>
        <v>453</v>
      </c>
      <c r="B377">
        <v>45038676</v>
      </c>
      <c r="C377">
        <v>45038324</v>
      </c>
      <c r="D377">
        <v>22670512</v>
      </c>
      <c r="E377">
        <v>22652947</v>
      </c>
      <c r="F377">
        <v>1</v>
      </c>
      <c r="G377">
        <v>22652947</v>
      </c>
      <c r="H377">
        <v>3</v>
      </c>
      <c r="I377" t="s">
        <v>859</v>
      </c>
      <c r="J377" t="s">
        <v>3</v>
      </c>
      <c r="K377" t="s">
        <v>861</v>
      </c>
      <c r="L377">
        <v>1301</v>
      </c>
      <c r="N377">
        <v>1003</v>
      </c>
      <c r="O377" t="s">
        <v>364</v>
      </c>
      <c r="P377" t="s">
        <v>364</v>
      </c>
      <c r="Q377">
        <v>1</v>
      </c>
      <c r="X377">
        <v>0</v>
      </c>
      <c r="Y377">
        <v>0</v>
      </c>
      <c r="Z377">
        <v>0</v>
      </c>
      <c r="AA377">
        <v>0</v>
      </c>
      <c r="AB377">
        <v>0</v>
      </c>
      <c r="AC377">
        <v>0</v>
      </c>
      <c r="AD377">
        <v>0</v>
      </c>
      <c r="AE377">
        <v>0</v>
      </c>
      <c r="AF377" t="s">
        <v>3</v>
      </c>
      <c r="AG377">
        <v>0</v>
      </c>
      <c r="AH377">
        <v>3</v>
      </c>
      <c r="AI377">
        <v>-1</v>
      </c>
      <c r="AJ377" t="s">
        <v>3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0</v>
      </c>
    </row>
    <row r="378" spans="1:44" x14ac:dyDescent="0.2">
      <c r="A378">
        <f>ROW(Source!A453)</f>
        <v>453</v>
      </c>
      <c r="B378">
        <v>45038677</v>
      </c>
      <c r="C378">
        <v>45038324</v>
      </c>
      <c r="D378">
        <v>22670507</v>
      </c>
      <c r="E378">
        <v>22652947</v>
      </c>
      <c r="F378">
        <v>1</v>
      </c>
      <c r="G378">
        <v>22652947</v>
      </c>
      <c r="H378">
        <v>3</v>
      </c>
      <c r="I378" t="s">
        <v>859</v>
      </c>
      <c r="J378" t="s">
        <v>3</v>
      </c>
      <c r="K378" t="s">
        <v>862</v>
      </c>
      <c r="L378">
        <v>1354</v>
      </c>
      <c r="N378">
        <v>1010</v>
      </c>
      <c r="O378" t="s">
        <v>304</v>
      </c>
      <c r="P378" t="s">
        <v>304</v>
      </c>
      <c r="Q378">
        <v>1</v>
      </c>
      <c r="X378">
        <v>0</v>
      </c>
      <c r="Y378">
        <v>0</v>
      </c>
      <c r="Z378">
        <v>0</v>
      </c>
      <c r="AA378">
        <v>0</v>
      </c>
      <c r="AB378">
        <v>0</v>
      </c>
      <c r="AC378">
        <v>0</v>
      </c>
      <c r="AD378">
        <v>0</v>
      </c>
      <c r="AE378">
        <v>0</v>
      </c>
      <c r="AF378" t="s">
        <v>3</v>
      </c>
      <c r="AG378">
        <v>0</v>
      </c>
      <c r="AH378">
        <v>3</v>
      </c>
      <c r="AI378">
        <v>-1</v>
      </c>
      <c r="AJ378" t="s">
        <v>3</v>
      </c>
      <c r="AK378">
        <v>0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0</v>
      </c>
    </row>
    <row r="379" spans="1:44" x14ac:dyDescent="0.2">
      <c r="A379">
        <f>ROW(Source!A453)</f>
        <v>453</v>
      </c>
      <c r="B379">
        <v>45038678</v>
      </c>
      <c r="C379">
        <v>45038324</v>
      </c>
      <c r="D379">
        <v>22670508</v>
      </c>
      <c r="E379">
        <v>22652947</v>
      </c>
      <c r="F379">
        <v>1</v>
      </c>
      <c r="G379">
        <v>22652947</v>
      </c>
      <c r="H379">
        <v>3</v>
      </c>
      <c r="I379" t="s">
        <v>859</v>
      </c>
      <c r="J379" t="s">
        <v>3</v>
      </c>
      <c r="K379" t="s">
        <v>863</v>
      </c>
      <c r="L379">
        <v>1354</v>
      </c>
      <c r="N379">
        <v>1010</v>
      </c>
      <c r="O379" t="s">
        <v>304</v>
      </c>
      <c r="P379" t="s">
        <v>304</v>
      </c>
      <c r="Q379">
        <v>1</v>
      </c>
      <c r="X379">
        <v>0</v>
      </c>
      <c r="Y379">
        <v>0</v>
      </c>
      <c r="Z379">
        <v>0</v>
      </c>
      <c r="AA379">
        <v>0</v>
      </c>
      <c r="AB379">
        <v>0</v>
      </c>
      <c r="AC379">
        <v>0</v>
      </c>
      <c r="AD379">
        <v>0</v>
      </c>
      <c r="AE379">
        <v>0</v>
      </c>
      <c r="AF379" t="s">
        <v>3</v>
      </c>
      <c r="AG379">
        <v>0</v>
      </c>
      <c r="AH379">
        <v>3</v>
      </c>
      <c r="AI379">
        <v>-1</v>
      </c>
      <c r="AJ379" t="s">
        <v>3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0</v>
      </c>
    </row>
    <row r="380" spans="1:44" x14ac:dyDescent="0.2">
      <c r="A380">
        <f>ROW(Source!A453)</f>
        <v>453</v>
      </c>
      <c r="B380">
        <v>45038679</v>
      </c>
      <c r="C380">
        <v>45038324</v>
      </c>
      <c r="D380">
        <v>22666180</v>
      </c>
      <c r="E380">
        <v>22652947</v>
      </c>
      <c r="F380">
        <v>1</v>
      </c>
      <c r="G380">
        <v>22652947</v>
      </c>
      <c r="H380">
        <v>3</v>
      </c>
      <c r="I380" t="s">
        <v>859</v>
      </c>
      <c r="J380" t="s">
        <v>3</v>
      </c>
      <c r="K380" t="s">
        <v>864</v>
      </c>
      <c r="L380">
        <v>1354</v>
      </c>
      <c r="N380">
        <v>1010</v>
      </c>
      <c r="O380" t="s">
        <v>304</v>
      </c>
      <c r="P380" t="s">
        <v>304</v>
      </c>
      <c r="Q380">
        <v>1</v>
      </c>
      <c r="X380">
        <v>0</v>
      </c>
      <c r="Y380">
        <v>0</v>
      </c>
      <c r="Z380">
        <v>0</v>
      </c>
      <c r="AA380">
        <v>0</v>
      </c>
      <c r="AB380">
        <v>0</v>
      </c>
      <c r="AC380">
        <v>0</v>
      </c>
      <c r="AD380">
        <v>0</v>
      </c>
      <c r="AE380">
        <v>0</v>
      </c>
      <c r="AF380" t="s">
        <v>3</v>
      </c>
      <c r="AG380">
        <v>0</v>
      </c>
      <c r="AH380">
        <v>3</v>
      </c>
      <c r="AI380">
        <v>-1</v>
      </c>
      <c r="AJ380" t="s">
        <v>3</v>
      </c>
      <c r="AK380">
        <v>0</v>
      </c>
      <c r="AL380">
        <v>0</v>
      </c>
      <c r="AM380">
        <v>0</v>
      </c>
      <c r="AN380">
        <v>0</v>
      </c>
      <c r="AO380">
        <v>0</v>
      </c>
      <c r="AP380">
        <v>0</v>
      </c>
      <c r="AQ380">
        <v>0</v>
      </c>
      <c r="AR380">
        <v>0</v>
      </c>
    </row>
    <row r="381" spans="1:44" x14ac:dyDescent="0.2">
      <c r="A381">
        <f>ROW(Source!A453)</f>
        <v>453</v>
      </c>
      <c r="B381">
        <v>45038680</v>
      </c>
      <c r="C381">
        <v>45038324</v>
      </c>
      <c r="D381">
        <v>22665972</v>
      </c>
      <c r="E381">
        <v>22652947</v>
      </c>
      <c r="F381">
        <v>1</v>
      </c>
      <c r="G381">
        <v>22652947</v>
      </c>
      <c r="H381">
        <v>3</v>
      </c>
      <c r="I381" t="s">
        <v>859</v>
      </c>
      <c r="J381" t="s">
        <v>3</v>
      </c>
      <c r="K381" t="s">
        <v>865</v>
      </c>
      <c r="L381">
        <v>1354</v>
      </c>
      <c r="N381">
        <v>1010</v>
      </c>
      <c r="O381" t="s">
        <v>304</v>
      </c>
      <c r="P381" t="s">
        <v>304</v>
      </c>
      <c r="Q381">
        <v>1</v>
      </c>
      <c r="X381">
        <v>0</v>
      </c>
      <c r="Y381">
        <v>0</v>
      </c>
      <c r="Z381">
        <v>0</v>
      </c>
      <c r="AA381">
        <v>0</v>
      </c>
      <c r="AB381">
        <v>0</v>
      </c>
      <c r="AC381">
        <v>0</v>
      </c>
      <c r="AD381">
        <v>0</v>
      </c>
      <c r="AE381">
        <v>0</v>
      </c>
      <c r="AF381" t="s">
        <v>3</v>
      </c>
      <c r="AG381">
        <v>0</v>
      </c>
      <c r="AH381">
        <v>3</v>
      </c>
      <c r="AI381">
        <v>-1</v>
      </c>
      <c r="AJ381" t="s">
        <v>3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0</v>
      </c>
    </row>
    <row r="382" spans="1:44" x14ac:dyDescent="0.2">
      <c r="A382">
        <f>ROW(Source!A453)</f>
        <v>453</v>
      </c>
      <c r="B382">
        <v>45038681</v>
      </c>
      <c r="C382">
        <v>45038324</v>
      </c>
      <c r="D382">
        <v>22675150</v>
      </c>
      <c r="E382">
        <v>22652947</v>
      </c>
      <c r="F382">
        <v>1</v>
      </c>
      <c r="G382">
        <v>22652947</v>
      </c>
      <c r="H382">
        <v>3</v>
      </c>
      <c r="I382" t="s">
        <v>859</v>
      </c>
      <c r="J382" t="s">
        <v>3</v>
      </c>
      <c r="K382" t="s">
        <v>866</v>
      </c>
      <c r="L382">
        <v>1354</v>
      </c>
      <c r="N382">
        <v>1010</v>
      </c>
      <c r="O382" t="s">
        <v>304</v>
      </c>
      <c r="P382" t="s">
        <v>304</v>
      </c>
      <c r="Q382">
        <v>1</v>
      </c>
      <c r="X382">
        <v>0</v>
      </c>
      <c r="Y382">
        <v>0</v>
      </c>
      <c r="Z382">
        <v>0</v>
      </c>
      <c r="AA382">
        <v>0</v>
      </c>
      <c r="AB382">
        <v>0</v>
      </c>
      <c r="AC382">
        <v>0</v>
      </c>
      <c r="AD382">
        <v>0</v>
      </c>
      <c r="AE382">
        <v>0</v>
      </c>
      <c r="AF382" t="s">
        <v>3</v>
      </c>
      <c r="AG382">
        <v>0</v>
      </c>
      <c r="AH382">
        <v>3</v>
      </c>
      <c r="AI382">
        <v>-1</v>
      </c>
      <c r="AJ382" t="s">
        <v>3</v>
      </c>
      <c r="AK382">
        <v>0</v>
      </c>
      <c r="AL382">
        <v>0</v>
      </c>
      <c r="AM382">
        <v>0</v>
      </c>
      <c r="AN382">
        <v>0</v>
      </c>
      <c r="AO382">
        <v>0</v>
      </c>
      <c r="AP382">
        <v>0</v>
      </c>
      <c r="AQ382">
        <v>0</v>
      </c>
      <c r="AR382">
        <v>0</v>
      </c>
    </row>
    <row r="383" spans="1:44" x14ac:dyDescent="0.2">
      <c r="A383">
        <f>ROW(Source!A454)</f>
        <v>454</v>
      </c>
      <c r="B383">
        <v>45038674</v>
      </c>
      <c r="C383">
        <v>45038324</v>
      </c>
      <c r="D383">
        <v>22652952</v>
      </c>
      <c r="E383">
        <v>22652947</v>
      </c>
      <c r="F383">
        <v>1</v>
      </c>
      <c r="G383">
        <v>22652947</v>
      </c>
      <c r="H383">
        <v>1</v>
      </c>
      <c r="I383" t="s">
        <v>617</v>
      </c>
      <c r="J383" t="s">
        <v>3</v>
      </c>
      <c r="K383" t="s">
        <v>618</v>
      </c>
      <c r="L383">
        <v>1191</v>
      </c>
      <c r="N383">
        <v>1013</v>
      </c>
      <c r="O383" t="s">
        <v>619</v>
      </c>
      <c r="P383" t="s">
        <v>619</v>
      </c>
      <c r="Q383">
        <v>1</v>
      </c>
      <c r="X383">
        <v>33.79</v>
      </c>
      <c r="Y383">
        <v>0</v>
      </c>
      <c r="Z383">
        <v>0</v>
      </c>
      <c r="AA383">
        <v>0</v>
      </c>
      <c r="AB383">
        <v>0</v>
      </c>
      <c r="AC383">
        <v>0</v>
      </c>
      <c r="AD383">
        <v>1</v>
      </c>
      <c r="AE383">
        <v>1</v>
      </c>
      <c r="AF383" t="s">
        <v>37</v>
      </c>
      <c r="AG383">
        <v>38.858499999999999</v>
      </c>
      <c r="AH383">
        <v>2</v>
      </c>
      <c r="AI383">
        <v>45038325</v>
      </c>
      <c r="AJ383">
        <v>398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0</v>
      </c>
    </row>
    <row r="384" spans="1:44" x14ac:dyDescent="0.2">
      <c r="A384">
        <f>ROW(Source!A454)</f>
        <v>454</v>
      </c>
      <c r="B384">
        <v>45038675</v>
      </c>
      <c r="C384">
        <v>45038324</v>
      </c>
      <c r="D384">
        <v>22670511</v>
      </c>
      <c r="E384">
        <v>22652947</v>
      </c>
      <c r="F384">
        <v>1</v>
      </c>
      <c r="G384">
        <v>22652947</v>
      </c>
      <c r="H384">
        <v>3</v>
      </c>
      <c r="I384" t="s">
        <v>859</v>
      </c>
      <c r="J384" t="s">
        <v>3</v>
      </c>
      <c r="K384" t="s">
        <v>860</v>
      </c>
      <c r="L384">
        <v>1301</v>
      </c>
      <c r="N384">
        <v>1003</v>
      </c>
      <c r="O384" t="s">
        <v>364</v>
      </c>
      <c r="P384" t="s">
        <v>364</v>
      </c>
      <c r="Q384">
        <v>1</v>
      </c>
      <c r="X384">
        <v>0</v>
      </c>
      <c r="Y384">
        <v>0</v>
      </c>
      <c r="Z384">
        <v>0</v>
      </c>
      <c r="AA384">
        <v>0</v>
      </c>
      <c r="AB384">
        <v>0</v>
      </c>
      <c r="AC384">
        <v>0</v>
      </c>
      <c r="AD384">
        <v>0</v>
      </c>
      <c r="AE384">
        <v>0</v>
      </c>
      <c r="AF384" t="s">
        <v>3</v>
      </c>
      <c r="AG384">
        <v>0</v>
      </c>
      <c r="AH384">
        <v>3</v>
      </c>
      <c r="AI384">
        <v>-1</v>
      </c>
      <c r="AJ384" t="s">
        <v>3</v>
      </c>
      <c r="AK384">
        <v>0</v>
      </c>
      <c r="AL384">
        <v>0</v>
      </c>
      <c r="AM384">
        <v>0</v>
      </c>
      <c r="AN384">
        <v>0</v>
      </c>
      <c r="AO384">
        <v>0</v>
      </c>
      <c r="AP384">
        <v>0</v>
      </c>
      <c r="AQ384">
        <v>0</v>
      </c>
      <c r="AR384">
        <v>0</v>
      </c>
    </row>
    <row r="385" spans="1:44" x14ac:dyDescent="0.2">
      <c r="A385">
        <f>ROW(Source!A454)</f>
        <v>454</v>
      </c>
      <c r="B385">
        <v>45038676</v>
      </c>
      <c r="C385">
        <v>45038324</v>
      </c>
      <c r="D385">
        <v>22670512</v>
      </c>
      <c r="E385">
        <v>22652947</v>
      </c>
      <c r="F385">
        <v>1</v>
      </c>
      <c r="G385">
        <v>22652947</v>
      </c>
      <c r="H385">
        <v>3</v>
      </c>
      <c r="I385" t="s">
        <v>859</v>
      </c>
      <c r="J385" t="s">
        <v>3</v>
      </c>
      <c r="K385" t="s">
        <v>861</v>
      </c>
      <c r="L385">
        <v>1301</v>
      </c>
      <c r="N385">
        <v>1003</v>
      </c>
      <c r="O385" t="s">
        <v>364</v>
      </c>
      <c r="P385" t="s">
        <v>364</v>
      </c>
      <c r="Q385">
        <v>1</v>
      </c>
      <c r="X385">
        <v>0</v>
      </c>
      <c r="Y385">
        <v>0</v>
      </c>
      <c r="Z385">
        <v>0</v>
      </c>
      <c r="AA385">
        <v>0</v>
      </c>
      <c r="AB385">
        <v>0</v>
      </c>
      <c r="AC385">
        <v>0</v>
      </c>
      <c r="AD385">
        <v>0</v>
      </c>
      <c r="AE385">
        <v>0</v>
      </c>
      <c r="AF385" t="s">
        <v>3</v>
      </c>
      <c r="AG385">
        <v>0</v>
      </c>
      <c r="AH385">
        <v>3</v>
      </c>
      <c r="AI385">
        <v>-1</v>
      </c>
      <c r="AJ385" t="s">
        <v>3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0</v>
      </c>
      <c r="AQ385">
        <v>0</v>
      </c>
      <c r="AR385">
        <v>0</v>
      </c>
    </row>
    <row r="386" spans="1:44" x14ac:dyDescent="0.2">
      <c r="A386">
        <f>ROW(Source!A454)</f>
        <v>454</v>
      </c>
      <c r="B386">
        <v>45038677</v>
      </c>
      <c r="C386">
        <v>45038324</v>
      </c>
      <c r="D386">
        <v>22670507</v>
      </c>
      <c r="E386">
        <v>22652947</v>
      </c>
      <c r="F386">
        <v>1</v>
      </c>
      <c r="G386">
        <v>22652947</v>
      </c>
      <c r="H386">
        <v>3</v>
      </c>
      <c r="I386" t="s">
        <v>859</v>
      </c>
      <c r="J386" t="s">
        <v>3</v>
      </c>
      <c r="K386" t="s">
        <v>862</v>
      </c>
      <c r="L386">
        <v>1354</v>
      </c>
      <c r="N386">
        <v>1010</v>
      </c>
      <c r="O386" t="s">
        <v>304</v>
      </c>
      <c r="P386" t="s">
        <v>304</v>
      </c>
      <c r="Q386">
        <v>1</v>
      </c>
      <c r="X386">
        <v>0</v>
      </c>
      <c r="Y386">
        <v>0</v>
      </c>
      <c r="Z386">
        <v>0</v>
      </c>
      <c r="AA386">
        <v>0</v>
      </c>
      <c r="AB386">
        <v>0</v>
      </c>
      <c r="AC386">
        <v>0</v>
      </c>
      <c r="AD386">
        <v>0</v>
      </c>
      <c r="AE386">
        <v>0</v>
      </c>
      <c r="AF386" t="s">
        <v>3</v>
      </c>
      <c r="AG386">
        <v>0</v>
      </c>
      <c r="AH386">
        <v>3</v>
      </c>
      <c r="AI386">
        <v>-1</v>
      </c>
      <c r="AJ386" t="s">
        <v>3</v>
      </c>
      <c r="AK386">
        <v>0</v>
      </c>
      <c r="AL386">
        <v>0</v>
      </c>
      <c r="AM386">
        <v>0</v>
      </c>
      <c r="AN386">
        <v>0</v>
      </c>
      <c r="AO386">
        <v>0</v>
      </c>
      <c r="AP386">
        <v>0</v>
      </c>
      <c r="AQ386">
        <v>0</v>
      </c>
      <c r="AR386">
        <v>0</v>
      </c>
    </row>
    <row r="387" spans="1:44" x14ac:dyDescent="0.2">
      <c r="A387">
        <f>ROW(Source!A454)</f>
        <v>454</v>
      </c>
      <c r="B387">
        <v>45038678</v>
      </c>
      <c r="C387">
        <v>45038324</v>
      </c>
      <c r="D387">
        <v>22670508</v>
      </c>
      <c r="E387">
        <v>22652947</v>
      </c>
      <c r="F387">
        <v>1</v>
      </c>
      <c r="G387">
        <v>22652947</v>
      </c>
      <c r="H387">
        <v>3</v>
      </c>
      <c r="I387" t="s">
        <v>859</v>
      </c>
      <c r="J387" t="s">
        <v>3</v>
      </c>
      <c r="K387" t="s">
        <v>863</v>
      </c>
      <c r="L387">
        <v>1354</v>
      </c>
      <c r="N387">
        <v>1010</v>
      </c>
      <c r="O387" t="s">
        <v>304</v>
      </c>
      <c r="P387" t="s">
        <v>304</v>
      </c>
      <c r="Q387">
        <v>1</v>
      </c>
      <c r="X387">
        <v>0</v>
      </c>
      <c r="Y387">
        <v>0</v>
      </c>
      <c r="Z387">
        <v>0</v>
      </c>
      <c r="AA387">
        <v>0</v>
      </c>
      <c r="AB387">
        <v>0</v>
      </c>
      <c r="AC387">
        <v>0</v>
      </c>
      <c r="AD387">
        <v>0</v>
      </c>
      <c r="AE387">
        <v>0</v>
      </c>
      <c r="AF387" t="s">
        <v>3</v>
      </c>
      <c r="AG387">
        <v>0</v>
      </c>
      <c r="AH387">
        <v>3</v>
      </c>
      <c r="AI387">
        <v>-1</v>
      </c>
      <c r="AJ387" t="s">
        <v>3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0</v>
      </c>
      <c r="AQ387">
        <v>0</v>
      </c>
      <c r="AR387">
        <v>0</v>
      </c>
    </row>
    <row r="388" spans="1:44" x14ac:dyDescent="0.2">
      <c r="A388">
        <f>ROW(Source!A454)</f>
        <v>454</v>
      </c>
      <c r="B388">
        <v>45038679</v>
      </c>
      <c r="C388">
        <v>45038324</v>
      </c>
      <c r="D388">
        <v>22666180</v>
      </c>
      <c r="E388">
        <v>22652947</v>
      </c>
      <c r="F388">
        <v>1</v>
      </c>
      <c r="G388">
        <v>22652947</v>
      </c>
      <c r="H388">
        <v>3</v>
      </c>
      <c r="I388" t="s">
        <v>859</v>
      </c>
      <c r="J388" t="s">
        <v>3</v>
      </c>
      <c r="K388" t="s">
        <v>864</v>
      </c>
      <c r="L388">
        <v>1354</v>
      </c>
      <c r="N388">
        <v>1010</v>
      </c>
      <c r="O388" t="s">
        <v>304</v>
      </c>
      <c r="P388" t="s">
        <v>304</v>
      </c>
      <c r="Q388">
        <v>1</v>
      </c>
      <c r="X388">
        <v>0</v>
      </c>
      <c r="Y388">
        <v>0</v>
      </c>
      <c r="Z388">
        <v>0</v>
      </c>
      <c r="AA388">
        <v>0</v>
      </c>
      <c r="AB388">
        <v>0</v>
      </c>
      <c r="AC388">
        <v>0</v>
      </c>
      <c r="AD388">
        <v>0</v>
      </c>
      <c r="AE388">
        <v>0</v>
      </c>
      <c r="AF388" t="s">
        <v>3</v>
      </c>
      <c r="AG388">
        <v>0</v>
      </c>
      <c r="AH388">
        <v>3</v>
      </c>
      <c r="AI388">
        <v>-1</v>
      </c>
      <c r="AJ388" t="s">
        <v>3</v>
      </c>
      <c r="AK388">
        <v>0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0</v>
      </c>
    </row>
    <row r="389" spans="1:44" x14ac:dyDescent="0.2">
      <c r="A389">
        <f>ROW(Source!A454)</f>
        <v>454</v>
      </c>
      <c r="B389">
        <v>45038680</v>
      </c>
      <c r="C389">
        <v>45038324</v>
      </c>
      <c r="D389">
        <v>22665972</v>
      </c>
      <c r="E389">
        <v>22652947</v>
      </c>
      <c r="F389">
        <v>1</v>
      </c>
      <c r="G389">
        <v>22652947</v>
      </c>
      <c r="H389">
        <v>3</v>
      </c>
      <c r="I389" t="s">
        <v>859</v>
      </c>
      <c r="J389" t="s">
        <v>3</v>
      </c>
      <c r="K389" t="s">
        <v>865</v>
      </c>
      <c r="L389">
        <v>1354</v>
      </c>
      <c r="N389">
        <v>1010</v>
      </c>
      <c r="O389" t="s">
        <v>304</v>
      </c>
      <c r="P389" t="s">
        <v>304</v>
      </c>
      <c r="Q389">
        <v>1</v>
      </c>
      <c r="X389">
        <v>0</v>
      </c>
      <c r="Y389">
        <v>0</v>
      </c>
      <c r="Z389">
        <v>0</v>
      </c>
      <c r="AA389">
        <v>0</v>
      </c>
      <c r="AB389">
        <v>0</v>
      </c>
      <c r="AC389">
        <v>0</v>
      </c>
      <c r="AD389">
        <v>0</v>
      </c>
      <c r="AE389">
        <v>0</v>
      </c>
      <c r="AF389" t="s">
        <v>3</v>
      </c>
      <c r="AG389">
        <v>0</v>
      </c>
      <c r="AH389">
        <v>3</v>
      </c>
      <c r="AI389">
        <v>-1</v>
      </c>
      <c r="AJ389" t="s">
        <v>3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0</v>
      </c>
      <c r="AQ389">
        <v>0</v>
      </c>
      <c r="AR389">
        <v>0</v>
      </c>
    </row>
    <row r="390" spans="1:44" x14ac:dyDescent="0.2">
      <c r="A390">
        <f>ROW(Source!A454)</f>
        <v>454</v>
      </c>
      <c r="B390">
        <v>45038681</v>
      </c>
      <c r="C390">
        <v>45038324</v>
      </c>
      <c r="D390">
        <v>22675150</v>
      </c>
      <c r="E390">
        <v>22652947</v>
      </c>
      <c r="F390">
        <v>1</v>
      </c>
      <c r="G390">
        <v>22652947</v>
      </c>
      <c r="H390">
        <v>3</v>
      </c>
      <c r="I390" t="s">
        <v>859</v>
      </c>
      <c r="J390" t="s">
        <v>3</v>
      </c>
      <c r="K390" t="s">
        <v>866</v>
      </c>
      <c r="L390">
        <v>1354</v>
      </c>
      <c r="N390">
        <v>1010</v>
      </c>
      <c r="O390" t="s">
        <v>304</v>
      </c>
      <c r="P390" t="s">
        <v>304</v>
      </c>
      <c r="Q390">
        <v>1</v>
      </c>
      <c r="X390">
        <v>0</v>
      </c>
      <c r="Y390">
        <v>0</v>
      </c>
      <c r="Z390">
        <v>0</v>
      </c>
      <c r="AA390">
        <v>0</v>
      </c>
      <c r="AB390">
        <v>0</v>
      </c>
      <c r="AC390">
        <v>0</v>
      </c>
      <c r="AD390">
        <v>0</v>
      </c>
      <c r="AE390">
        <v>0</v>
      </c>
      <c r="AF390" t="s">
        <v>3</v>
      </c>
      <c r="AG390">
        <v>0</v>
      </c>
      <c r="AH390">
        <v>3</v>
      </c>
      <c r="AI390">
        <v>-1</v>
      </c>
      <c r="AJ390" t="s">
        <v>3</v>
      </c>
      <c r="AK390">
        <v>0</v>
      </c>
      <c r="AL390">
        <v>0</v>
      </c>
      <c r="AM390">
        <v>0</v>
      </c>
      <c r="AN390">
        <v>0</v>
      </c>
      <c r="AO390">
        <v>0</v>
      </c>
      <c r="AP390">
        <v>0</v>
      </c>
      <c r="AQ390">
        <v>0</v>
      </c>
      <c r="AR390">
        <v>0</v>
      </c>
    </row>
    <row r="391" spans="1:44" x14ac:dyDescent="0.2">
      <c r="A391">
        <f>ROW(Source!A459)</f>
        <v>459</v>
      </c>
      <c r="B391">
        <v>45038682</v>
      </c>
      <c r="C391">
        <v>45038338</v>
      </c>
      <c r="D391">
        <v>22652952</v>
      </c>
      <c r="E391">
        <v>22652947</v>
      </c>
      <c r="F391">
        <v>1</v>
      </c>
      <c r="G391">
        <v>22652947</v>
      </c>
      <c r="H391">
        <v>1</v>
      </c>
      <c r="I391" t="s">
        <v>617</v>
      </c>
      <c r="J391" t="s">
        <v>3</v>
      </c>
      <c r="K391" t="s">
        <v>618</v>
      </c>
      <c r="L391">
        <v>1191</v>
      </c>
      <c r="N391">
        <v>1013</v>
      </c>
      <c r="O391" t="s">
        <v>619</v>
      </c>
      <c r="P391" t="s">
        <v>619</v>
      </c>
      <c r="Q391">
        <v>1</v>
      </c>
      <c r="X391">
        <v>3.09</v>
      </c>
      <c r="Y391">
        <v>0</v>
      </c>
      <c r="Z391">
        <v>0</v>
      </c>
      <c r="AA391">
        <v>0</v>
      </c>
      <c r="AB391">
        <v>0</v>
      </c>
      <c r="AC391">
        <v>0</v>
      </c>
      <c r="AD391">
        <v>1</v>
      </c>
      <c r="AE391">
        <v>1</v>
      </c>
      <c r="AF391" t="s">
        <v>37</v>
      </c>
      <c r="AG391">
        <v>3.5534999999999997</v>
      </c>
      <c r="AH391">
        <v>2</v>
      </c>
      <c r="AI391">
        <v>45038339</v>
      </c>
      <c r="AJ391">
        <v>401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0</v>
      </c>
      <c r="AQ391">
        <v>0</v>
      </c>
      <c r="AR391">
        <v>0</v>
      </c>
    </row>
    <row r="392" spans="1:44" x14ac:dyDescent="0.2">
      <c r="A392">
        <f>ROW(Source!A460)</f>
        <v>460</v>
      </c>
      <c r="B392">
        <v>45038682</v>
      </c>
      <c r="C392">
        <v>45038338</v>
      </c>
      <c r="D392">
        <v>22652952</v>
      </c>
      <c r="E392">
        <v>22652947</v>
      </c>
      <c r="F392">
        <v>1</v>
      </c>
      <c r="G392">
        <v>22652947</v>
      </c>
      <c r="H392">
        <v>1</v>
      </c>
      <c r="I392" t="s">
        <v>617</v>
      </c>
      <c r="J392" t="s">
        <v>3</v>
      </c>
      <c r="K392" t="s">
        <v>618</v>
      </c>
      <c r="L392">
        <v>1191</v>
      </c>
      <c r="N392">
        <v>1013</v>
      </c>
      <c r="O392" t="s">
        <v>619</v>
      </c>
      <c r="P392" t="s">
        <v>619</v>
      </c>
      <c r="Q392">
        <v>1</v>
      </c>
      <c r="X392">
        <v>3.09</v>
      </c>
      <c r="Y392">
        <v>0</v>
      </c>
      <c r="Z392">
        <v>0</v>
      </c>
      <c r="AA392">
        <v>0</v>
      </c>
      <c r="AB392">
        <v>0</v>
      </c>
      <c r="AC392">
        <v>0</v>
      </c>
      <c r="AD392">
        <v>1</v>
      </c>
      <c r="AE392">
        <v>1</v>
      </c>
      <c r="AF392" t="s">
        <v>37</v>
      </c>
      <c r="AG392">
        <v>3.5534999999999997</v>
      </c>
      <c r="AH392">
        <v>2</v>
      </c>
      <c r="AI392">
        <v>45038339</v>
      </c>
      <c r="AJ392">
        <v>404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0</v>
      </c>
    </row>
    <row r="393" spans="1:44" x14ac:dyDescent="0.2">
      <c r="A393">
        <f>ROW(Source!A465)</f>
        <v>465</v>
      </c>
      <c r="B393">
        <v>45038683</v>
      </c>
      <c r="C393">
        <v>45038345</v>
      </c>
      <c r="D393">
        <v>22652952</v>
      </c>
      <c r="E393">
        <v>22652947</v>
      </c>
      <c r="F393">
        <v>1</v>
      </c>
      <c r="G393">
        <v>22652947</v>
      </c>
      <c r="H393">
        <v>1</v>
      </c>
      <c r="I393" t="s">
        <v>617</v>
      </c>
      <c r="J393" t="s">
        <v>3</v>
      </c>
      <c r="K393" t="s">
        <v>618</v>
      </c>
      <c r="L393">
        <v>1191</v>
      </c>
      <c r="N393">
        <v>1013</v>
      </c>
      <c r="O393" t="s">
        <v>619</v>
      </c>
      <c r="P393" t="s">
        <v>619</v>
      </c>
      <c r="Q393">
        <v>1</v>
      </c>
      <c r="X393">
        <v>30</v>
      </c>
      <c r="Y393">
        <v>0</v>
      </c>
      <c r="Z393">
        <v>0</v>
      </c>
      <c r="AA393">
        <v>0</v>
      </c>
      <c r="AB393">
        <v>0</v>
      </c>
      <c r="AC393">
        <v>0</v>
      </c>
      <c r="AD393">
        <v>1</v>
      </c>
      <c r="AE393">
        <v>1</v>
      </c>
      <c r="AF393" t="s">
        <v>37</v>
      </c>
      <c r="AG393">
        <v>34.5</v>
      </c>
      <c r="AH393">
        <v>2</v>
      </c>
      <c r="AI393">
        <v>45038346</v>
      </c>
      <c r="AJ393">
        <v>407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0</v>
      </c>
    </row>
    <row r="394" spans="1:44" x14ac:dyDescent="0.2">
      <c r="A394">
        <f>ROW(Source!A466)</f>
        <v>466</v>
      </c>
      <c r="B394">
        <v>45038683</v>
      </c>
      <c r="C394">
        <v>45038345</v>
      </c>
      <c r="D394">
        <v>22652952</v>
      </c>
      <c r="E394">
        <v>22652947</v>
      </c>
      <c r="F394">
        <v>1</v>
      </c>
      <c r="G394">
        <v>22652947</v>
      </c>
      <c r="H394">
        <v>1</v>
      </c>
      <c r="I394" t="s">
        <v>617</v>
      </c>
      <c r="J394" t="s">
        <v>3</v>
      </c>
      <c r="K394" t="s">
        <v>618</v>
      </c>
      <c r="L394">
        <v>1191</v>
      </c>
      <c r="N394">
        <v>1013</v>
      </c>
      <c r="O394" t="s">
        <v>619</v>
      </c>
      <c r="P394" t="s">
        <v>619</v>
      </c>
      <c r="Q394">
        <v>1</v>
      </c>
      <c r="X394">
        <v>30</v>
      </c>
      <c r="Y394">
        <v>0</v>
      </c>
      <c r="Z394">
        <v>0</v>
      </c>
      <c r="AA394">
        <v>0</v>
      </c>
      <c r="AB394">
        <v>0</v>
      </c>
      <c r="AC394">
        <v>0</v>
      </c>
      <c r="AD394">
        <v>1</v>
      </c>
      <c r="AE394">
        <v>1</v>
      </c>
      <c r="AF394" t="s">
        <v>37</v>
      </c>
      <c r="AG394">
        <v>34.5</v>
      </c>
      <c r="AH394">
        <v>2</v>
      </c>
      <c r="AI394">
        <v>45038346</v>
      </c>
      <c r="AJ394">
        <v>410</v>
      </c>
      <c r="AK394">
        <v>0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0</v>
      </c>
    </row>
    <row r="395" spans="1:44" x14ac:dyDescent="0.2">
      <c r="A395">
        <f>ROW(Source!A471)</f>
        <v>471</v>
      </c>
      <c r="B395">
        <v>45038684</v>
      </c>
      <c r="C395">
        <v>45038352</v>
      </c>
      <c r="D395">
        <v>22652952</v>
      </c>
      <c r="E395">
        <v>22652947</v>
      </c>
      <c r="F395">
        <v>1</v>
      </c>
      <c r="G395">
        <v>22652947</v>
      </c>
      <c r="H395">
        <v>1</v>
      </c>
      <c r="I395" t="s">
        <v>617</v>
      </c>
      <c r="J395" t="s">
        <v>3</v>
      </c>
      <c r="K395" t="s">
        <v>618</v>
      </c>
      <c r="L395">
        <v>1191</v>
      </c>
      <c r="N395">
        <v>1013</v>
      </c>
      <c r="O395" t="s">
        <v>619</v>
      </c>
      <c r="P395" t="s">
        <v>619</v>
      </c>
      <c r="Q395">
        <v>1</v>
      </c>
      <c r="X395">
        <v>132</v>
      </c>
      <c r="Y395">
        <v>0</v>
      </c>
      <c r="Z395">
        <v>0</v>
      </c>
      <c r="AA395">
        <v>0</v>
      </c>
      <c r="AB395">
        <v>0</v>
      </c>
      <c r="AC395">
        <v>0</v>
      </c>
      <c r="AD395">
        <v>1</v>
      </c>
      <c r="AE395">
        <v>1</v>
      </c>
      <c r="AF395" t="s">
        <v>37</v>
      </c>
      <c r="AG395">
        <v>151.79999999999998</v>
      </c>
      <c r="AH395">
        <v>2</v>
      </c>
      <c r="AI395">
        <v>45038353</v>
      </c>
      <c r="AJ395">
        <v>413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0</v>
      </c>
      <c r="AQ395">
        <v>0</v>
      </c>
      <c r="AR395">
        <v>0</v>
      </c>
    </row>
    <row r="396" spans="1:44" x14ac:dyDescent="0.2">
      <c r="A396">
        <f>ROW(Source!A472)</f>
        <v>472</v>
      </c>
      <c r="B396">
        <v>45038684</v>
      </c>
      <c r="C396">
        <v>45038352</v>
      </c>
      <c r="D396">
        <v>22652952</v>
      </c>
      <c r="E396">
        <v>22652947</v>
      </c>
      <c r="F396">
        <v>1</v>
      </c>
      <c r="G396">
        <v>22652947</v>
      </c>
      <c r="H396">
        <v>1</v>
      </c>
      <c r="I396" t="s">
        <v>617</v>
      </c>
      <c r="J396" t="s">
        <v>3</v>
      </c>
      <c r="K396" t="s">
        <v>618</v>
      </c>
      <c r="L396">
        <v>1191</v>
      </c>
      <c r="N396">
        <v>1013</v>
      </c>
      <c r="O396" t="s">
        <v>619</v>
      </c>
      <c r="P396" t="s">
        <v>619</v>
      </c>
      <c r="Q396">
        <v>1</v>
      </c>
      <c r="X396">
        <v>132</v>
      </c>
      <c r="Y396">
        <v>0</v>
      </c>
      <c r="Z396">
        <v>0</v>
      </c>
      <c r="AA396">
        <v>0</v>
      </c>
      <c r="AB396">
        <v>0</v>
      </c>
      <c r="AC396">
        <v>0</v>
      </c>
      <c r="AD396">
        <v>1</v>
      </c>
      <c r="AE396">
        <v>1</v>
      </c>
      <c r="AF396" t="s">
        <v>37</v>
      </c>
      <c r="AG396">
        <v>151.79999999999998</v>
      </c>
      <c r="AH396">
        <v>2</v>
      </c>
      <c r="AI396">
        <v>45038353</v>
      </c>
      <c r="AJ396">
        <v>415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0</v>
      </c>
    </row>
    <row r="397" spans="1:44" x14ac:dyDescent="0.2">
      <c r="A397">
        <f>ROW(Source!A475)</f>
        <v>475</v>
      </c>
      <c r="B397">
        <v>45038685</v>
      </c>
      <c r="C397">
        <v>45038357</v>
      </c>
      <c r="D397">
        <v>22652952</v>
      </c>
      <c r="E397">
        <v>22652947</v>
      </c>
      <c r="F397">
        <v>1</v>
      </c>
      <c r="G397">
        <v>22652947</v>
      </c>
      <c r="H397">
        <v>1</v>
      </c>
      <c r="I397" t="s">
        <v>617</v>
      </c>
      <c r="J397" t="s">
        <v>3</v>
      </c>
      <c r="K397" t="s">
        <v>618</v>
      </c>
      <c r="L397">
        <v>1191</v>
      </c>
      <c r="N397">
        <v>1013</v>
      </c>
      <c r="O397" t="s">
        <v>619</v>
      </c>
      <c r="P397" t="s">
        <v>619</v>
      </c>
      <c r="Q397">
        <v>1</v>
      </c>
      <c r="X397">
        <v>170.8</v>
      </c>
      <c r="Y397">
        <v>0</v>
      </c>
      <c r="Z397">
        <v>0</v>
      </c>
      <c r="AA397">
        <v>0</v>
      </c>
      <c r="AB397">
        <v>0</v>
      </c>
      <c r="AC397">
        <v>0</v>
      </c>
      <c r="AD397">
        <v>1</v>
      </c>
      <c r="AE397">
        <v>1</v>
      </c>
      <c r="AF397" t="s">
        <v>37</v>
      </c>
      <c r="AG397">
        <v>196.42</v>
      </c>
      <c r="AH397">
        <v>2</v>
      </c>
      <c r="AI397">
        <v>45038358</v>
      </c>
      <c r="AJ397">
        <v>417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0</v>
      </c>
      <c r="AQ397">
        <v>0</v>
      </c>
      <c r="AR397">
        <v>0</v>
      </c>
    </row>
    <row r="398" spans="1:44" x14ac:dyDescent="0.2">
      <c r="A398">
        <f>ROW(Source!A476)</f>
        <v>476</v>
      </c>
      <c r="B398">
        <v>45038685</v>
      </c>
      <c r="C398">
        <v>45038357</v>
      </c>
      <c r="D398">
        <v>22652952</v>
      </c>
      <c r="E398">
        <v>22652947</v>
      </c>
      <c r="F398">
        <v>1</v>
      </c>
      <c r="G398">
        <v>22652947</v>
      </c>
      <c r="H398">
        <v>1</v>
      </c>
      <c r="I398" t="s">
        <v>617</v>
      </c>
      <c r="J398" t="s">
        <v>3</v>
      </c>
      <c r="K398" t="s">
        <v>618</v>
      </c>
      <c r="L398">
        <v>1191</v>
      </c>
      <c r="N398">
        <v>1013</v>
      </c>
      <c r="O398" t="s">
        <v>619</v>
      </c>
      <c r="P398" t="s">
        <v>619</v>
      </c>
      <c r="Q398">
        <v>1</v>
      </c>
      <c r="X398">
        <v>170.8</v>
      </c>
      <c r="Y398">
        <v>0</v>
      </c>
      <c r="Z398">
        <v>0</v>
      </c>
      <c r="AA398">
        <v>0</v>
      </c>
      <c r="AB398">
        <v>0</v>
      </c>
      <c r="AC398">
        <v>0</v>
      </c>
      <c r="AD398">
        <v>1</v>
      </c>
      <c r="AE398">
        <v>1</v>
      </c>
      <c r="AF398" t="s">
        <v>37</v>
      </c>
      <c r="AG398">
        <v>196.42</v>
      </c>
      <c r="AH398">
        <v>2</v>
      </c>
      <c r="AI398">
        <v>45038358</v>
      </c>
      <c r="AJ398">
        <v>420</v>
      </c>
      <c r="AK398">
        <v>0</v>
      </c>
      <c r="AL398">
        <v>0</v>
      </c>
      <c r="AM398">
        <v>0</v>
      </c>
      <c r="AN398">
        <v>0</v>
      </c>
      <c r="AO398">
        <v>0</v>
      </c>
      <c r="AP398">
        <v>0</v>
      </c>
      <c r="AQ398">
        <v>0</v>
      </c>
      <c r="AR398">
        <v>0</v>
      </c>
    </row>
    <row r="399" spans="1:44" x14ac:dyDescent="0.2">
      <c r="A399">
        <f>ROW(Source!A588)</f>
        <v>588</v>
      </c>
      <c r="B399">
        <v>45038686</v>
      </c>
      <c r="C399">
        <v>45038477</v>
      </c>
      <c r="D399">
        <v>22653672</v>
      </c>
      <c r="E399">
        <v>22652947</v>
      </c>
      <c r="F399">
        <v>1</v>
      </c>
      <c r="G399">
        <v>22652947</v>
      </c>
      <c r="H399">
        <v>2</v>
      </c>
      <c r="I399" t="s">
        <v>630</v>
      </c>
      <c r="J399" t="s">
        <v>3</v>
      </c>
      <c r="K399" t="s">
        <v>631</v>
      </c>
      <c r="L399">
        <v>1344</v>
      </c>
      <c r="N399">
        <v>1008</v>
      </c>
      <c r="O399" t="s">
        <v>632</v>
      </c>
      <c r="P399" t="s">
        <v>632</v>
      </c>
      <c r="Q399">
        <v>1</v>
      </c>
      <c r="X399">
        <v>8.86</v>
      </c>
      <c r="Y399">
        <v>0</v>
      </c>
      <c r="Z399">
        <v>1</v>
      </c>
      <c r="AA399">
        <v>0</v>
      </c>
      <c r="AB399">
        <v>0</v>
      </c>
      <c r="AC399">
        <v>0</v>
      </c>
      <c r="AD399">
        <v>1</v>
      </c>
      <c r="AE399">
        <v>0</v>
      </c>
      <c r="AF399" t="s">
        <v>3</v>
      </c>
      <c r="AG399">
        <v>8.86</v>
      </c>
      <c r="AH399">
        <v>2</v>
      </c>
      <c r="AI399">
        <v>45038478</v>
      </c>
      <c r="AJ399">
        <v>423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0</v>
      </c>
    </row>
    <row r="400" spans="1:44" x14ac:dyDescent="0.2">
      <c r="A400">
        <f>ROW(Source!A589)</f>
        <v>589</v>
      </c>
      <c r="B400">
        <v>45038686</v>
      </c>
      <c r="C400">
        <v>45038477</v>
      </c>
      <c r="D400">
        <v>22653672</v>
      </c>
      <c r="E400">
        <v>22652947</v>
      </c>
      <c r="F400">
        <v>1</v>
      </c>
      <c r="G400">
        <v>22652947</v>
      </c>
      <c r="H400">
        <v>2</v>
      </c>
      <c r="I400" t="s">
        <v>630</v>
      </c>
      <c r="J400" t="s">
        <v>3</v>
      </c>
      <c r="K400" t="s">
        <v>631</v>
      </c>
      <c r="L400">
        <v>1344</v>
      </c>
      <c r="N400">
        <v>1008</v>
      </c>
      <c r="O400" t="s">
        <v>632</v>
      </c>
      <c r="P400" t="s">
        <v>632</v>
      </c>
      <c r="Q400">
        <v>1</v>
      </c>
      <c r="X400">
        <v>8.86</v>
      </c>
      <c r="Y400">
        <v>0</v>
      </c>
      <c r="Z400">
        <v>1</v>
      </c>
      <c r="AA400">
        <v>0</v>
      </c>
      <c r="AB400">
        <v>0</v>
      </c>
      <c r="AC400">
        <v>0</v>
      </c>
      <c r="AD400">
        <v>1</v>
      </c>
      <c r="AE400">
        <v>0</v>
      </c>
      <c r="AF400" t="s">
        <v>3</v>
      </c>
      <c r="AG400">
        <v>8.86</v>
      </c>
      <c r="AH400">
        <v>2</v>
      </c>
      <c r="AI400">
        <v>45038478</v>
      </c>
      <c r="AJ400">
        <v>424</v>
      </c>
      <c r="AK400">
        <v>0</v>
      </c>
      <c r="AL400">
        <v>0</v>
      </c>
      <c r="AM400">
        <v>0</v>
      </c>
      <c r="AN400">
        <v>0</v>
      </c>
      <c r="AO400">
        <v>0</v>
      </c>
      <c r="AP400">
        <v>0</v>
      </c>
      <c r="AQ400">
        <v>0</v>
      </c>
      <c r="AR400">
        <v>0</v>
      </c>
    </row>
    <row r="401" spans="1:44" x14ac:dyDescent="0.2">
      <c r="A401">
        <f>ROW(Source!A590)</f>
        <v>590</v>
      </c>
      <c r="B401">
        <v>45038687</v>
      </c>
      <c r="C401">
        <v>45038480</v>
      </c>
      <c r="D401">
        <v>22653672</v>
      </c>
      <c r="E401">
        <v>22652947</v>
      </c>
      <c r="F401">
        <v>1</v>
      </c>
      <c r="G401">
        <v>22652947</v>
      </c>
      <c r="H401">
        <v>2</v>
      </c>
      <c r="I401" t="s">
        <v>630</v>
      </c>
      <c r="J401" t="s">
        <v>3</v>
      </c>
      <c r="K401" t="s">
        <v>631</v>
      </c>
      <c r="L401">
        <v>1344</v>
      </c>
      <c r="N401">
        <v>1008</v>
      </c>
      <c r="O401" t="s">
        <v>632</v>
      </c>
      <c r="P401" t="s">
        <v>632</v>
      </c>
      <c r="Q401">
        <v>1</v>
      </c>
      <c r="X401">
        <v>32.14</v>
      </c>
      <c r="Y401">
        <v>0</v>
      </c>
      <c r="Z401">
        <v>1</v>
      </c>
      <c r="AA401">
        <v>0</v>
      </c>
      <c r="AB401">
        <v>0</v>
      </c>
      <c r="AC401">
        <v>0</v>
      </c>
      <c r="AD401">
        <v>1</v>
      </c>
      <c r="AE401">
        <v>0</v>
      </c>
      <c r="AF401" t="s">
        <v>3</v>
      </c>
      <c r="AG401">
        <v>32.14</v>
      </c>
      <c r="AH401">
        <v>2</v>
      </c>
      <c r="AI401">
        <v>45038481</v>
      </c>
      <c r="AJ401">
        <v>425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0</v>
      </c>
      <c r="AQ401">
        <v>0</v>
      </c>
      <c r="AR401">
        <v>0</v>
      </c>
    </row>
    <row r="402" spans="1:44" x14ac:dyDescent="0.2">
      <c r="A402">
        <f>ROW(Source!A591)</f>
        <v>591</v>
      </c>
      <c r="B402">
        <v>45038687</v>
      </c>
      <c r="C402">
        <v>45038480</v>
      </c>
      <c r="D402">
        <v>22653672</v>
      </c>
      <c r="E402">
        <v>22652947</v>
      </c>
      <c r="F402">
        <v>1</v>
      </c>
      <c r="G402">
        <v>22652947</v>
      </c>
      <c r="H402">
        <v>2</v>
      </c>
      <c r="I402" t="s">
        <v>630</v>
      </c>
      <c r="J402" t="s">
        <v>3</v>
      </c>
      <c r="K402" t="s">
        <v>631</v>
      </c>
      <c r="L402">
        <v>1344</v>
      </c>
      <c r="N402">
        <v>1008</v>
      </c>
      <c r="O402" t="s">
        <v>632</v>
      </c>
      <c r="P402" t="s">
        <v>632</v>
      </c>
      <c r="Q402">
        <v>1</v>
      </c>
      <c r="X402">
        <v>32.14</v>
      </c>
      <c r="Y402">
        <v>0</v>
      </c>
      <c r="Z402">
        <v>1</v>
      </c>
      <c r="AA402">
        <v>0</v>
      </c>
      <c r="AB402">
        <v>0</v>
      </c>
      <c r="AC402">
        <v>0</v>
      </c>
      <c r="AD402">
        <v>1</v>
      </c>
      <c r="AE402">
        <v>0</v>
      </c>
      <c r="AF402" t="s">
        <v>3</v>
      </c>
      <c r="AG402">
        <v>32.14</v>
      </c>
      <c r="AH402">
        <v>2</v>
      </c>
      <c r="AI402">
        <v>45038481</v>
      </c>
      <c r="AJ402">
        <v>426</v>
      </c>
      <c r="AK402">
        <v>0</v>
      </c>
      <c r="AL402">
        <v>0</v>
      </c>
      <c r="AM402">
        <v>0</v>
      </c>
      <c r="AN402">
        <v>0</v>
      </c>
      <c r="AO402">
        <v>0</v>
      </c>
      <c r="AP402">
        <v>0</v>
      </c>
      <c r="AQ402">
        <v>0</v>
      </c>
      <c r="AR402">
        <v>0</v>
      </c>
    </row>
    <row r="403" spans="1:44" x14ac:dyDescent="0.2">
      <c r="A403">
        <f>ROW(Source!A592)</f>
        <v>592</v>
      </c>
      <c r="B403">
        <v>45038688</v>
      </c>
      <c r="C403">
        <v>45038483</v>
      </c>
      <c r="D403">
        <v>22653672</v>
      </c>
      <c r="E403">
        <v>22652947</v>
      </c>
      <c r="F403">
        <v>1</v>
      </c>
      <c r="G403">
        <v>22652947</v>
      </c>
      <c r="H403">
        <v>2</v>
      </c>
      <c r="I403" t="s">
        <v>630</v>
      </c>
      <c r="J403" t="s">
        <v>3</v>
      </c>
      <c r="K403" t="s">
        <v>631</v>
      </c>
      <c r="L403">
        <v>1344</v>
      </c>
      <c r="N403">
        <v>1008</v>
      </c>
      <c r="O403" t="s">
        <v>632</v>
      </c>
      <c r="P403" t="s">
        <v>632</v>
      </c>
      <c r="Q403">
        <v>1</v>
      </c>
      <c r="X403">
        <v>101</v>
      </c>
      <c r="Y403">
        <v>0</v>
      </c>
      <c r="Z403">
        <v>1</v>
      </c>
      <c r="AA403">
        <v>0</v>
      </c>
      <c r="AB403">
        <v>0</v>
      </c>
      <c r="AC403">
        <v>0</v>
      </c>
      <c r="AD403">
        <v>1</v>
      </c>
      <c r="AE403">
        <v>0</v>
      </c>
      <c r="AF403" t="s">
        <v>3</v>
      </c>
      <c r="AG403">
        <v>101</v>
      </c>
      <c r="AH403">
        <v>2</v>
      </c>
      <c r="AI403">
        <v>45038484</v>
      </c>
      <c r="AJ403">
        <v>427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0</v>
      </c>
      <c r="AQ403">
        <v>0</v>
      </c>
      <c r="AR403">
        <v>0</v>
      </c>
    </row>
    <row r="404" spans="1:44" x14ac:dyDescent="0.2">
      <c r="A404">
        <f>ROW(Source!A593)</f>
        <v>593</v>
      </c>
      <c r="B404">
        <v>45038688</v>
      </c>
      <c r="C404">
        <v>45038483</v>
      </c>
      <c r="D404">
        <v>22653672</v>
      </c>
      <c r="E404">
        <v>22652947</v>
      </c>
      <c r="F404">
        <v>1</v>
      </c>
      <c r="G404">
        <v>22652947</v>
      </c>
      <c r="H404">
        <v>2</v>
      </c>
      <c r="I404" t="s">
        <v>630</v>
      </c>
      <c r="J404" t="s">
        <v>3</v>
      </c>
      <c r="K404" t="s">
        <v>631</v>
      </c>
      <c r="L404">
        <v>1344</v>
      </c>
      <c r="N404">
        <v>1008</v>
      </c>
      <c r="O404" t="s">
        <v>632</v>
      </c>
      <c r="P404" t="s">
        <v>632</v>
      </c>
      <c r="Q404">
        <v>1</v>
      </c>
      <c r="X404">
        <v>101</v>
      </c>
      <c r="Y404">
        <v>0</v>
      </c>
      <c r="Z404">
        <v>1</v>
      </c>
      <c r="AA404">
        <v>0</v>
      </c>
      <c r="AB404">
        <v>0</v>
      </c>
      <c r="AC404">
        <v>0</v>
      </c>
      <c r="AD404">
        <v>1</v>
      </c>
      <c r="AE404">
        <v>0</v>
      </c>
      <c r="AF404" t="s">
        <v>3</v>
      </c>
      <c r="AG404">
        <v>101</v>
      </c>
      <c r="AH404">
        <v>2</v>
      </c>
      <c r="AI404">
        <v>45038484</v>
      </c>
      <c r="AJ404">
        <v>428</v>
      </c>
      <c r="AK404">
        <v>0</v>
      </c>
      <c r="AL404">
        <v>0</v>
      </c>
      <c r="AM404">
        <v>0</v>
      </c>
      <c r="AN404">
        <v>0</v>
      </c>
      <c r="AO404">
        <v>0</v>
      </c>
      <c r="AP404">
        <v>0</v>
      </c>
      <c r="AQ404">
        <v>0</v>
      </c>
      <c r="AR404">
        <v>0</v>
      </c>
    </row>
  </sheetData>
  <printOptions gridLines="1"/>
  <pageMargins left="0.75" right="0.75" top="1" bottom="1" header="0.5" footer="0.5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6</vt:i4>
      </vt:variant>
    </vt:vector>
  </HeadingPairs>
  <TitlesOfParts>
    <vt:vector size="14" baseType="lpstr">
      <vt:lpstr>Смета по ТСН-2001</vt:lpstr>
      <vt:lpstr>Дефектная ведомость</vt:lpstr>
      <vt:lpstr>RV_DATA</vt:lpstr>
      <vt:lpstr>Расчет стоимости ресурсов</vt:lpstr>
      <vt:lpstr>Source</vt:lpstr>
      <vt:lpstr>SourceObSm</vt:lpstr>
      <vt:lpstr>SmtRes</vt:lpstr>
      <vt:lpstr>EtalonRes</vt:lpstr>
      <vt:lpstr>'Дефектная ведомость'!Заголовки_для_печати</vt:lpstr>
      <vt:lpstr>'Расчет стоимости ресурсов'!Заголовки_для_печати</vt:lpstr>
      <vt:lpstr>'Смета по ТСН-2001'!Заголовки_для_печати</vt:lpstr>
      <vt:lpstr>'Дефектная ведомость'!Область_печати</vt:lpstr>
      <vt:lpstr>'Расчет стоимости ресурсов'!Область_печати</vt:lpstr>
      <vt:lpstr>'Смета по ТСН-2001'!Область_печати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Кольцов, Павел Андреевич (KRIS120 - KolcovPA)</cp:lastModifiedBy>
  <dcterms:created xsi:type="dcterms:W3CDTF">2018-05-22T14:24:01Z</dcterms:created>
  <dcterms:modified xsi:type="dcterms:W3CDTF">2018-05-23T04:20:08Z</dcterms:modified>
</cp:coreProperties>
</file>