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270" yWindow="4305" windowWidth="15480" windowHeight="4230" firstSheet="1" activeTab="1"/>
  </bookViews>
  <sheets>
    <sheet name="main" sheetId="24110" state="veryHidden" r:id=""/>
    <sheet name="Смета" sheetId="24109" r:id="rId1"/>
  </sheets>
  <definedNames>
    <definedName name="MyRange">#REF!</definedName>
  </definedNames>
  <calcPr calcId="145621"/>
</workbook>
</file>

<file path=xl/calcChain.xml><?xml version="1.0" encoding="utf-8"?>
<calcChain xmlns="http://schemas.openxmlformats.org/spreadsheetml/2006/main">
  <c r="L17" i="24109" l="1"/>
  <c r="L16" i="24109"/>
  <c r="L15" i="24109"/>
  <c r="L14" i="24109"/>
  <c r="L13" i="24109"/>
  <c r="K19" i="24109"/>
  <c r="K15" i="24109"/>
  <c r="K14" i="24109"/>
  <c r="K13" i="24109"/>
  <c r="E69" i="24109"/>
  <c r="F12" i="24109"/>
  <c r="F107" i="24109"/>
  <c r="F106" i="24109"/>
  <c r="H110" i="24109"/>
  <c r="F109" i="24109"/>
  <c r="D109" i="24109"/>
  <c r="F108" i="24109"/>
  <c r="F110" i="24109" s="1"/>
  <c r="D108" i="24109"/>
  <c r="I107" i="24109"/>
  <c r="K107" i="24109" s="1"/>
  <c r="I106" i="24109"/>
  <c r="K106" i="24109" s="1"/>
  <c r="K103" i="24109"/>
  <c r="K102" i="24109"/>
  <c r="K101" i="24109"/>
  <c r="K100" i="24109"/>
  <c r="K99" i="24109"/>
  <c r="K98" i="24109"/>
  <c r="K97" i="24109"/>
  <c r="K96" i="24109"/>
  <c r="K95" i="24109"/>
  <c r="K94" i="24109"/>
  <c r="K93" i="24109"/>
  <c r="K92" i="24109"/>
  <c r="K91" i="24109"/>
  <c r="K90" i="24109"/>
  <c r="K89" i="24109"/>
  <c r="K88" i="24109"/>
  <c r="K87" i="24109"/>
  <c r="K86" i="24109"/>
  <c r="K85" i="24109"/>
  <c r="K84" i="24109"/>
  <c r="K83" i="24109"/>
  <c r="K82" i="24109"/>
  <c r="K81" i="24109"/>
  <c r="K80" i="24109"/>
  <c r="L76" i="24109"/>
  <c r="K76" i="24109"/>
  <c r="J76" i="24109"/>
  <c r="I76" i="24109"/>
  <c r="H76" i="24109"/>
  <c r="G76" i="24109"/>
  <c r="E76" i="24109"/>
  <c r="I63" i="24109"/>
  <c r="J63" i="24109"/>
  <c r="K63" i="24109"/>
  <c r="L63" i="24109"/>
  <c r="H63" i="24109"/>
  <c r="H72" i="24109"/>
  <c r="H71" i="24109"/>
  <c r="A68" i="24109"/>
  <c r="A67" i="24109"/>
  <c r="L64" i="24109"/>
  <c r="L65" i="24109" s="1"/>
  <c r="L66" i="24109" s="1"/>
  <c r="L67" i="24109" s="1"/>
  <c r="L68" i="24109" s="1"/>
  <c r="K64" i="24109"/>
  <c r="K65" i="24109" s="1"/>
  <c r="K66" i="24109" s="1"/>
  <c r="K67" i="24109" s="1"/>
  <c r="K68" i="24109" s="1"/>
  <c r="J64" i="24109"/>
  <c r="J65" i="24109" s="1"/>
  <c r="J66" i="24109" s="1"/>
  <c r="J67" i="24109" s="1"/>
  <c r="J68" i="24109" s="1"/>
  <c r="I64" i="24109"/>
  <c r="I65" i="24109" s="1"/>
  <c r="I66" i="24109" s="1"/>
  <c r="I67" i="24109" s="1"/>
  <c r="I68" i="24109" s="1"/>
  <c r="H64" i="24109"/>
  <c r="G63" i="24109"/>
  <c r="O62" i="24109"/>
  <c r="N62" i="24109"/>
  <c r="M62" i="24109"/>
  <c r="L62" i="24109"/>
  <c r="K62" i="24109"/>
  <c r="J62" i="24109"/>
  <c r="I62" i="24109"/>
  <c r="H62" i="24109"/>
  <c r="G62" i="24109"/>
  <c r="D62" i="24109"/>
  <c r="A62" i="24109"/>
  <c r="O60" i="24109"/>
  <c r="N60" i="24109"/>
  <c r="M60" i="24109"/>
  <c r="L60" i="24109"/>
  <c r="K60" i="24109"/>
  <c r="J60" i="24109"/>
  <c r="I60" i="24109"/>
  <c r="H60" i="24109"/>
  <c r="G60" i="24109"/>
  <c r="D60" i="24109"/>
  <c r="A60" i="24109"/>
  <c r="O58" i="24109"/>
  <c r="N58" i="24109"/>
  <c r="M58" i="24109"/>
  <c r="L58" i="24109"/>
  <c r="K58" i="24109"/>
  <c r="J58" i="24109"/>
  <c r="I58" i="24109"/>
  <c r="H58" i="24109"/>
  <c r="G58" i="24109"/>
  <c r="D58" i="24109"/>
  <c r="A58" i="24109"/>
  <c r="O56" i="24109"/>
  <c r="N56" i="24109"/>
  <c r="M56" i="24109"/>
  <c r="L56" i="24109"/>
  <c r="K56" i="24109"/>
  <c r="J56" i="24109"/>
  <c r="I56" i="24109"/>
  <c r="H56" i="24109"/>
  <c r="G56" i="24109"/>
  <c r="D56" i="24109"/>
  <c r="A56" i="24109"/>
  <c r="O54" i="24109"/>
  <c r="N54" i="24109"/>
  <c r="M54" i="24109"/>
  <c r="L54" i="24109"/>
  <c r="K54" i="24109"/>
  <c r="J54" i="24109"/>
  <c r="I54" i="24109"/>
  <c r="H54" i="24109"/>
  <c r="G54" i="24109"/>
  <c r="D54" i="24109"/>
  <c r="A54" i="24109"/>
  <c r="O52" i="24109"/>
  <c r="N52" i="24109"/>
  <c r="M52" i="24109"/>
  <c r="L52" i="24109"/>
  <c r="K52" i="24109"/>
  <c r="J52" i="24109"/>
  <c r="I52" i="24109"/>
  <c r="H52" i="24109"/>
  <c r="G52" i="24109"/>
  <c r="D52" i="24109"/>
  <c r="A52" i="24109"/>
  <c r="O50" i="24109"/>
  <c r="N50" i="24109"/>
  <c r="M50" i="24109"/>
  <c r="L50" i="24109"/>
  <c r="K50" i="24109"/>
  <c r="J50" i="24109"/>
  <c r="I50" i="24109"/>
  <c r="H50" i="24109"/>
  <c r="G50" i="24109"/>
  <c r="D50" i="24109"/>
  <c r="A50" i="24109"/>
  <c r="O48" i="24109"/>
  <c r="N48" i="24109"/>
  <c r="M48" i="24109"/>
  <c r="L48" i="24109"/>
  <c r="K48" i="24109"/>
  <c r="J48" i="24109"/>
  <c r="I48" i="24109"/>
  <c r="H48" i="24109"/>
  <c r="G48" i="24109"/>
  <c r="D48" i="24109"/>
  <c r="A48" i="24109"/>
  <c r="O46" i="24109"/>
  <c r="N46" i="24109"/>
  <c r="M46" i="24109"/>
  <c r="L46" i="24109"/>
  <c r="K46" i="24109"/>
  <c r="J46" i="24109"/>
  <c r="I46" i="24109"/>
  <c r="H46" i="24109"/>
  <c r="G46" i="24109"/>
  <c r="D46" i="24109"/>
  <c r="A46" i="24109"/>
  <c r="O44" i="24109"/>
  <c r="N44" i="24109"/>
  <c r="M44" i="24109"/>
  <c r="L44" i="24109"/>
  <c r="K44" i="24109"/>
  <c r="J44" i="24109"/>
  <c r="I44" i="24109"/>
  <c r="H44" i="24109"/>
  <c r="G44" i="24109"/>
  <c r="D44" i="24109"/>
  <c r="A44" i="24109"/>
  <c r="O42" i="24109"/>
  <c r="N42" i="24109"/>
  <c r="M42" i="24109"/>
  <c r="L42" i="24109"/>
  <c r="K42" i="24109"/>
  <c r="J42" i="24109"/>
  <c r="I42" i="24109"/>
  <c r="H42" i="24109"/>
  <c r="G42" i="24109"/>
  <c r="D42" i="24109"/>
  <c r="A42" i="24109"/>
  <c r="O40" i="24109"/>
  <c r="N40" i="24109"/>
  <c r="M40" i="24109"/>
  <c r="L40" i="24109"/>
  <c r="K40" i="24109"/>
  <c r="J40" i="24109"/>
  <c r="I40" i="24109"/>
  <c r="H40" i="24109"/>
  <c r="G40" i="24109"/>
  <c r="D40" i="24109"/>
  <c r="A40" i="24109"/>
  <c r="O38" i="24109"/>
  <c r="N38" i="24109"/>
  <c r="M38" i="24109"/>
  <c r="L38" i="24109"/>
  <c r="K38" i="24109"/>
  <c r="J38" i="24109"/>
  <c r="I38" i="24109"/>
  <c r="H38" i="24109"/>
  <c r="G38" i="24109"/>
  <c r="D38" i="24109"/>
  <c r="A38" i="24109"/>
  <c r="O36" i="24109"/>
  <c r="N36" i="24109"/>
  <c r="M36" i="24109"/>
  <c r="L36" i="24109"/>
  <c r="K36" i="24109"/>
  <c r="J36" i="24109"/>
  <c r="I36" i="24109"/>
  <c r="H36" i="24109"/>
  <c r="G36" i="24109"/>
  <c r="D36" i="24109"/>
  <c r="A36" i="24109"/>
  <c r="O34" i="24109"/>
  <c r="N34" i="24109"/>
  <c r="M34" i="24109"/>
  <c r="L34" i="24109"/>
  <c r="K34" i="24109"/>
  <c r="J34" i="24109"/>
  <c r="I34" i="24109"/>
  <c r="H34" i="24109"/>
  <c r="G34" i="24109"/>
  <c r="D34" i="24109"/>
  <c r="A34" i="24109"/>
  <c r="O32" i="24109"/>
  <c r="N32" i="24109"/>
  <c r="M32" i="24109"/>
  <c r="L32" i="24109"/>
  <c r="K32" i="24109"/>
  <c r="J32" i="24109"/>
  <c r="I32" i="24109"/>
  <c r="H32" i="24109"/>
  <c r="G32" i="24109"/>
  <c r="D32" i="24109"/>
  <c r="A32" i="24109"/>
  <c r="O30" i="24109"/>
  <c r="N30" i="24109"/>
  <c r="M30" i="24109"/>
  <c r="L30" i="24109"/>
  <c r="K30" i="24109"/>
  <c r="J30" i="24109"/>
  <c r="I30" i="24109"/>
  <c r="H30" i="24109"/>
  <c r="G30" i="24109"/>
  <c r="D30" i="24109"/>
  <c r="A30" i="24109"/>
  <c r="O28" i="24109"/>
  <c r="N28" i="24109"/>
  <c r="M28" i="24109"/>
  <c r="L28" i="24109"/>
  <c r="K28" i="24109"/>
  <c r="J28" i="24109"/>
  <c r="I28" i="24109"/>
  <c r="H28" i="24109"/>
  <c r="G28" i="24109"/>
  <c r="D28" i="24109"/>
  <c r="A28" i="24109"/>
  <c r="O26" i="24109"/>
  <c r="N26" i="24109"/>
  <c r="M26" i="24109"/>
  <c r="L26" i="24109"/>
  <c r="K26" i="24109"/>
  <c r="J26" i="24109"/>
  <c r="I26" i="24109"/>
  <c r="H26" i="24109"/>
  <c r="G26" i="24109"/>
  <c r="D26" i="24109"/>
  <c r="A26" i="24109"/>
  <c r="D22" i="24109"/>
  <c r="C22" i="24109"/>
  <c r="B22" i="24109"/>
  <c r="L19" i="24109"/>
  <c r="A19" i="24109"/>
  <c r="A18" i="24109"/>
  <c r="I2" i="24109"/>
  <c r="I110" i="24109" l="1"/>
  <c r="K110" i="24109" s="1"/>
  <c r="H65" i="24109"/>
  <c r="G64" i="24109"/>
  <c r="H66" i="24109" l="1"/>
  <c r="G65" i="24109"/>
  <c r="H67" i="24109" l="1"/>
  <c r="G66" i="24109"/>
  <c r="B67" i="24109" s="1"/>
  <c r="H68" i="24109" l="1"/>
  <c r="G67" i="24109"/>
  <c r="G70" i="24109" l="1"/>
  <c r="G68" i="24109"/>
  <c r="G72" i="24109" l="1"/>
  <c r="A72" i="24109"/>
  <c r="G71" i="24109"/>
  <c r="G73" i="24109" s="1"/>
  <c r="A71" i="24109"/>
  <c r="A73" i="24109" l="1"/>
</calcChain>
</file>

<file path=xl/sharedStrings.xml><?xml version="1.0" encoding="utf-8"?>
<sst xmlns="http://schemas.openxmlformats.org/spreadsheetml/2006/main" count="182" uniqueCount="144">
  <si>
    <t>"Утверждаю"</t>
  </si>
  <si>
    <t>Заказчик:</t>
  </si>
  <si>
    <t/>
  </si>
  <si>
    <t>Подрядчик:</t>
  </si>
  <si>
    <t>Объект:</t>
  </si>
  <si>
    <t>Адрес:</t>
  </si>
  <si>
    <t>Договор №</t>
  </si>
  <si>
    <t>МП</t>
  </si>
  <si>
    <t>ЭМ</t>
  </si>
  <si>
    <t xml:space="preserve">Средства на оплату труда (руб) - </t>
  </si>
  <si>
    <t>Наименование работ и затрат</t>
  </si>
  <si>
    <t>Кол-во</t>
  </si>
  <si>
    <t>№</t>
  </si>
  <si>
    <t>Ед.изм.</t>
  </si>
  <si>
    <t>шт.</t>
  </si>
  <si>
    <t xml:space="preserve">Нормативная трудоемкость (чел-ч.) - </t>
  </si>
  <si>
    <t xml:space="preserve">   Расшифровка условных сокращений </t>
  </si>
  <si>
    <t>Заказчик</t>
  </si>
  <si>
    <t>Цены поставщика оборудования</t>
  </si>
  <si>
    <t>*</t>
  </si>
  <si>
    <t>Цены завода-изготовителя</t>
  </si>
  <si>
    <t>Цена</t>
  </si>
  <si>
    <t xml:space="preserve">Подрядчик </t>
  </si>
  <si>
    <t>Ставка НДС</t>
  </si>
  <si>
    <t xml:space="preserve">Сумма НДС </t>
  </si>
  <si>
    <t xml:space="preserve"> Стоимость без НДС</t>
  </si>
  <si>
    <t>ИТОГИ ПО СМЕТЕ  :</t>
  </si>
  <si>
    <t>Стоимость (руб)</t>
  </si>
  <si>
    <t xml:space="preserve">Стоимость материальных ресурсов по разделу без НДС = </t>
  </si>
  <si>
    <t>НР</t>
  </si>
  <si>
    <t>СП</t>
  </si>
  <si>
    <t>ФОТ</t>
  </si>
  <si>
    <t xml:space="preserve">Сводная таблица сметных затрат  </t>
  </si>
  <si>
    <r>
      <t xml:space="preserve">Ind= </t>
    </r>
    <r>
      <rPr>
        <b/>
        <i/>
        <sz val="10"/>
        <rFont val="Arial Narrow"/>
        <family val="2"/>
        <charset val="204"/>
      </rPr>
      <t>►</t>
    </r>
  </si>
  <si>
    <t>Всего по смете</t>
  </si>
  <si>
    <t>МАТ</t>
  </si>
  <si>
    <r>
      <t>ПЗ</t>
    </r>
    <r>
      <rPr>
        <sz val="10"/>
        <rFont val="Arial Narrow"/>
        <family val="2"/>
        <charset val="204"/>
      </rPr>
      <t xml:space="preserve"> - </t>
    </r>
    <r>
      <rPr>
        <i/>
        <sz val="10"/>
        <rFont val="Arial Narrow"/>
        <family val="2"/>
        <charset val="204"/>
      </rPr>
      <t>прямые затраты</t>
    </r>
    <r>
      <rPr>
        <sz val="10"/>
        <rFont val="Arial Narrow"/>
        <family val="2"/>
        <charset val="204"/>
      </rPr>
      <t xml:space="preserve"> = (ОЗП + ЭМ + МАТ)</t>
    </r>
  </si>
  <si>
    <r>
      <t>ЭМ</t>
    </r>
    <r>
      <rPr>
        <sz val="10"/>
        <rFont val="Arial Narrow"/>
        <family val="2"/>
        <charset val="204"/>
      </rPr>
      <t xml:space="preserve"> - </t>
    </r>
    <r>
      <rPr>
        <i/>
        <sz val="10"/>
        <rFont val="Arial Narrow"/>
        <family val="2"/>
        <charset val="204"/>
      </rPr>
      <t xml:space="preserve">затраты на эксплуатацию машин и механизмов, </t>
    </r>
    <r>
      <rPr>
        <b/>
        <sz val="10"/>
        <rFont val="Arial Narrow"/>
        <family val="2"/>
        <charset val="204"/>
      </rPr>
      <t>ЗПМ</t>
    </r>
    <r>
      <rPr>
        <i/>
        <sz val="10"/>
        <rFont val="Arial Narrow"/>
        <family val="2"/>
        <charset val="204"/>
      </rPr>
      <t xml:space="preserve"> - в т.ч. зарплата машинистов</t>
    </r>
  </si>
  <si>
    <t>должность, фамилия и.о., подпись</t>
  </si>
  <si>
    <t xml:space="preserve">ТЗ </t>
  </si>
  <si>
    <t>Единица измерения</t>
  </si>
  <si>
    <r>
      <t xml:space="preserve">ФОТ </t>
    </r>
    <r>
      <rPr>
        <i/>
        <sz val="10"/>
        <color indexed="8"/>
        <rFont val="Arial Narrow"/>
        <family val="2"/>
        <charset val="204"/>
      </rPr>
      <t>- фонд оплаты труда,</t>
    </r>
    <r>
      <rPr>
        <b/>
        <sz val="10"/>
        <color indexed="8"/>
        <rFont val="Arial Narrow"/>
        <family val="2"/>
        <charset val="204"/>
      </rPr>
      <t xml:space="preserve"> ТЗ</t>
    </r>
    <r>
      <rPr>
        <i/>
        <sz val="10"/>
        <color indexed="8"/>
        <rFont val="Arial Narrow"/>
        <family val="2"/>
        <charset val="204"/>
      </rPr>
      <t xml:space="preserve"> - нормативная трудоемкость (трудозатраты),чел-ч.</t>
    </r>
  </si>
  <si>
    <t>С учетом особых условий производства работ (ОЗП, ЗПМ)  х</t>
  </si>
  <si>
    <t xml:space="preserve">    С учетом стесненных условий работ (ОЗП, ЗПМ)  х</t>
  </si>
  <si>
    <t xml:space="preserve">           </t>
  </si>
  <si>
    <t xml:space="preserve"> Коэффициенты пересчета базовых цен на   </t>
  </si>
  <si>
    <t>Всего</t>
  </si>
  <si>
    <r>
      <t>МАТ</t>
    </r>
    <r>
      <rPr>
        <b/>
        <i/>
        <sz val="10"/>
        <rFont val="Arial Narrow"/>
        <family val="2"/>
        <charset val="204"/>
      </rPr>
      <t xml:space="preserve"> - </t>
    </r>
    <r>
      <rPr>
        <i/>
        <sz val="10"/>
        <rFont val="Arial Narrow"/>
        <family val="2"/>
        <charset val="204"/>
      </rPr>
      <t>материальные затраты, учтенные в расценках работ</t>
    </r>
  </si>
  <si>
    <t>Раздел:  Материальные ресурсы, не учтенные в ценниках:</t>
  </si>
  <si>
    <t>Сметная стоимость работ без учета оборудования =</t>
  </si>
  <si>
    <t>Сметная стоимость, (руб) =</t>
  </si>
  <si>
    <t xml:space="preserve">ОБОСНО-ВАНИЕ </t>
  </si>
  <si>
    <t>Количество</t>
  </si>
  <si>
    <t>С учетом районного коэффициента  (ОЗП, ЗПМ)  х</t>
  </si>
  <si>
    <r>
      <t xml:space="preserve"> Материальные ресурсы</t>
    </r>
    <r>
      <rPr>
        <sz val="9.5"/>
        <rFont val="Arial Cyr"/>
        <charset val="204"/>
      </rPr>
      <t xml:space="preserve">, не учтенные в ценниках =   </t>
    </r>
  </si>
  <si>
    <t xml:space="preserve">                         Итого прямые затраты в уровне базовых цен 2000г. = (ОЗП + ЭМ + МАТ)</t>
  </si>
  <si>
    <t>Наименование</t>
  </si>
  <si>
    <t>№
пп</t>
  </si>
  <si>
    <r>
      <t>Сметная стоимость с учетом понижающего коэффициента -</t>
    </r>
    <r>
      <rPr>
        <b/>
        <i/>
        <u/>
        <sz val="10"/>
        <color indexed="9"/>
        <rFont val="Arial Narrow"/>
        <family val="2"/>
        <charset val="204"/>
      </rPr>
      <t>.</t>
    </r>
  </si>
  <si>
    <t xml:space="preserve">в т. ч. фонд оплаты труда (ФОТ) = ОЗП+ЗПМ =   </t>
  </si>
  <si>
    <r>
      <t>ОЗП</t>
    </r>
    <r>
      <rPr>
        <sz val="10"/>
        <rFont val="Arial Narrow"/>
        <family val="2"/>
        <charset val="204"/>
      </rPr>
      <t xml:space="preserve"> </t>
    </r>
    <r>
      <rPr>
        <i/>
        <sz val="10"/>
        <rFont val="Arial Narrow"/>
        <family val="2"/>
        <charset val="204"/>
      </rPr>
      <t>- основная заработная плата рабочих</t>
    </r>
  </si>
  <si>
    <r>
      <t xml:space="preserve">Осн/Зп
</t>
    </r>
    <r>
      <rPr>
        <sz val="9"/>
        <rFont val="Arial Cyr"/>
        <charset val="204"/>
      </rPr>
      <t xml:space="preserve">(ОЗП) </t>
    </r>
  </si>
  <si>
    <r>
      <t xml:space="preserve">Эк.Маш
</t>
    </r>
    <r>
      <rPr>
        <sz val="9"/>
        <rFont val="Arial Cyr"/>
        <charset val="204"/>
      </rPr>
      <t xml:space="preserve">(ЭМ) </t>
    </r>
  </si>
  <si>
    <r>
      <t xml:space="preserve">Зп.Мех
</t>
    </r>
    <r>
      <rPr>
        <sz val="9"/>
        <rFont val="Arial Cyr"/>
        <charset val="204"/>
      </rPr>
      <t>(ЗПМ)</t>
    </r>
  </si>
  <si>
    <t xml:space="preserve">МАТ
</t>
  </si>
  <si>
    <r>
      <t xml:space="preserve">Затраты на единицу измерения
</t>
    </r>
    <r>
      <rPr>
        <b/>
        <sz val="9"/>
        <rFont val="Arial Cyr"/>
        <charset val="204"/>
      </rPr>
      <t>Общая сметная стоимость</t>
    </r>
    <r>
      <rPr>
        <sz val="9"/>
        <rFont val="Arial Cyr"/>
        <charset val="204"/>
      </rPr>
      <t xml:space="preserve">                                                    </t>
    </r>
  </si>
  <si>
    <t>Трудо-затраты</t>
  </si>
  <si>
    <t>Всего, руб</t>
  </si>
  <si>
    <t>Раздел: Электромонтажные работы по Сб.ФЕРм-2001</t>
  </si>
  <si>
    <t>10-08-001-02</t>
  </si>
  <si>
    <t>Концентратор ОПС, блок  базовый на 20 лучей</t>
  </si>
  <si>
    <t>шт</t>
  </si>
  <si>
    <t>10-08-001-08</t>
  </si>
  <si>
    <t>Прибор ОПС на 4 луча (С2000-4)</t>
  </si>
  <si>
    <t>10-08-003-04</t>
  </si>
  <si>
    <t>Преобразователь ультразвуковой (излучатель или приемник)</t>
  </si>
  <si>
    <t>10-08-001-01</t>
  </si>
  <si>
    <t>Концентратор ПС, блок  базовый на 10 лучей (С2000М)</t>
  </si>
  <si>
    <t>10-08-003-03</t>
  </si>
  <si>
    <t>Блок питания и контроля</t>
  </si>
  <si>
    <t>08-01-121-01</t>
  </si>
  <si>
    <t>Аккумулятор кислотный стационарный С-1, СК-1</t>
  </si>
  <si>
    <t>10-08-002-02</t>
  </si>
  <si>
    <t>Извещатель дымовой, фото/эл, радиоиз, световой  (ИП 212-141)</t>
  </si>
  <si>
    <t xml:space="preserve">10-04-101-10 </t>
  </si>
  <si>
    <t>Ключ или кнопка на панели (ИПР 513-10)</t>
  </si>
  <si>
    <t>08-01-081-01</t>
  </si>
  <si>
    <t>Звуковой  сигнал, сигн. лампа (МАЯК 12 КП)</t>
  </si>
  <si>
    <t xml:space="preserve">10-04-066-05 </t>
  </si>
  <si>
    <t>Звонок (сирена оповещения) (МАЯК 3М)</t>
  </si>
  <si>
    <t xml:space="preserve">10-04-101-15 </t>
  </si>
  <si>
    <t>Световое табло (Молния 12 В)</t>
  </si>
  <si>
    <t xml:space="preserve">10-04-066-04 </t>
  </si>
  <si>
    <t>Коробка кабельная соединит.или разветвит. (КС 4; КРТП 10)</t>
  </si>
  <si>
    <t xml:space="preserve">10-01-055-03 </t>
  </si>
  <si>
    <t>Прокладка кабеля по бетон.стене</t>
  </si>
  <si>
    <t>100м</t>
  </si>
  <si>
    <t>08-02-411-01</t>
  </si>
  <si>
    <t>Металлорукав  диаметром до 48мм</t>
  </si>
  <si>
    <t>08-02-412-01</t>
  </si>
  <si>
    <t xml:space="preserve">Затягивание провода в трубу (металлорукав) </t>
  </si>
  <si>
    <t>08-02-390-01</t>
  </si>
  <si>
    <t>Короб пластмассовый шириной до 40 мм</t>
  </si>
  <si>
    <t>08-02-399-01</t>
  </si>
  <si>
    <t>Провод в коробах, сечением: до 6 мм2</t>
  </si>
  <si>
    <t>10-08-001-13</t>
  </si>
  <si>
    <t>Устройство промежуточное на 1 луч (УШК-01 (ВУОС))</t>
  </si>
  <si>
    <t xml:space="preserve">10-06-037-13 </t>
  </si>
  <si>
    <t xml:space="preserve">Крышка декорат.и др.мелкие изделия </t>
  </si>
  <si>
    <t>Сигнал-20П-SMD пластик</t>
  </si>
  <si>
    <t>С 2000-4</t>
  </si>
  <si>
    <t>С 2000-РПИ</t>
  </si>
  <si>
    <t>С 2000-М</t>
  </si>
  <si>
    <t>ББП 30 исп 1.</t>
  </si>
  <si>
    <t>АКБ 12/7 (5шт/кор.)</t>
  </si>
  <si>
    <t>ДИП-141</t>
  </si>
  <si>
    <t>ИПР-513-10</t>
  </si>
  <si>
    <t>МАЯК-12-КП</t>
  </si>
  <si>
    <t>МАЯК-12-3М</t>
  </si>
  <si>
    <t>Молния-12В ВЫХОД</t>
  </si>
  <si>
    <t>КС-4 (винт)</t>
  </si>
  <si>
    <t>КРТП-10</t>
  </si>
  <si>
    <t>КПСВВнг-LS 1х2х0,5</t>
  </si>
  <si>
    <t>м.</t>
  </si>
  <si>
    <t>КСВВнг-LS 2х0,5 (500 м)</t>
  </si>
  <si>
    <t>КСВВнг-LS 4х0,5 (200 м)</t>
  </si>
  <si>
    <t>ШВВП 3*0,75</t>
  </si>
  <si>
    <t>Металлорукав 20 мм (50м)</t>
  </si>
  <si>
    <t>Короб 20*10 (DeGross) (100м/уп)</t>
  </si>
  <si>
    <t>Короб 40*16 (DeGross) (80м/уп)</t>
  </si>
  <si>
    <t>УШК-01 (ВУОС)</t>
  </si>
  <si>
    <t>КМЧ-1 (для ИП 212 41М пластм)</t>
  </si>
  <si>
    <t>Расходные материалы (Крепеж, изоляция, разъемы, стальная проволока и т.д.</t>
  </si>
  <si>
    <t>ед.</t>
  </si>
  <si>
    <t>***</t>
  </si>
  <si>
    <t>ООО "Атолл-техно", г. Красноярск, ул. Семафорная, д.329, оф.24</t>
  </si>
  <si>
    <t>Склады</t>
  </si>
  <si>
    <t xml:space="preserve">г. Красноярск, ул. 60 лет Октября, 136 А </t>
  </si>
  <si>
    <t>ЛОКАЛЬНЫЙ СМЕТНЫЙ РАСЧЕТ №  
 Локальная смета:</t>
  </si>
  <si>
    <t>Расчет сметной стоимости выполнен  по состоянию на 14.11.2012</t>
  </si>
  <si>
    <t xml:space="preserve">  от 14.11.2012</t>
  </si>
  <si>
    <t>Монтаж охранно-пожарной сигнализации</t>
  </si>
  <si>
    <t>Основание: Техническое задание</t>
  </si>
  <si>
    <t xml:space="preserve">  Исполнительный директор Р.С. Холмов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</si>
</sst>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"/>
    <numFmt numFmtId="168" formatCode="#,##0.00;\-#,##0.00"/>
    <numFmt numFmtId="188" formatCode="#,##0.000"/>
    <numFmt numFmtId="189" formatCode="#,##0.0000"/>
    <numFmt numFmtId="197" formatCode="yyyy&quot;г.&quot;"/>
    <numFmt numFmtId="200" formatCode="0.0##%"/>
    <numFmt numFmtId="204" formatCode="0.0#%"/>
  </numFmts>
  <fonts count="66" x14ac:knownFonts="1">
    <font>
      <sz val="10"/>
      <name val="Arial Cyr"/>
      <charset val="204"/>
    </font>
    <font>
      <sz val="10"/>
      <name val="Arial Cyr"/>
      <charset val="204"/>
    </font>
    <font>
      <b/>
      <shadow/>
      <sz val="10"/>
      <name val="Arial cyr"/>
      <charset val="204"/>
    </font>
    <font>
      <sz val="11"/>
      <name val="Arial Cyr"/>
      <charset val="204"/>
    </font>
    <font>
      <b/>
      <shadow/>
      <sz val="14"/>
      <name val="Arial cyr"/>
      <charset val="204"/>
    </font>
    <font>
      <b/>
      <i/>
      <sz val="10"/>
      <name val="Arial Cyr"/>
      <charset val="204"/>
    </font>
    <font>
      <sz val="8"/>
      <name val="Arial Cyr"/>
      <family val="2"/>
      <charset val="204"/>
    </font>
    <font>
      <b/>
      <sz val="9"/>
      <name val="Arial Cyr"/>
      <family val="2"/>
      <charset val="204"/>
    </font>
    <font>
      <b/>
      <sz val="10"/>
      <name val="Arial Cyr"/>
      <charset val="204"/>
    </font>
    <font>
      <b/>
      <sz val="9"/>
      <color indexed="8"/>
      <name val="Arial Cyr"/>
      <family val="2"/>
      <charset val="204"/>
    </font>
    <font>
      <sz val="9"/>
      <name val="Arial Cyr"/>
      <charset val="204"/>
    </font>
    <font>
      <sz val="9"/>
      <name val="Arial Cyr"/>
      <family val="2"/>
      <charset val="204"/>
    </font>
    <font>
      <b/>
      <sz val="9"/>
      <name val="Arial Cyr"/>
      <charset val="204"/>
    </font>
    <font>
      <b/>
      <sz val="10"/>
      <name val="Arial Cyr"/>
      <family val="2"/>
      <charset val="204"/>
    </font>
    <font>
      <b/>
      <i/>
      <sz val="9"/>
      <name val="Arial Cyr"/>
      <family val="2"/>
      <charset val="204"/>
    </font>
    <font>
      <sz val="8"/>
      <name val="Arial Cyr"/>
      <charset val="204"/>
    </font>
    <font>
      <shadow/>
      <sz val="9"/>
      <name val="Arial Cyr"/>
      <charset val="204"/>
    </font>
    <font>
      <sz val="10"/>
      <name val="Arial Cyr"/>
      <family val="2"/>
      <charset val="204"/>
    </font>
    <font>
      <b/>
      <i/>
      <sz val="9"/>
      <name val="Arial Cyr"/>
      <charset val="204"/>
    </font>
    <font>
      <b/>
      <sz val="9"/>
      <color indexed="8"/>
      <name val="Arial Cyr"/>
      <charset val="204"/>
    </font>
    <font>
      <sz val="10"/>
      <name val="Arial Narrow"/>
      <family val="2"/>
      <charset val="204"/>
    </font>
    <font>
      <b/>
      <i/>
      <sz val="10"/>
      <name val="Arial Narrow"/>
      <family val="2"/>
      <charset val="204"/>
    </font>
    <font>
      <b/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0"/>
      <name val="Arial Narrow"/>
      <family val="2"/>
    </font>
    <font>
      <b/>
      <i/>
      <shadow/>
      <sz val="10"/>
      <name val="Arial Narrow"/>
      <family val="2"/>
    </font>
    <font>
      <b/>
      <sz val="9"/>
      <name val="Arial Narrow"/>
      <family val="2"/>
      <charset val="204"/>
    </font>
    <font>
      <b/>
      <sz val="10"/>
      <name val="Arial"/>
      <family val="2"/>
      <charset val="204"/>
    </font>
    <font>
      <b/>
      <i/>
      <shadow/>
      <sz val="10"/>
      <name val="Arial Narrow"/>
      <family val="2"/>
      <charset val="204"/>
    </font>
    <font>
      <sz val="10"/>
      <color indexed="10"/>
      <name val="Arial Cyr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  <font>
      <b/>
      <sz val="9"/>
      <color indexed="8"/>
      <name val="Arial Narrow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Arial Narrow"/>
      <family val="2"/>
      <charset val="204"/>
    </font>
    <font>
      <b/>
      <shadow/>
      <sz val="10.5"/>
      <name val="Arial Narrow"/>
      <family val="2"/>
    </font>
    <font>
      <b/>
      <i/>
      <sz val="9.5"/>
      <name val="Arial Cyr"/>
      <charset val="204"/>
    </font>
    <font>
      <b/>
      <sz val="9.5"/>
      <name val="Arial Narrow"/>
      <family val="2"/>
      <charset val="204"/>
    </font>
    <font>
      <b/>
      <sz val="9.5"/>
      <name val="Arial Narrow"/>
      <family val="2"/>
    </font>
    <font>
      <sz val="7"/>
      <name val="Arial Cyr"/>
      <charset val="204"/>
    </font>
    <font>
      <b/>
      <sz val="10"/>
      <name val="Arial Narrow"/>
      <family val="2"/>
    </font>
    <font>
      <b/>
      <sz val="10"/>
      <color indexed="9"/>
      <name val="Arial Narrow"/>
      <family val="2"/>
      <charset val="204"/>
    </font>
    <font>
      <sz val="9.5"/>
      <name val="Arial Cyr"/>
      <charset val="204"/>
    </font>
    <font>
      <i/>
      <sz val="10"/>
      <color indexed="8"/>
      <name val="Arial Narrow"/>
      <family val="2"/>
      <charset val="204"/>
    </font>
    <font>
      <i/>
      <sz val="10"/>
      <name val="Arial"/>
      <family val="2"/>
      <charset val="204"/>
    </font>
    <font>
      <sz val="10"/>
      <color indexed="9"/>
      <name val="Arial Cyr"/>
      <family val="2"/>
      <charset val="204"/>
    </font>
    <font>
      <sz val="10"/>
      <color indexed="43"/>
      <name val="Arial Cyr"/>
      <charset val="204"/>
    </font>
    <font>
      <sz val="10"/>
      <color indexed="9"/>
      <name val="Arial Cyr"/>
      <charset val="204"/>
    </font>
    <font>
      <b/>
      <sz val="9.5"/>
      <color indexed="10"/>
      <name val="Arial Narrow"/>
      <family val="2"/>
      <charset val="204"/>
    </font>
    <font>
      <i/>
      <sz val="10"/>
      <color indexed="10"/>
      <name val="Arial Narrow"/>
      <family val="2"/>
      <charset val="204"/>
    </font>
    <font>
      <sz val="9.5"/>
      <name val="Arial Narrow"/>
      <family val="2"/>
      <charset val="204"/>
    </font>
    <font>
      <b/>
      <sz val="10"/>
      <color indexed="8"/>
      <name val="Arial Narrow"/>
      <family val="2"/>
    </font>
    <font>
      <i/>
      <sz val="9"/>
      <name val="Arial Cyr"/>
      <family val="2"/>
      <charset val="204"/>
    </font>
    <font>
      <b/>
      <i/>
      <sz val="10"/>
      <color indexed="8"/>
      <name val="Arial Narrow"/>
      <family val="2"/>
    </font>
    <font>
      <b/>
      <i/>
      <sz val="10"/>
      <color indexed="8"/>
      <name val="Arial Narrow"/>
      <family val="2"/>
      <charset val="204"/>
    </font>
    <font>
      <sz val="9.5"/>
      <color indexed="8"/>
      <name val="Arial Cyr"/>
      <charset val="204"/>
    </font>
    <font>
      <b/>
      <i/>
      <u/>
      <sz val="10"/>
      <color indexed="8"/>
      <name val="Arial Narrow"/>
      <family val="2"/>
      <charset val="204"/>
    </font>
    <font>
      <b/>
      <sz val="8"/>
      <name val="Arial"/>
      <family val="2"/>
    </font>
    <font>
      <b/>
      <i/>
      <u/>
      <sz val="10"/>
      <color indexed="9"/>
      <name val="Arial Narrow"/>
      <family val="2"/>
      <charset val="204"/>
    </font>
    <font>
      <sz val="8"/>
      <color indexed="9"/>
      <name val="Arial Cyr"/>
      <charset val="204"/>
    </font>
    <font>
      <sz val="8"/>
      <color indexed="9"/>
      <name val="Arial"/>
      <family val="2"/>
      <charset val="204"/>
    </font>
    <font>
      <b/>
      <i/>
      <sz val="12"/>
      <name val="Arial Cyr"/>
      <charset val="204"/>
    </font>
    <font>
      <b/>
      <shadow/>
      <sz val="11"/>
      <name val="Arial cyr"/>
      <charset val="204"/>
    </font>
    <font>
      <sz val="8"/>
      <color indexed="12"/>
      <name val="Arial Cyr"/>
      <charset val="204"/>
    </font>
    <font>
      <b/>
      <sz val="9"/>
      <color indexed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26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Continuous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2" fontId="18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2" fillId="0" borderId="4" xfId="0" applyFont="1" applyBorder="1" applyAlignment="1">
      <alignment horizontal="center" vertical="center" wrapText="1"/>
    </xf>
    <xf numFmtId="0" fontId="0" fillId="2" borderId="0" xfId="0" applyFill="1" applyAlignment="1">
      <alignment horizontal="right" wrapText="1"/>
    </xf>
    <xf numFmtId="0" fontId="15" fillId="2" borderId="0" xfId="0" applyFont="1" applyFill="1" applyBorder="1" applyAlignment="1">
      <alignment vertical="top"/>
    </xf>
    <xf numFmtId="0" fontId="0" fillId="2" borderId="0" xfId="0" applyFill="1" applyAlignment="1">
      <alignment horizont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0" fillId="2" borderId="6" xfId="0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Border="1" applyAlignment="1">
      <alignment horizontal="right" vertical="center"/>
    </xf>
    <xf numFmtId="0" fontId="15" fillId="3" borderId="2" xfId="0" applyFont="1" applyFill="1" applyBorder="1" applyAlignment="1">
      <alignment horizontal="center" vertical="center" wrapText="1"/>
    </xf>
    <xf numFmtId="4" fontId="21" fillId="0" borderId="0" xfId="0" applyNumberFormat="1" applyFont="1" applyAlignment="1">
      <alignment horizontal="right" vertical="center"/>
    </xf>
    <xf numFmtId="4" fontId="28" fillId="0" borderId="0" xfId="0" applyNumberFormat="1" applyFont="1" applyAlignment="1">
      <alignment horizontal="right" vertical="center"/>
    </xf>
    <xf numFmtId="4" fontId="28" fillId="0" borderId="0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right" vertical="center"/>
    </xf>
    <xf numFmtId="0" fontId="29" fillId="0" borderId="0" xfId="0" applyFont="1" applyAlignment="1">
      <alignment horizontal="centerContinuous"/>
    </xf>
    <xf numFmtId="0" fontId="8" fillId="2" borderId="8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right" vertical="center" wrapText="1"/>
    </xf>
    <xf numFmtId="0" fontId="33" fillId="0" borderId="0" xfId="0" applyFont="1" applyFill="1" applyBorder="1" applyAlignment="1">
      <alignment horizontal="right" vertical="center" wrapText="1"/>
    </xf>
    <xf numFmtId="0" fontId="34" fillId="0" borderId="0" xfId="0" applyFont="1"/>
    <xf numFmtId="0" fontId="21" fillId="0" borderId="0" xfId="0" applyFont="1" applyAlignment="1">
      <alignment horizontal="right" vertical="center"/>
    </xf>
    <xf numFmtId="4" fontId="22" fillId="2" borderId="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6" fillId="0" borderId="0" xfId="0" applyFont="1" applyAlignment="1">
      <alignment horizontal="right" vertical="center"/>
    </xf>
    <xf numFmtId="2" fontId="38" fillId="0" borderId="2" xfId="0" applyNumberFormat="1" applyFont="1" applyBorder="1" applyAlignment="1">
      <alignment horizontal="center" vertical="center"/>
    </xf>
    <xf numFmtId="0" fontId="32" fillId="2" borderId="10" xfId="0" applyFont="1" applyFill="1" applyBorder="1" applyAlignment="1">
      <alignment horizontal="right" vertical="center" wrapText="1"/>
    </xf>
    <xf numFmtId="0" fontId="30" fillId="2" borderId="11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center"/>
    </xf>
    <xf numFmtId="0" fontId="13" fillId="2" borderId="12" xfId="0" applyFont="1" applyFill="1" applyBorder="1" applyAlignment="1">
      <alignment horizontal="center" vertical="center" wrapText="1"/>
    </xf>
    <xf numFmtId="4" fontId="22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4" fontId="22" fillId="2" borderId="16" xfId="0" applyNumberFormat="1" applyFont="1" applyFill="1" applyBorder="1" applyAlignment="1">
      <alignment horizontal="center" vertical="center"/>
    </xf>
    <xf numFmtId="4" fontId="22" fillId="2" borderId="17" xfId="0" applyNumberFormat="1" applyFont="1" applyFill="1" applyBorder="1" applyAlignment="1">
      <alignment horizontal="center" vertical="center"/>
    </xf>
    <xf numFmtId="4" fontId="22" fillId="2" borderId="0" xfId="0" applyNumberFormat="1" applyFont="1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Continuous" vertical="center"/>
    </xf>
    <xf numFmtId="168" fontId="1" fillId="3" borderId="2" xfId="0" applyNumberFormat="1" applyFont="1" applyFill="1" applyBorder="1" applyAlignment="1">
      <alignment horizontal="centerContinuous" vertical="center"/>
    </xf>
    <xf numFmtId="2" fontId="1" fillId="5" borderId="18" xfId="0" applyNumberFormat="1" applyFont="1" applyFill="1" applyBorder="1" applyAlignment="1">
      <alignment horizontal="centerContinuous" vertical="center"/>
    </xf>
    <xf numFmtId="2" fontId="1" fillId="5" borderId="19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top" wrapText="1"/>
    </xf>
    <xf numFmtId="2" fontId="7" fillId="2" borderId="12" xfId="0" applyNumberFormat="1" applyFont="1" applyFill="1" applyBorder="1" applyAlignment="1">
      <alignment horizontal="left" vertical="center"/>
    </xf>
    <xf numFmtId="4" fontId="38" fillId="2" borderId="10" xfId="0" applyNumberFormat="1" applyFont="1" applyFill="1" applyBorder="1" applyAlignment="1">
      <alignment horizontal="center" vertical="center"/>
    </xf>
    <xf numFmtId="4" fontId="38" fillId="0" borderId="2" xfId="0" applyNumberFormat="1" applyFont="1" applyFill="1" applyBorder="1" applyAlignment="1">
      <alignment horizontal="center" vertical="center"/>
    </xf>
    <xf numFmtId="4" fontId="38" fillId="0" borderId="2" xfId="0" applyNumberFormat="1" applyFont="1" applyBorder="1" applyAlignment="1">
      <alignment horizontal="center" vertical="center" wrapText="1"/>
    </xf>
    <xf numFmtId="4" fontId="16" fillId="2" borderId="0" xfId="0" applyNumberFormat="1" applyFont="1" applyFill="1" applyAlignment="1">
      <alignment horizontal="left" vertical="center"/>
    </xf>
    <xf numFmtId="4" fontId="38" fillId="2" borderId="10" xfId="2" applyNumberFormat="1" applyFont="1" applyFill="1" applyBorder="1" applyAlignment="1">
      <alignment horizontal="center" vertical="center"/>
    </xf>
    <xf numFmtId="4" fontId="38" fillId="2" borderId="2" xfId="0" applyNumberFormat="1" applyFont="1" applyFill="1" applyBorder="1" applyAlignment="1">
      <alignment horizontal="center" vertical="center" wrapText="1"/>
    </xf>
    <xf numFmtId="2" fontId="12" fillId="0" borderId="20" xfId="0" applyNumberFormat="1" applyFont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wrapText="1"/>
    </xf>
    <xf numFmtId="9" fontId="8" fillId="2" borderId="12" xfId="0" applyNumberFormat="1" applyFont="1" applyFill="1" applyBorder="1" applyAlignment="1">
      <alignment horizontal="center" vertical="center" wrapText="1"/>
    </xf>
    <xf numFmtId="9" fontId="42" fillId="2" borderId="0" xfId="0" applyNumberFormat="1" applyFont="1" applyFill="1" applyBorder="1" applyAlignment="1">
      <alignment horizontal="center" vertical="center" wrapText="1"/>
    </xf>
    <xf numFmtId="9" fontId="42" fillId="2" borderId="0" xfId="0" applyNumberFormat="1" applyFont="1" applyFill="1" applyBorder="1" applyAlignment="1">
      <alignment horizontal="center" vertical="center"/>
    </xf>
    <xf numFmtId="9" fontId="4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7" fillId="2" borderId="0" xfId="0" applyFont="1" applyFill="1" applyBorder="1" applyAlignment="1">
      <alignment horizontal="right" vertical="center"/>
    </xf>
    <xf numFmtId="2" fontId="27" fillId="2" borderId="0" xfId="0" applyNumberFormat="1" applyFont="1" applyFill="1" applyBorder="1" applyAlignment="1">
      <alignment horizontal="center" vertical="center"/>
    </xf>
    <xf numFmtId="2" fontId="27" fillId="2" borderId="0" xfId="0" applyNumberFormat="1" applyFont="1" applyFill="1" applyBorder="1" applyAlignment="1">
      <alignment horizontal="right" vertical="center"/>
    </xf>
    <xf numFmtId="4" fontId="39" fillId="0" borderId="2" xfId="0" applyNumberFormat="1" applyFont="1" applyFill="1" applyBorder="1" applyAlignment="1">
      <alignment horizontal="center" vertical="center"/>
    </xf>
    <xf numFmtId="4" fontId="39" fillId="0" borderId="2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43" fillId="2" borderId="0" xfId="0" applyFont="1" applyFill="1" applyAlignment="1">
      <alignment horizontal="left" vertical="center"/>
    </xf>
    <xf numFmtId="0" fontId="43" fillId="2" borderId="0" xfId="0" applyFont="1" applyFill="1" applyAlignment="1">
      <alignment horizontal="center" vertical="center" wrapText="1"/>
    </xf>
    <xf numFmtId="0" fontId="4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right" vertical="center" wrapText="1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2" fontId="10" fillId="2" borderId="0" xfId="0" applyNumberFormat="1" applyFont="1" applyFill="1" applyAlignment="1">
      <alignment horizontal="right" vertical="center"/>
    </xf>
    <xf numFmtId="168" fontId="10" fillId="2" borderId="0" xfId="0" applyNumberFormat="1" applyFont="1" applyFill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4" fontId="10" fillId="2" borderId="0" xfId="0" applyNumberFormat="1" applyFont="1" applyFill="1" applyAlignment="1">
      <alignment horizontal="right" vertical="center"/>
    </xf>
    <xf numFmtId="0" fontId="17" fillId="2" borderId="22" xfId="0" applyFont="1" applyFill="1" applyBorder="1" applyAlignment="1">
      <alignment horizontal="right" vertical="center" wrapText="1"/>
    </xf>
    <xf numFmtId="0" fontId="11" fillId="2" borderId="22" xfId="0" applyFont="1" applyFill="1" applyBorder="1" applyAlignment="1">
      <alignment horizontal="left" vertical="center"/>
    </xf>
    <xf numFmtId="0" fontId="11" fillId="2" borderId="22" xfId="0" applyFont="1" applyFill="1" applyBorder="1" applyAlignment="1">
      <alignment horizontal="center" vertical="center" wrapText="1"/>
    </xf>
    <xf numFmtId="2" fontId="10" fillId="2" borderId="22" xfId="0" applyNumberFormat="1" applyFont="1" applyFill="1" applyBorder="1" applyAlignment="1">
      <alignment horizontal="right" vertical="center"/>
    </xf>
    <xf numFmtId="168" fontId="10" fillId="2" borderId="22" xfId="0" applyNumberFormat="1" applyFont="1" applyFill="1" applyBorder="1" applyAlignment="1">
      <alignment horizontal="right" vertical="center"/>
    </xf>
    <xf numFmtId="0" fontId="10" fillId="2" borderId="22" xfId="0" applyFont="1" applyFill="1" applyBorder="1" applyAlignment="1">
      <alignment horizontal="center" vertical="center"/>
    </xf>
    <xf numFmtId="2" fontId="1" fillId="2" borderId="22" xfId="0" applyNumberFormat="1" applyFont="1" applyFill="1" applyBorder="1" applyAlignment="1">
      <alignment horizontal="right" vertical="center"/>
    </xf>
    <xf numFmtId="0" fontId="43" fillId="2" borderId="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48" fillId="0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0" fontId="46" fillId="0" borderId="3" xfId="0" applyNumberFormat="1" applyFont="1" applyBorder="1" applyAlignment="1">
      <alignment horizontal="center" wrapText="1"/>
    </xf>
    <xf numFmtId="0" fontId="20" fillId="0" borderId="0" xfId="0" applyFont="1" applyAlignment="1">
      <alignment wrapText="1"/>
    </xf>
    <xf numFmtId="0" fontId="29" fillId="2" borderId="0" xfId="0" applyFont="1" applyFill="1" applyBorder="1" applyAlignment="1">
      <alignment horizontal="center" vertical="center" wrapText="1"/>
    </xf>
    <xf numFmtId="0" fontId="43" fillId="2" borderId="0" xfId="0" applyFont="1" applyFill="1" applyBorder="1" applyAlignment="1">
      <alignment vertical="center" wrapText="1"/>
    </xf>
    <xf numFmtId="1" fontId="29" fillId="2" borderId="13" xfId="0" applyNumberFormat="1" applyFont="1" applyFill="1" applyBorder="1" applyAlignment="1">
      <alignment horizontal="center" vertical="center" wrapText="1"/>
    </xf>
    <xf numFmtId="4" fontId="51" fillId="2" borderId="11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right" wrapText="1"/>
    </xf>
    <xf numFmtId="0" fontId="6" fillId="2" borderId="0" xfId="0" applyFont="1" applyFill="1" applyBorder="1" applyAlignment="1">
      <alignment horizontal="left"/>
    </xf>
    <xf numFmtId="4" fontId="51" fillId="2" borderId="24" xfId="0" applyNumberFormat="1" applyFont="1" applyFill="1" applyBorder="1" applyAlignment="1">
      <alignment horizontal="center" vertical="center" wrapText="1"/>
    </xf>
    <xf numFmtId="4" fontId="38" fillId="2" borderId="2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4" fontId="27" fillId="2" borderId="0" xfId="0" applyNumberFormat="1" applyFont="1" applyFill="1" applyBorder="1" applyAlignment="1">
      <alignment vertical="center"/>
    </xf>
    <xf numFmtId="2" fontId="45" fillId="2" borderId="0" xfId="0" applyNumberFormat="1" applyFont="1" applyFill="1" applyBorder="1" applyAlignment="1">
      <alignment vertical="center"/>
    </xf>
    <xf numFmtId="4" fontId="1" fillId="2" borderId="0" xfId="0" applyNumberFormat="1" applyFont="1" applyFill="1" applyBorder="1" applyAlignment="1">
      <alignment horizontal="center" vertical="top" wrapText="1"/>
    </xf>
    <xf numFmtId="4" fontId="7" fillId="2" borderId="0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50" fillId="0" borderId="0" xfId="0" applyFont="1" applyAlignment="1">
      <alignment vertical="center"/>
    </xf>
    <xf numFmtId="0" fontId="55" fillId="0" borderId="0" xfId="0" applyFont="1" applyAlignment="1">
      <alignment horizontal="right" vertical="center"/>
    </xf>
    <xf numFmtId="0" fontId="48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4" fontId="54" fillId="0" borderId="0" xfId="0" applyNumberFormat="1" applyFont="1" applyAlignment="1">
      <alignment horizontal="right" vertical="center"/>
    </xf>
    <xf numFmtId="4" fontId="31" fillId="2" borderId="25" xfId="0" applyNumberFormat="1" applyFont="1" applyFill="1" applyBorder="1" applyAlignment="1">
      <alignment horizontal="center" vertical="center"/>
    </xf>
    <xf numFmtId="4" fontId="38" fillId="2" borderId="2" xfId="0" applyNumberFormat="1" applyFont="1" applyFill="1" applyBorder="1" applyAlignment="1">
      <alignment horizontal="center" vertical="center"/>
    </xf>
    <xf numFmtId="0" fontId="56" fillId="2" borderId="23" xfId="0" applyFont="1" applyFill="1" applyBorder="1" applyAlignment="1">
      <alignment horizontal="right" vertical="center" indent="1"/>
    </xf>
    <xf numFmtId="0" fontId="43" fillId="2" borderId="0" xfId="0" applyFont="1" applyFill="1" applyAlignment="1">
      <alignment horizontal="right" vertical="center" indent="1"/>
    </xf>
    <xf numFmtId="0" fontId="5" fillId="2" borderId="0" xfId="0" applyFont="1" applyFill="1" applyBorder="1" applyAlignment="1">
      <alignment horizontal="right" vertical="center" indent="1"/>
    </xf>
    <xf numFmtId="0" fontId="57" fillId="0" borderId="0" xfId="0" applyFont="1" applyBorder="1" applyAlignment="1">
      <alignment horizontal="right" vertical="center"/>
    </xf>
    <xf numFmtId="189" fontId="22" fillId="0" borderId="3" xfId="0" applyNumberFormat="1" applyFont="1" applyBorder="1" applyAlignment="1">
      <alignment horizontal="center" vertical="center" wrapText="1"/>
    </xf>
    <xf numFmtId="4" fontId="1" fillId="2" borderId="15" xfId="0" applyNumberFormat="1" applyFont="1" applyFill="1" applyBorder="1" applyAlignment="1">
      <alignment vertical="center" wrapText="1"/>
    </xf>
    <xf numFmtId="197" fontId="0" fillId="0" borderId="0" xfId="0" applyNumberFormat="1" applyBorder="1" applyAlignment="1">
      <alignment horizontal="center"/>
    </xf>
    <xf numFmtId="2" fontId="12" fillId="2" borderId="12" xfId="0" applyNumberFormat="1" applyFont="1" applyFill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49" fontId="12" fillId="6" borderId="11" xfId="0" applyNumberFormat="1" applyFont="1" applyFill="1" applyBorder="1" applyAlignment="1">
      <alignment horizontal="center" vertical="center" wrapText="1"/>
    </xf>
    <xf numFmtId="49" fontId="8" fillId="6" borderId="11" xfId="0" applyNumberFormat="1" applyFont="1" applyFill="1" applyBorder="1" applyAlignment="1">
      <alignment horizontal="center" vertical="center" wrapText="1"/>
    </xf>
    <xf numFmtId="0" fontId="47" fillId="6" borderId="13" xfId="0" applyNumberFormat="1" applyFont="1" applyFill="1" applyBorder="1" applyAlignment="1">
      <alignment horizontal="center"/>
    </xf>
    <xf numFmtId="0" fontId="12" fillId="6" borderId="2" xfId="0" applyNumberFormat="1" applyFont="1" applyFill="1" applyBorder="1" applyAlignment="1">
      <alignment horizontal="center" vertical="center" wrapText="1"/>
    </xf>
    <xf numFmtId="0" fontId="10" fillId="6" borderId="10" xfId="0" applyNumberFormat="1" applyFont="1" applyFill="1" applyBorder="1" applyAlignment="1">
      <alignment vertical="center"/>
    </xf>
    <xf numFmtId="49" fontId="9" fillId="6" borderId="21" xfId="0" applyNumberFormat="1" applyFont="1" applyFill="1" applyBorder="1" applyAlignment="1">
      <alignment horizontal="center" vertical="center"/>
    </xf>
    <xf numFmtId="4" fontId="54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/>
    <xf numFmtId="2" fontId="32" fillId="0" borderId="13" xfId="0" applyNumberFormat="1" applyFont="1" applyBorder="1" applyAlignment="1">
      <alignment vertical="center"/>
    </xf>
    <xf numFmtId="164" fontId="32" fillId="0" borderId="0" xfId="0" applyNumberFormat="1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200" fontId="7" fillId="2" borderId="12" xfId="0" applyNumberFormat="1" applyFont="1" applyFill="1" applyBorder="1" applyAlignment="1">
      <alignment horizontal="left" vertical="center"/>
    </xf>
    <xf numFmtId="200" fontId="31" fillId="2" borderId="12" xfId="1" applyNumberFormat="1" applyFont="1" applyFill="1" applyBorder="1" applyAlignment="1">
      <alignment horizontal="left" vertical="center" shrinkToFit="1"/>
    </xf>
    <xf numFmtId="204" fontId="43" fillId="2" borderId="0" xfId="0" applyNumberFormat="1" applyFont="1" applyFill="1" applyAlignment="1">
      <alignment horizontal="left" vertical="center" wrapText="1"/>
    </xf>
    <xf numFmtId="1" fontId="10" fillId="4" borderId="27" xfId="0" applyNumberFormat="1" applyFont="1" applyFill="1" applyBorder="1" applyAlignment="1">
      <alignment horizontal="center" vertical="center"/>
    </xf>
    <xf numFmtId="168" fontId="30" fillId="4" borderId="27" xfId="0" applyNumberFormat="1" applyFont="1" applyFill="1" applyBorder="1" applyAlignment="1">
      <alignment horizontal="center" vertical="center"/>
    </xf>
    <xf numFmtId="2" fontId="22" fillId="4" borderId="27" xfId="0" applyNumberFormat="1" applyFont="1" applyFill="1" applyBorder="1" applyAlignment="1">
      <alignment horizontal="right" vertical="center" indent="1"/>
    </xf>
    <xf numFmtId="4" fontId="22" fillId="4" borderId="27" xfId="0" applyNumberFormat="1" applyFont="1" applyFill="1" applyBorder="1" applyAlignment="1">
      <alignment horizontal="right" vertical="center"/>
    </xf>
    <xf numFmtId="4" fontId="61" fillId="2" borderId="13" xfId="0" applyNumberFormat="1" applyFont="1" applyFill="1" applyBorder="1" applyAlignment="1">
      <alignment vertical="center"/>
    </xf>
    <xf numFmtId="0" fontId="60" fillId="2" borderId="0" xfId="0" applyFont="1" applyFill="1" applyAlignment="1">
      <alignment horizontal="center" wrapText="1"/>
    </xf>
    <xf numFmtId="13" fontId="40" fillId="2" borderId="0" xfId="0" applyNumberFormat="1" applyFont="1" applyFill="1" applyAlignment="1">
      <alignment horizontal="right" vertical="center" wrapText="1"/>
    </xf>
    <xf numFmtId="188" fontId="65" fillId="2" borderId="0" xfId="0" applyNumberFormat="1" applyFont="1" applyFill="1" applyBorder="1" applyAlignment="1">
      <alignment horizontal="center" vertical="center"/>
    </xf>
    <xf numFmtId="49" fontId="12" fillId="6" borderId="10" xfId="0" applyNumberFormat="1" applyFont="1" applyFill="1" applyBorder="1" applyAlignment="1">
      <alignment horizontal="center" vertical="center" wrapText="1"/>
    </xf>
    <xf numFmtId="49" fontId="7" fillId="6" borderId="10" xfId="0" applyNumberFormat="1" applyFont="1" applyFill="1" applyBorder="1" applyAlignment="1">
      <alignment horizontal="center" vertical="center" wrapText="1"/>
    </xf>
    <xf numFmtId="49" fontId="12" fillId="6" borderId="2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9" fontId="60" fillId="0" borderId="0" xfId="0" applyNumberFormat="1" applyFont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shrinkToFit="1"/>
    </xf>
    <xf numFmtId="4" fontId="8" fillId="2" borderId="12" xfId="0" applyNumberFormat="1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4" fontId="41" fillId="2" borderId="31" xfId="0" applyNumberFormat="1" applyFont="1" applyFill="1" applyBorder="1" applyAlignment="1">
      <alignment horizontal="center" vertical="center"/>
    </xf>
    <xf numFmtId="4" fontId="41" fillId="2" borderId="32" xfId="0" applyNumberFormat="1" applyFont="1" applyFill="1" applyBorder="1" applyAlignment="1">
      <alignment horizontal="center" vertical="center"/>
    </xf>
    <xf numFmtId="2" fontId="49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4" fontId="22" fillId="2" borderId="35" xfId="0" applyNumberFormat="1" applyFont="1" applyFill="1" applyBorder="1" applyAlignment="1">
      <alignment horizontal="center" vertical="center"/>
    </xf>
    <xf numFmtId="4" fontId="22" fillId="2" borderId="16" xfId="0" applyNumberFormat="1" applyFont="1" applyFill="1" applyBorder="1" applyAlignment="1">
      <alignment horizontal="center" vertical="center"/>
    </xf>
    <xf numFmtId="4" fontId="52" fillId="2" borderId="36" xfId="0" applyNumberFormat="1" applyFont="1" applyFill="1" applyBorder="1" applyAlignment="1">
      <alignment horizontal="center" vertical="center" wrapText="1"/>
    </xf>
    <xf numFmtId="4" fontId="52" fillId="2" borderId="37" xfId="0" applyNumberFormat="1" applyFont="1" applyFill="1" applyBorder="1" applyAlignment="1">
      <alignment horizontal="center" vertical="center" wrapText="1"/>
    </xf>
    <xf numFmtId="4" fontId="42" fillId="2" borderId="0" xfId="0" applyNumberFormat="1" applyFont="1" applyFill="1" applyBorder="1" applyAlignment="1">
      <alignment horizontal="center" vertical="center" shrinkToFit="1"/>
    </xf>
    <xf numFmtId="4" fontId="42" fillId="2" borderId="0" xfId="0" applyNumberFormat="1" applyFont="1" applyFill="1" applyBorder="1" applyAlignment="1">
      <alignment horizontal="center" vertical="center" wrapText="1"/>
    </xf>
    <xf numFmtId="4" fontId="42" fillId="2" borderId="1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wrapText="1"/>
    </xf>
    <xf numFmtId="4" fontId="41" fillId="2" borderId="38" xfId="0" applyNumberFormat="1" applyFont="1" applyFill="1" applyBorder="1" applyAlignment="1">
      <alignment horizontal="center" vertical="center" wrapText="1"/>
    </xf>
    <xf numFmtId="4" fontId="41" fillId="2" borderId="39" xfId="0" applyNumberFormat="1" applyFont="1" applyFill="1" applyBorder="1" applyAlignment="1">
      <alignment horizontal="center" vertical="center" wrapText="1"/>
    </xf>
    <xf numFmtId="4" fontId="42" fillId="2" borderId="1" xfId="0" applyNumberFormat="1" applyFont="1" applyFill="1" applyBorder="1" applyAlignment="1">
      <alignment horizontal="center" vertical="center" wrapText="1"/>
    </xf>
    <xf numFmtId="4" fontId="42" fillId="2" borderId="0" xfId="0" applyNumberFormat="1" applyFont="1" applyFill="1" applyBorder="1" applyAlignment="1">
      <alignment horizontal="center" vertical="center"/>
    </xf>
    <xf numFmtId="4" fontId="41" fillId="2" borderId="33" xfId="0" applyNumberFormat="1" applyFont="1" applyFill="1" applyBorder="1" applyAlignment="1">
      <alignment horizontal="center" vertical="center"/>
    </xf>
    <xf numFmtId="4" fontId="41" fillId="2" borderId="34" xfId="0" applyNumberFormat="1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top"/>
    </xf>
    <xf numFmtId="0" fontId="0" fillId="2" borderId="0" xfId="0" applyFill="1" applyAlignment="1">
      <alignment horizontal="right" wrapText="1"/>
    </xf>
    <xf numFmtId="0" fontId="0" fillId="2" borderId="0" xfId="0" applyFill="1" applyBorder="1" applyAlignment="1">
      <alignment horizontal="left" wrapText="1"/>
    </xf>
    <xf numFmtId="2" fontId="1" fillId="5" borderId="3" xfId="0" applyNumberFormat="1" applyFont="1" applyFill="1" applyBorder="1" applyAlignment="1">
      <alignment horizontal="center" vertical="center"/>
    </xf>
    <xf numFmtId="2" fontId="1" fillId="5" borderId="12" xfId="0" applyNumberFormat="1" applyFont="1" applyFill="1" applyBorder="1" applyAlignment="1">
      <alignment horizontal="center" vertical="center"/>
    </xf>
    <xf numFmtId="4" fontId="22" fillId="2" borderId="22" xfId="0" applyNumberFormat="1" applyFont="1" applyFill="1" applyBorder="1" applyAlignment="1">
      <alignment horizontal="right" vertical="center" indent="1"/>
    </xf>
    <xf numFmtId="4" fontId="22" fillId="4" borderId="27" xfId="0" applyNumberFormat="1" applyFont="1" applyFill="1" applyBorder="1" applyAlignment="1">
      <alignment horizontal="right" vertical="center" indent="1"/>
    </xf>
    <xf numFmtId="2" fontId="10" fillId="3" borderId="3" xfId="0" applyNumberFormat="1" applyFont="1" applyFill="1" applyBorder="1" applyAlignment="1">
      <alignment horizontal="center" vertical="center"/>
    </xf>
    <xf numFmtId="2" fontId="10" fillId="3" borderId="28" xfId="0" applyNumberFormat="1" applyFont="1" applyFill="1" applyBorder="1" applyAlignment="1">
      <alignment horizontal="center" vertical="center"/>
    </xf>
    <xf numFmtId="2" fontId="10" fillId="3" borderId="12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right" vertical="center"/>
    </xf>
    <xf numFmtId="0" fontId="11" fillId="2" borderId="28" xfId="0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right" vertical="center" wrapText="1"/>
    </xf>
    <xf numFmtId="0" fontId="10" fillId="2" borderId="28" xfId="0" applyFont="1" applyFill="1" applyBorder="1" applyAlignment="1">
      <alignment horizontal="right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right" vertical="center"/>
    </xf>
    <xf numFmtId="0" fontId="30" fillId="2" borderId="28" xfId="0" applyFont="1" applyFill="1" applyBorder="1" applyAlignment="1">
      <alignment horizontal="right" vertical="center"/>
    </xf>
    <xf numFmtId="0" fontId="32" fillId="2" borderId="0" xfId="0" applyFont="1" applyFill="1" applyBorder="1" applyAlignment="1">
      <alignment horizontal="right" vertical="center"/>
    </xf>
    <xf numFmtId="0" fontId="32" fillId="2" borderId="14" xfId="0" applyFont="1" applyFill="1" applyBorder="1" applyAlignment="1">
      <alignment horizontal="right" vertical="center"/>
    </xf>
    <xf numFmtId="2" fontId="10" fillId="0" borderId="28" xfId="0" applyNumberFormat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49" fontId="31" fillId="6" borderId="21" xfId="0" applyNumberFormat="1" applyFont="1" applyFill="1" applyBorder="1" applyAlignment="1">
      <alignment horizontal="center" vertical="center" wrapText="1"/>
    </xf>
    <xf numFmtId="49" fontId="31" fillId="6" borderId="30" xfId="0" applyNumberFormat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2" fillId="0" borderId="0" xfId="0" applyFont="1" applyAlignment="1">
      <alignment horizont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11" fontId="12" fillId="0" borderId="0" xfId="0" applyNumberFormat="1" applyFont="1" applyFill="1" applyBorder="1" applyAlignment="1">
      <alignment horizontal="left" vertical="center" wrapText="1"/>
    </xf>
    <xf numFmtId="49" fontId="10" fillId="6" borderId="3" xfId="0" applyNumberFormat="1" applyFont="1" applyFill="1" applyBorder="1" applyAlignment="1">
      <alignment horizontal="center" vertical="center" wrapText="1"/>
    </xf>
    <xf numFmtId="49" fontId="10" fillId="6" borderId="28" xfId="0" applyNumberFormat="1" applyFont="1" applyFill="1" applyBorder="1" applyAlignment="1">
      <alignment horizontal="center" vertical="center" wrapText="1"/>
    </xf>
    <xf numFmtId="49" fontId="10" fillId="6" borderId="12" xfId="0" applyNumberFormat="1" applyFont="1" applyFill="1" applyBorder="1" applyAlignment="1">
      <alignment horizontal="center" vertical="center" wrapText="1"/>
    </xf>
    <xf numFmtId="0" fontId="63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right" vertical="center"/>
    </xf>
    <xf numFmtId="0" fontId="10" fillId="2" borderId="28" xfId="0" applyFont="1" applyFill="1" applyBorder="1" applyAlignment="1">
      <alignment horizontal="right" vertical="center"/>
    </xf>
    <xf numFmtId="0" fontId="26" fillId="2" borderId="3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 wrapText="1"/>
    </xf>
    <xf numFmtId="0" fontId="30" fillId="0" borderId="28" xfId="0" applyFont="1" applyBorder="1"/>
    <xf numFmtId="0" fontId="30" fillId="0" borderId="3" xfId="0" applyFont="1" applyBorder="1" applyAlignment="1">
      <alignment horizontal="right" vertical="center" wrapText="1" indent="1"/>
    </xf>
    <xf numFmtId="0" fontId="30" fillId="0" borderId="28" xfId="0" applyFont="1" applyBorder="1" applyAlignment="1">
      <alignment horizontal="right" vertical="center" wrapText="1" indent="1"/>
    </xf>
    <xf numFmtId="0" fontId="30" fillId="0" borderId="12" xfId="0" applyFont="1" applyBorder="1" applyAlignment="1">
      <alignment horizontal="right" vertical="center" wrapText="1" indent="1"/>
    </xf>
    <xf numFmtId="49" fontId="58" fillId="6" borderId="24" xfId="0" applyNumberFormat="1" applyFont="1" applyFill="1" applyBorder="1" applyAlignment="1">
      <alignment horizontal="center" vertical="center" wrapText="1"/>
    </xf>
    <xf numFmtId="49" fontId="58" fillId="6" borderId="29" xfId="0" applyNumberFormat="1" applyFont="1" applyFill="1" applyBorder="1" applyAlignment="1">
      <alignment horizontal="center" vertical="center" wrapText="1"/>
    </xf>
    <xf numFmtId="49" fontId="30" fillId="6" borderId="3" xfId="0" applyNumberFormat="1" applyFont="1" applyFill="1" applyBorder="1" applyAlignment="1">
      <alignment horizontal="center" vertical="center" wrapText="1"/>
    </xf>
    <xf numFmtId="49" fontId="30" fillId="6" borderId="12" xfId="0" applyNumberFormat="1" applyFont="1" applyFill="1" applyBorder="1" applyAlignment="1">
      <alignment horizontal="center" vertical="center" wrapText="1"/>
    </xf>
    <xf numFmtId="4" fontId="14" fillId="2" borderId="0" xfId="0" applyNumberFormat="1" applyFont="1" applyFill="1" applyBorder="1" applyAlignment="1">
      <alignment horizontal="right" vertical="center" wrapText="1"/>
    </xf>
    <xf numFmtId="4" fontId="53" fillId="2" borderId="0" xfId="0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right" vertical="center"/>
    </xf>
    <xf numFmtId="9" fontId="64" fillId="0" borderId="0" xfId="0" applyNumberFormat="1" applyFont="1" applyAlignment="1">
      <alignment vertical="center"/>
    </xf>
    <xf numFmtId="2" fontId="11" fillId="2" borderId="40" xfId="0" applyNumberFormat="1" applyFont="1" applyFill="1" applyBorder="1" applyAlignment="1">
      <alignment horizontal="left" vertical="center" wrapText="1" readingOrder="1"/>
    </xf>
    <xf numFmtId="0" fontId="0" fillId="0" borderId="41" xfId="0" applyBorder="1" applyAlignment="1">
      <alignment horizontal="left" vertical="center" wrapText="1" readingOrder="1"/>
    </xf>
    <xf numFmtId="0" fontId="0" fillId="0" borderId="42" xfId="0" applyBorder="1" applyAlignment="1">
      <alignment horizontal="left" vertical="center" wrapText="1" readingOrder="1"/>
    </xf>
    <xf numFmtId="2" fontId="11" fillId="2" borderId="43" xfId="0" applyNumberFormat="1" applyFont="1" applyFill="1" applyBorder="1" applyAlignment="1">
      <alignment horizontal="left" vertical="center" wrapText="1" readingOrder="1"/>
    </xf>
    <xf numFmtId="0" fontId="0" fillId="0" borderId="44" xfId="0" applyBorder="1" applyAlignment="1">
      <alignment horizontal="left" vertical="center" wrapText="1" readingOrder="1"/>
    </xf>
    <xf numFmtId="0" fontId="0" fillId="0" borderId="45" xfId="0" applyBorder="1" applyAlignment="1">
      <alignment horizontal="left" vertical="center" wrapText="1" readingOrder="1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border>
        <bottom/>
      </border>
    </dxf>
    <dxf>
      <border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  <border>
        <top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4"/>
  <sheetViews>
    <sheetView showGridLines="0" tabSelected="1" topLeftCell="A54" workbookViewId="0"/>
  </sheetViews>
  <sheetFormatPr defaultRowHeight="12.75" x14ac:dyDescent="0.2"/>
  <cols>
    <col min="1" max="2" width="5.140625" customWidth="1"/>
    <col min="3" max="3" width="4.85546875" customWidth="1"/>
    <col min="4" max="4" width="45.7109375" customWidth="1"/>
    <col min="5" max="6" width="6.85546875" customWidth="1"/>
    <col min="7" max="7" width="11.85546875" customWidth="1"/>
    <col min="8" max="10" width="10.7109375" customWidth="1"/>
    <col min="11" max="11" width="9.85546875" customWidth="1"/>
    <col min="12" max="12" width="9.5703125" customWidth="1"/>
    <col min="13" max="13" width="5.85546875" hidden="1" customWidth="1"/>
    <col min="14" max="14" width="5" hidden="1" customWidth="1"/>
    <col min="15" max="15" width="5.140625" hidden="1" customWidth="1"/>
  </cols>
  <sheetData>
    <row r="1" spans="1:15" ht="15" x14ac:dyDescent="0.2">
      <c r="A1" s="1"/>
      <c r="B1" s="1"/>
      <c r="C1" s="1"/>
      <c r="D1" s="1"/>
      <c r="E1" s="1"/>
      <c r="F1" s="1"/>
      <c r="G1" s="1"/>
      <c r="H1" s="1"/>
      <c r="I1" s="229" t="s">
        <v>0</v>
      </c>
      <c r="J1" s="229"/>
      <c r="K1" s="229"/>
      <c r="L1" s="229"/>
      <c r="M1" s="147"/>
      <c r="N1" s="75"/>
      <c r="O1" s="148"/>
    </row>
    <row r="2" spans="1:15" ht="16.5" customHeight="1" x14ac:dyDescent="0.2">
      <c r="A2" s="1"/>
      <c r="B2" s="45" t="s">
        <v>1</v>
      </c>
      <c r="C2" s="3" t="s">
        <v>134</v>
      </c>
      <c r="D2" s="1"/>
      <c r="E2" s="4"/>
      <c r="F2" s="1"/>
      <c r="G2" s="1"/>
      <c r="H2" s="1"/>
      <c r="I2" s="217" t="str">
        <f>IF(L18&gt;0,"Сметную стоимость в сумме "&amp;FIXED(L18,2)&amp;" руб","")</f>
        <v/>
      </c>
      <c r="J2" s="217"/>
      <c r="K2" s="217"/>
      <c r="L2" s="217"/>
      <c r="M2" s="147"/>
      <c r="N2" s="75"/>
      <c r="O2" s="148"/>
    </row>
    <row r="3" spans="1:15" ht="14.25" x14ac:dyDescent="0.2">
      <c r="A3" s="1"/>
      <c r="B3" s="45" t="s">
        <v>3</v>
      </c>
      <c r="C3" s="3" t="s">
        <v>135</v>
      </c>
      <c r="D3" s="1"/>
      <c r="E3" s="37"/>
      <c r="F3" s="1"/>
      <c r="G3" s="1"/>
      <c r="H3" s="39"/>
      <c r="I3" s="2"/>
      <c r="J3" s="5" t="s">
        <v>2</v>
      </c>
      <c r="K3" s="5"/>
      <c r="L3" s="5"/>
      <c r="M3" s="147"/>
      <c r="N3" s="75"/>
      <c r="O3" s="148"/>
    </row>
    <row r="4" spans="1:15" ht="13.5" x14ac:dyDescent="0.2">
      <c r="A4" s="1"/>
      <c r="B4" s="45" t="s">
        <v>4</v>
      </c>
      <c r="C4" s="3" t="s">
        <v>136</v>
      </c>
      <c r="D4" s="1"/>
      <c r="E4" s="37"/>
      <c r="F4" s="1"/>
      <c r="G4" s="1"/>
      <c r="H4" s="39"/>
      <c r="I4" s="2"/>
      <c r="J4" s="4"/>
      <c r="K4" s="4"/>
      <c r="L4" s="4"/>
      <c r="M4" s="147"/>
      <c r="N4" s="75"/>
      <c r="O4" s="148"/>
    </row>
    <row r="5" spans="1:15" ht="13.5" x14ac:dyDescent="0.2">
      <c r="A5" s="1"/>
      <c r="B5" s="45" t="s">
        <v>5</v>
      </c>
      <c r="C5" s="3" t="s">
        <v>137</v>
      </c>
      <c r="D5" s="1"/>
      <c r="E5" s="37"/>
      <c r="F5" s="1"/>
      <c r="G5" s="1"/>
      <c r="H5" s="39"/>
      <c r="I5" s="6"/>
      <c r="J5" s="7"/>
      <c r="K5" s="7"/>
      <c r="L5" s="7"/>
      <c r="M5" s="147"/>
      <c r="N5" s="75"/>
      <c r="O5" s="148"/>
    </row>
    <row r="6" spans="1:15" ht="13.5" x14ac:dyDescent="0.2">
      <c r="A6" s="1"/>
      <c r="B6" s="45" t="s">
        <v>6</v>
      </c>
      <c r="C6" s="3" t="s">
        <v>140</v>
      </c>
      <c r="D6" s="1"/>
      <c r="E6" s="3"/>
      <c r="F6" s="1"/>
      <c r="G6" s="1"/>
      <c r="H6" s="39"/>
      <c r="I6" s="2"/>
      <c r="M6" s="147"/>
      <c r="N6" s="75"/>
      <c r="O6" s="148"/>
    </row>
    <row r="7" spans="1:15" ht="13.5" x14ac:dyDescent="0.2">
      <c r="A7" s="81"/>
      <c r="B7" s="81"/>
      <c r="C7" s="81"/>
      <c r="D7" s="81"/>
      <c r="E7" s="81"/>
      <c r="F7" s="81"/>
      <c r="G7" s="81"/>
      <c r="H7" s="40"/>
      <c r="I7" s="44" t="s">
        <v>7</v>
      </c>
      <c r="J7" s="6"/>
      <c r="K7" s="7"/>
      <c r="L7" s="137">
        <v>41227</v>
      </c>
      <c r="M7" s="147"/>
      <c r="N7" s="75"/>
      <c r="O7" s="148"/>
    </row>
    <row r="8" spans="1:15" x14ac:dyDescent="0.2">
      <c r="A8" s="226"/>
      <c r="B8" s="226"/>
      <c r="C8" s="226"/>
      <c r="D8" s="226"/>
      <c r="E8" s="226"/>
      <c r="F8" s="226"/>
      <c r="G8" s="226"/>
      <c r="H8" s="1"/>
      <c r="I8" s="1"/>
      <c r="J8" s="1"/>
      <c r="K8" s="1"/>
      <c r="L8" s="2"/>
      <c r="M8" s="147"/>
      <c r="N8" s="75"/>
      <c r="O8" s="148"/>
    </row>
    <row r="9" spans="1:15" ht="36.75" customHeight="1" x14ac:dyDescent="0.25">
      <c r="A9" s="227" t="s">
        <v>138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147"/>
      <c r="N9" s="75"/>
      <c r="O9" s="148"/>
    </row>
    <row r="10" spans="1:15" ht="21" customHeight="1" x14ac:dyDescent="0.2">
      <c r="A10" s="239" t="s">
        <v>141</v>
      </c>
      <c r="B10" s="239"/>
      <c r="C10" s="239"/>
      <c r="D10" s="239"/>
      <c r="E10" s="239"/>
      <c r="F10" s="239"/>
      <c r="G10" s="239"/>
      <c r="H10" s="239"/>
      <c r="I10" s="239"/>
      <c r="J10" s="239"/>
      <c r="K10" s="239"/>
      <c r="L10" s="239"/>
      <c r="M10" s="147"/>
      <c r="N10" s="75"/>
      <c r="O10" s="148"/>
    </row>
    <row r="11" spans="1:15" ht="6.75" customHeight="1" x14ac:dyDescent="0.2">
      <c r="A11" s="1"/>
      <c r="B11" s="21"/>
      <c r="C11" s="2"/>
      <c r="D11" s="2"/>
      <c r="E11" s="8"/>
      <c r="F11" s="1"/>
      <c r="G11" s="1"/>
      <c r="H11" s="1"/>
      <c r="I11" s="1"/>
      <c r="J11" s="1"/>
      <c r="K11" s="1"/>
      <c r="L11" s="2"/>
      <c r="M11" s="147"/>
      <c r="N11" s="75"/>
      <c r="O11" s="148"/>
    </row>
    <row r="12" spans="1:15" ht="15" customHeight="1" x14ac:dyDescent="0.25">
      <c r="A12" s="235" t="s">
        <v>16</v>
      </c>
      <c r="B12" s="235"/>
      <c r="C12" s="235"/>
      <c r="D12" s="235"/>
      <c r="E12" s="104"/>
      <c r="F12" s="126" t="str">
        <f>TRUNC((RIGHT(LEFT("23.10.2012",5),2)-1)/3,0)+1&amp;"кв. "&amp;RIGHT("23.10.2012",4)&amp;"г."</f>
        <v>4кв. 2012г.</v>
      </c>
      <c r="G12" s="41"/>
      <c r="H12" s="12"/>
      <c r="I12" s="9"/>
      <c r="J12" s="1"/>
      <c r="K12" s="12"/>
      <c r="L12" s="10" t="s">
        <v>142</v>
      </c>
      <c r="M12" s="147"/>
      <c r="N12" s="75"/>
      <c r="O12" s="148"/>
    </row>
    <row r="13" spans="1:15" ht="14.1" customHeight="1" x14ac:dyDescent="0.2">
      <c r="A13" s="218" t="s">
        <v>36</v>
      </c>
      <c r="B13" s="218"/>
      <c r="C13" s="218"/>
      <c r="D13" s="218"/>
      <c r="E13" s="108"/>
      <c r="F13" s="108"/>
      <c r="G13" s="108"/>
      <c r="H13" s="12"/>
      <c r="I13" s="12"/>
      <c r="J13" s="1"/>
      <c r="K13" s="42" t="str">
        <f>IF(M19=0,"Сметная стоимость в уровне цен на "&amp;F12&amp;"(руб) - ","Сметная стоимость в уровне цен на "&amp;F12&amp;" с  НДС = 0% (руб) - ")</f>
        <v xml:space="preserve">Сметная стоимость в уровне цен на 4кв. 2012г.(руб) - </v>
      </c>
      <c r="L13" s="33">
        <f>K110</f>
        <v>622442.16</v>
      </c>
      <c r="M13" s="147"/>
      <c r="N13" s="75"/>
      <c r="O13" s="148"/>
    </row>
    <row r="14" spans="1:15" ht="14.1" customHeight="1" x14ac:dyDescent="0.2">
      <c r="A14" s="218" t="s">
        <v>60</v>
      </c>
      <c r="B14" s="219"/>
      <c r="C14" s="219"/>
      <c r="D14" s="219"/>
      <c r="E14" s="219"/>
      <c r="F14" s="219"/>
      <c r="G14" s="219"/>
      <c r="H14" s="12"/>
      <c r="I14" s="13"/>
      <c r="J14" s="12"/>
      <c r="K14" s="29" t="str">
        <f>IF(M19=0,"Стоимость оборудования  - ","Стоимость оборудования с НДС = 0% (руб) - ")</f>
        <v xml:space="preserve">Стоимость оборудования  - </v>
      </c>
      <c r="L14" s="33">
        <f>K107</f>
        <v>98577</v>
      </c>
      <c r="M14" s="147"/>
      <c r="N14" s="75"/>
      <c r="O14" s="148"/>
    </row>
    <row r="15" spans="1:15" ht="14.1" customHeight="1" x14ac:dyDescent="0.2">
      <c r="A15" s="218" t="s">
        <v>37</v>
      </c>
      <c r="B15" s="219"/>
      <c r="C15" s="219"/>
      <c r="D15" s="219"/>
      <c r="E15" s="219"/>
      <c r="F15" s="219"/>
      <c r="G15" s="219"/>
      <c r="H15" s="12"/>
      <c r="I15" s="14"/>
      <c r="J15" s="12"/>
      <c r="K15" s="30" t="str">
        <f>IF(M19=0,"Стоимость  работ (руб) - ","Стоимость  работ с НДС = 0% (руб) - ")</f>
        <v xml:space="preserve">Стоимость  работ (руб) - </v>
      </c>
      <c r="L15" s="34">
        <f>K106</f>
        <v>520710.7</v>
      </c>
      <c r="M15" s="147"/>
      <c r="N15" s="75"/>
      <c r="O15" s="148"/>
    </row>
    <row r="16" spans="1:15" ht="14.1" customHeight="1" x14ac:dyDescent="0.2">
      <c r="A16" s="232" t="s">
        <v>47</v>
      </c>
      <c r="B16" s="233"/>
      <c r="C16" s="233"/>
      <c r="D16" s="233"/>
      <c r="E16" s="233"/>
      <c r="F16" s="233"/>
      <c r="G16" s="233"/>
      <c r="H16" s="12"/>
      <c r="I16" s="15"/>
      <c r="J16" s="12"/>
      <c r="K16" s="31" t="s">
        <v>9</v>
      </c>
      <c r="L16" s="35">
        <f>G76</f>
        <v>219922.63</v>
      </c>
      <c r="M16" s="147"/>
      <c r="N16" s="75"/>
      <c r="O16" s="148"/>
    </row>
    <row r="17" spans="1:15" ht="14.1" customHeight="1" x14ac:dyDescent="0.2">
      <c r="A17" s="234" t="s">
        <v>41</v>
      </c>
      <c r="B17" s="234"/>
      <c r="C17" s="234"/>
      <c r="D17" s="234"/>
      <c r="E17" s="234"/>
      <c r="F17" s="234"/>
      <c r="G17" s="234"/>
      <c r="H17" s="12"/>
      <c r="I17" s="11"/>
      <c r="J17" s="12"/>
      <c r="K17" s="29" t="s">
        <v>15</v>
      </c>
      <c r="L17" s="36">
        <f>L76</f>
        <v>1888.38</v>
      </c>
      <c r="M17" s="147"/>
      <c r="N17" s="75"/>
      <c r="O17" s="148"/>
    </row>
    <row r="18" spans="1:15" ht="14.1" hidden="1" customHeight="1" x14ac:dyDescent="0.2">
      <c r="A18" s="124" t="str">
        <f>IF(L18=0,"Отсутствует","")</f>
        <v>Отсутствует</v>
      </c>
      <c r="B18" s="124"/>
      <c r="C18" s="124"/>
      <c r="D18" s="124"/>
      <c r="E18" s="124"/>
      <c r="F18" s="124"/>
      <c r="G18" s="124"/>
      <c r="H18" s="12"/>
      <c r="I18" s="117"/>
      <c r="J18" s="139"/>
      <c r="K18" s="134" t="s">
        <v>58</v>
      </c>
      <c r="L18" s="146">
        <v>0</v>
      </c>
      <c r="M18" s="147"/>
      <c r="N18" s="75"/>
      <c r="O18" s="148"/>
    </row>
    <row r="19" spans="1:15" ht="14.1" hidden="1" customHeight="1" x14ac:dyDescent="0.2">
      <c r="A19" s="124" t="str">
        <f>IF(L18=0,"Отсутствует","")</f>
        <v>Отсутствует</v>
      </c>
      <c r="B19" s="124"/>
      <c r="C19" s="124"/>
      <c r="D19" s="124"/>
      <c r="E19" s="124"/>
      <c r="F19" s="124"/>
      <c r="G19" s="124"/>
      <c r="H19" s="12"/>
      <c r="I19" s="117"/>
      <c r="J19" s="118"/>
      <c r="K19" s="125" t="str">
        <f>IF(M19=0," НДС не облагается     ", "в т.ч.  НДС (0%) -  ")</f>
        <v xml:space="preserve"> НДС не облагается     </v>
      </c>
      <c r="L19" s="128" t="str">
        <f>IF(M19=0,"",L18/(1+M19)*M19)</f>
        <v/>
      </c>
      <c r="M19" s="258">
        <v>0</v>
      </c>
      <c r="N19" s="75"/>
      <c r="O19" s="148"/>
    </row>
    <row r="20" spans="1:15" ht="16.5" customHeight="1" x14ac:dyDescent="0.2">
      <c r="A20" s="49"/>
      <c r="B20" s="49"/>
      <c r="C20" s="49"/>
      <c r="D20" s="49"/>
      <c r="E20" s="49"/>
      <c r="F20" s="49"/>
      <c r="G20" s="49"/>
      <c r="H20" s="12"/>
      <c r="I20" s="11"/>
      <c r="J20" s="12"/>
      <c r="K20" s="12"/>
      <c r="L20" s="42" t="s">
        <v>139</v>
      </c>
      <c r="M20" s="147"/>
      <c r="N20" s="75"/>
      <c r="O20" s="148"/>
    </row>
    <row r="21" spans="1:15" ht="26.25" customHeight="1" x14ac:dyDescent="0.2">
      <c r="A21" s="140" t="s">
        <v>57</v>
      </c>
      <c r="B21" s="248" t="s">
        <v>51</v>
      </c>
      <c r="C21" s="249"/>
      <c r="D21" s="141" t="s">
        <v>10</v>
      </c>
      <c r="E21" s="250" t="s">
        <v>40</v>
      </c>
      <c r="F21" s="251"/>
      <c r="G21" s="236" t="s">
        <v>65</v>
      </c>
      <c r="H21" s="237"/>
      <c r="I21" s="237"/>
      <c r="J21" s="237"/>
      <c r="K21" s="237"/>
      <c r="L21" s="238"/>
      <c r="M21" s="147"/>
      <c r="N21" s="75"/>
      <c r="O21" s="148"/>
    </row>
    <row r="22" spans="1:15" ht="27.75" customHeight="1" x14ac:dyDescent="0.2">
      <c r="A22" s="142"/>
      <c r="B22" s="143" t="str">
        <f>IF(SUM($N$1:$N$1504)&gt;0,"k(d)","")</f>
        <v/>
      </c>
      <c r="C22" s="143" t="str">
        <f>IF(SUM($O$1:$O$1504)&gt;0,"k(h)","")</f>
        <v/>
      </c>
      <c r="D22" s="144" t="str">
        <f>IF(AND(SUM($N$1:$N$1504)&gt;0,SUM($O$1:$O$1504)&gt;0),"◄= k(d) -коэф. на демонтаж * k(h) - высотный коэф.",IF(AND(SUM($N$1:$N$1504)&gt;0,SUM($O$1:$O$1504)=0),"◄= k(d) -коэф. на демонтаж",IF(AND(SUM($N$1:$N$1504)=0,SUM($O$1:$O$1504)&gt;0),"◄= k(h) - высотный коэффициент","")))</f>
        <v/>
      </c>
      <c r="E22" s="220" t="s">
        <v>52</v>
      </c>
      <c r="F22" s="221"/>
      <c r="G22" s="145" t="s">
        <v>67</v>
      </c>
      <c r="H22" s="166" t="s">
        <v>61</v>
      </c>
      <c r="I22" s="164" t="s">
        <v>62</v>
      </c>
      <c r="J22" s="164" t="s">
        <v>63</v>
      </c>
      <c r="K22" s="165" t="s">
        <v>64</v>
      </c>
      <c r="L22" s="164" t="s">
        <v>66</v>
      </c>
      <c r="M22" s="147"/>
      <c r="N22" s="75"/>
      <c r="O22" s="148"/>
    </row>
    <row r="23" spans="1:15" ht="12.75" customHeight="1" x14ac:dyDescent="0.2">
      <c r="A23" s="32">
        <v>1</v>
      </c>
      <c r="B23" s="224">
        <v>2</v>
      </c>
      <c r="C23" s="225"/>
      <c r="D23" s="32">
        <v>3</v>
      </c>
      <c r="E23" s="224">
        <v>4</v>
      </c>
      <c r="F23" s="225"/>
      <c r="G23" s="32">
        <v>5</v>
      </c>
      <c r="H23" s="32">
        <v>6</v>
      </c>
      <c r="I23" s="32">
        <v>7</v>
      </c>
      <c r="J23" s="32">
        <v>8</v>
      </c>
      <c r="K23" s="32">
        <v>9</v>
      </c>
      <c r="L23" s="32">
        <v>10</v>
      </c>
      <c r="M23" s="149"/>
      <c r="N23" s="149"/>
      <c r="O23" s="149"/>
    </row>
    <row r="24" spans="1:15" ht="24" customHeight="1" x14ac:dyDescent="0.2">
      <c r="A24" s="230" t="s">
        <v>68</v>
      </c>
      <c r="B24" s="231"/>
      <c r="C24" s="231"/>
      <c r="D24" s="231"/>
      <c r="E24" s="231"/>
      <c r="F24" s="231"/>
      <c r="G24" s="231"/>
      <c r="H24" s="231"/>
      <c r="I24" s="231"/>
      <c r="J24" s="231"/>
      <c r="K24" s="231"/>
      <c r="L24" s="50"/>
      <c r="M24" s="149"/>
      <c r="N24" s="149"/>
      <c r="O24" s="149"/>
    </row>
    <row r="25" spans="1:15" ht="13.5" x14ac:dyDescent="0.2">
      <c r="A25" s="48">
        <v>1</v>
      </c>
      <c r="B25" s="242" t="s">
        <v>69</v>
      </c>
      <c r="C25" s="243"/>
      <c r="D25" s="60" t="s">
        <v>70</v>
      </c>
      <c r="E25" s="210" t="s">
        <v>71</v>
      </c>
      <c r="F25" s="211"/>
      <c r="G25" s="112">
        <v>130.53</v>
      </c>
      <c r="H25" s="115">
        <v>117.7</v>
      </c>
      <c r="I25" s="112">
        <v>0.31</v>
      </c>
      <c r="J25" s="112">
        <v>0</v>
      </c>
      <c r="K25" s="112">
        <v>12.52</v>
      </c>
      <c r="L25" s="112">
        <v>11.7</v>
      </c>
      <c r="M25" s="147"/>
      <c r="N25" s="75"/>
      <c r="O25" s="148"/>
    </row>
    <row r="26" spans="1:15" ht="14.25" customHeight="1" x14ac:dyDescent="0.2">
      <c r="A26" s="47" t="str">
        <f>IF(B26&lt;&gt;0,"k =",IF(C26&lt;&gt;0,"k =",""))</f>
        <v/>
      </c>
      <c r="B26" s="18">
        <v>0</v>
      </c>
      <c r="C26" s="17">
        <v>0</v>
      </c>
      <c r="D26" s="103" t="str">
        <f>IF(AND(0&lt;B26,B26&lt;1,C26=0),"                    Демонтаж с коэффициентом  = "&amp;M26,IF(AND(B26=0,C26&lt;&gt;0),"                       с высотным коэффициентом  = "&amp;M26,IF(AND(0&lt;B26,B26&lt;1,C26&gt;1),"            Демонтаж на высоте с коэф. = "&amp;M26,IF(AND(1&lt;B26,C26=0),"     Монтаж и демонтаж с коэффициентом  = "&amp;M26,IF(AND(B26&gt;1,C26&lt;&gt;0),"    Монтаж и демонтаж на высоте с коэф. = "&amp;M26,"")))))</f>
        <v/>
      </c>
      <c r="E26" s="222">
        <v>2</v>
      </c>
      <c r="F26" s="223"/>
      <c r="G26" s="62">
        <f>H26+I26+K26</f>
        <v>261.06</v>
      </c>
      <c r="H26" s="116">
        <f>ROUND(IF(M26=0,H25*E26,H25*E26*M26),2)</f>
        <v>235.4</v>
      </c>
      <c r="I26" s="62">
        <f>ROUND(IF(M26=0,I25*E26,I25*E26*M26),2)</f>
        <v>0.62</v>
      </c>
      <c r="J26" s="62">
        <f>ROUND(IF(M26=0,J25*E26,J25*E26*M26),2)</f>
        <v>0</v>
      </c>
      <c r="K26" s="66">
        <f>ROUND(IF(AND(0&lt;B26,B26&lt;1),0,K25*E26),2)</f>
        <v>25.04</v>
      </c>
      <c r="L26" s="62">
        <f>ROUND(IF(M26=0,L25*E26,L25*E26*M26),2)</f>
        <v>23.4</v>
      </c>
      <c r="M26" s="150">
        <f>IF(B26*C26&lt;&gt;0, B26*C26,IF(B26+C26=0,0,IF(B26=0,C26,IF(C26=0,B26,))))</f>
        <v>0</v>
      </c>
      <c r="N26" s="151">
        <f>B26</f>
        <v>0</v>
      </c>
      <c r="O26" s="152">
        <f>C26</f>
        <v>0</v>
      </c>
    </row>
    <row r="27" spans="1:15" ht="13.5" x14ac:dyDescent="0.2">
      <c r="A27" s="48">
        <v>2</v>
      </c>
      <c r="B27" s="242" t="s">
        <v>72</v>
      </c>
      <c r="C27" s="243"/>
      <c r="D27" s="60" t="s">
        <v>73</v>
      </c>
      <c r="E27" s="210" t="s">
        <v>71</v>
      </c>
      <c r="F27" s="211"/>
      <c r="G27" s="112">
        <v>29.69</v>
      </c>
      <c r="H27" s="115">
        <v>25.2</v>
      </c>
      <c r="I27" s="112">
        <v>0.25</v>
      </c>
      <c r="J27" s="112">
        <v>0</v>
      </c>
      <c r="K27" s="112">
        <v>4.24</v>
      </c>
      <c r="L27" s="112">
        <v>2.4</v>
      </c>
      <c r="M27" s="147"/>
      <c r="N27" s="75"/>
      <c r="O27" s="148"/>
    </row>
    <row r="28" spans="1:15" ht="14.25" customHeight="1" x14ac:dyDescent="0.2">
      <c r="A28" s="47" t="str">
        <f>IF(B28&lt;&gt;0,"k =",IF(C28&lt;&gt;0,"k =",""))</f>
        <v/>
      </c>
      <c r="B28" s="18">
        <v>0</v>
      </c>
      <c r="C28" s="17">
        <v>0</v>
      </c>
      <c r="D28" s="103" t="str">
        <f>IF(AND(0&lt;B28,B28&lt;1,C28=0),"                    Демонтаж с коэффициентом  = "&amp;M28,IF(AND(B28=0,C28&lt;&gt;0),"                       с высотным коэффициентом  = "&amp;M28,IF(AND(0&lt;B28,B28&lt;1,C28&gt;1),"            Демонтаж на высоте с коэф. = "&amp;M28,IF(AND(1&lt;B28,C28=0),"     Монтаж и демонтаж с коэффициентом  = "&amp;M28,IF(AND(B28&gt;1,C28&lt;&gt;0),"    Монтаж и демонтаж на высоте с коэф. = "&amp;M28,"")))))</f>
        <v/>
      </c>
      <c r="E28" s="222">
        <v>2</v>
      </c>
      <c r="F28" s="223"/>
      <c r="G28" s="62">
        <f>H28+I28+K28</f>
        <v>59.379999999999995</v>
      </c>
      <c r="H28" s="116">
        <f>ROUND(IF(M28=0,H27*E28,H27*E28*M28),2)</f>
        <v>50.4</v>
      </c>
      <c r="I28" s="62">
        <f>ROUND(IF(M28=0,I27*E28,I27*E28*M28),2)</f>
        <v>0.5</v>
      </c>
      <c r="J28" s="62">
        <f>ROUND(IF(M28=0,J27*E28,J27*E28*M28),2)</f>
        <v>0</v>
      </c>
      <c r="K28" s="66">
        <f>ROUND(IF(AND(0&lt;B28,B28&lt;1),0,K27*E28),2)</f>
        <v>8.48</v>
      </c>
      <c r="L28" s="62">
        <f>ROUND(IF(M28=0,L27*E28,L27*E28*M28),2)</f>
        <v>4.8</v>
      </c>
      <c r="M28" s="150">
        <f>IF(B28*C28&lt;&gt;0, B28*C28,IF(B28+C28=0,0,IF(B28=0,C28,IF(C28=0,B28,))))</f>
        <v>0</v>
      </c>
      <c r="N28" s="151">
        <f>B28</f>
        <v>0</v>
      </c>
      <c r="O28" s="152">
        <f>C28</f>
        <v>0</v>
      </c>
    </row>
    <row r="29" spans="1:15" ht="24" x14ac:dyDescent="0.2">
      <c r="A29" s="48">
        <v>3</v>
      </c>
      <c r="B29" s="242" t="s">
        <v>74</v>
      </c>
      <c r="C29" s="243"/>
      <c r="D29" s="60" t="s">
        <v>75</v>
      </c>
      <c r="E29" s="210" t="s">
        <v>71</v>
      </c>
      <c r="F29" s="211"/>
      <c r="G29" s="112">
        <v>38.549999999999997</v>
      </c>
      <c r="H29" s="115">
        <v>34.630000000000003</v>
      </c>
      <c r="I29" s="112">
        <v>0.25</v>
      </c>
      <c r="J29" s="112">
        <v>0</v>
      </c>
      <c r="K29" s="112">
        <v>3.67</v>
      </c>
      <c r="L29" s="112">
        <v>3.6</v>
      </c>
      <c r="M29" s="147"/>
      <c r="N29" s="75"/>
      <c r="O29" s="148"/>
    </row>
    <row r="30" spans="1:15" ht="14.25" customHeight="1" x14ac:dyDescent="0.2">
      <c r="A30" s="47" t="str">
        <f>IF(B30&lt;&gt;0,"k =",IF(C30&lt;&gt;0,"k =",""))</f>
        <v/>
      </c>
      <c r="B30" s="18">
        <v>0</v>
      </c>
      <c r="C30" s="17">
        <v>0</v>
      </c>
      <c r="D30" s="103" t="str">
        <f>IF(AND(0&lt;B30,B30&lt;1,C30=0),"                    Демонтаж с коэффициентом  = "&amp;M30,IF(AND(B30=0,C30&lt;&gt;0),"                       с высотным коэффициентом  = "&amp;M30,IF(AND(0&lt;B30,B30&lt;1,C30&gt;1),"            Демонтаж на высоте с коэф. = "&amp;M30,IF(AND(1&lt;B30,C30=0),"     Монтаж и демонтаж с коэффициентом  = "&amp;M30,IF(AND(B30&gt;1,C30&lt;&gt;0),"    Монтаж и демонтаж на высоте с коэф. = "&amp;M30,"")))))</f>
        <v/>
      </c>
      <c r="E30" s="222">
        <v>4</v>
      </c>
      <c r="F30" s="223"/>
      <c r="G30" s="62">
        <f>H30+I30+K30</f>
        <v>154.20000000000002</v>
      </c>
      <c r="H30" s="116">
        <f>ROUND(IF(M30=0,H29*E30,H29*E30*M30),2)</f>
        <v>138.52000000000001</v>
      </c>
      <c r="I30" s="62">
        <f>ROUND(IF(M30=0,I29*E30,I29*E30*M30),2)</f>
        <v>1</v>
      </c>
      <c r="J30" s="62">
        <f>ROUND(IF(M30=0,J29*E30,J29*E30*M30),2)</f>
        <v>0</v>
      </c>
      <c r="K30" s="66">
        <f>ROUND(IF(AND(0&lt;B30,B30&lt;1),0,K29*E30),2)</f>
        <v>14.68</v>
      </c>
      <c r="L30" s="62">
        <f>ROUND(IF(M30=0,L29*E30,L29*E30*M30),2)</f>
        <v>14.4</v>
      </c>
      <c r="M30" s="150">
        <f>IF(B30*C30&lt;&gt;0, B30*C30,IF(B30+C30=0,0,IF(B30=0,C30,IF(C30=0,B30,))))</f>
        <v>0</v>
      </c>
      <c r="N30" s="151">
        <f>B30</f>
        <v>0</v>
      </c>
      <c r="O30" s="152">
        <f>C30</f>
        <v>0</v>
      </c>
    </row>
    <row r="31" spans="1:15" ht="24" x14ac:dyDescent="0.2">
      <c r="A31" s="48">
        <v>4</v>
      </c>
      <c r="B31" s="242" t="s">
        <v>76</v>
      </c>
      <c r="C31" s="243"/>
      <c r="D31" s="60" t="s">
        <v>77</v>
      </c>
      <c r="E31" s="210" t="s">
        <v>71</v>
      </c>
      <c r="F31" s="211"/>
      <c r="G31" s="112">
        <v>81.349999999999994</v>
      </c>
      <c r="H31" s="115">
        <v>72.430000000000007</v>
      </c>
      <c r="I31" s="112">
        <v>0.31</v>
      </c>
      <c r="J31" s="112">
        <v>0</v>
      </c>
      <c r="K31" s="112">
        <v>8.61</v>
      </c>
      <c r="L31" s="112">
        <v>7.2</v>
      </c>
      <c r="M31" s="147"/>
      <c r="N31" s="75"/>
      <c r="O31" s="148"/>
    </row>
    <row r="32" spans="1:15" ht="14.25" customHeight="1" x14ac:dyDescent="0.2">
      <c r="A32" s="47" t="str">
        <f>IF(B32&lt;&gt;0,"k =",IF(C32&lt;&gt;0,"k =",""))</f>
        <v/>
      </c>
      <c r="B32" s="18">
        <v>0</v>
      </c>
      <c r="C32" s="17">
        <v>0</v>
      </c>
      <c r="D32" s="103" t="str">
        <f>IF(AND(0&lt;B32,B32&lt;1,C32=0),"                    Демонтаж с коэффициентом  = "&amp;M32,IF(AND(B32=0,C32&lt;&gt;0),"                       с высотным коэффициентом  = "&amp;M32,IF(AND(0&lt;B32,B32&lt;1,C32&gt;1),"            Демонтаж на высоте с коэф. = "&amp;M32,IF(AND(1&lt;B32,C32=0),"     Монтаж и демонтаж с коэффициентом  = "&amp;M32,IF(AND(B32&gt;1,C32&lt;&gt;0),"    Монтаж и демонтаж на высоте с коэф. = "&amp;M32,"")))))</f>
        <v/>
      </c>
      <c r="E32" s="222">
        <v>1</v>
      </c>
      <c r="F32" s="223"/>
      <c r="G32" s="62">
        <f>H32+I32+K32</f>
        <v>81.350000000000009</v>
      </c>
      <c r="H32" s="116">
        <f>ROUND(IF(M32=0,H31*E32,H31*E32*M32),2)</f>
        <v>72.430000000000007</v>
      </c>
      <c r="I32" s="62">
        <f>ROUND(IF(M32=0,I31*E32,I31*E32*M32),2)</f>
        <v>0.31</v>
      </c>
      <c r="J32" s="62">
        <f>ROUND(IF(M32=0,J31*E32,J31*E32*M32),2)</f>
        <v>0</v>
      </c>
      <c r="K32" s="66">
        <f>ROUND(IF(AND(0&lt;B32,B32&lt;1),0,K31*E32),2)</f>
        <v>8.61</v>
      </c>
      <c r="L32" s="62">
        <f>ROUND(IF(M32=0,L31*E32,L31*E32*M32),2)</f>
        <v>7.2</v>
      </c>
      <c r="M32" s="150">
        <f>IF(B32*C32&lt;&gt;0, B32*C32,IF(B32+C32=0,0,IF(B32=0,C32,IF(C32=0,B32,))))</f>
        <v>0</v>
      </c>
      <c r="N32" s="151">
        <f>B32</f>
        <v>0</v>
      </c>
      <c r="O32" s="152">
        <f>C32</f>
        <v>0</v>
      </c>
    </row>
    <row r="33" spans="1:15" ht="13.5" x14ac:dyDescent="0.2">
      <c r="A33" s="48">
        <v>5</v>
      </c>
      <c r="B33" s="242" t="s">
        <v>78</v>
      </c>
      <c r="C33" s="243"/>
      <c r="D33" s="60" t="s">
        <v>79</v>
      </c>
      <c r="E33" s="210" t="s">
        <v>71</v>
      </c>
      <c r="F33" s="211"/>
      <c r="G33" s="112">
        <v>41.35</v>
      </c>
      <c r="H33" s="115">
        <v>36.76</v>
      </c>
      <c r="I33" s="112">
        <v>0.25</v>
      </c>
      <c r="J33" s="112">
        <v>0</v>
      </c>
      <c r="K33" s="112">
        <v>4.34</v>
      </c>
      <c r="L33" s="112">
        <v>3.6</v>
      </c>
      <c r="M33" s="147"/>
      <c r="N33" s="75"/>
      <c r="O33" s="148"/>
    </row>
    <row r="34" spans="1:15" ht="14.25" customHeight="1" x14ac:dyDescent="0.2">
      <c r="A34" s="47" t="str">
        <f>IF(B34&lt;&gt;0,"k =",IF(C34&lt;&gt;0,"k =",""))</f>
        <v/>
      </c>
      <c r="B34" s="18">
        <v>0</v>
      </c>
      <c r="C34" s="17">
        <v>0</v>
      </c>
      <c r="D34" s="103" t="str">
        <f>IF(AND(0&lt;B34,B34&lt;1,C34=0),"                    Демонтаж с коэффициентом  = "&amp;M34,IF(AND(B34=0,C34&lt;&gt;0),"                       с высотным коэффициентом  = "&amp;M34,IF(AND(0&lt;B34,B34&lt;1,C34&gt;1),"            Демонтаж на высоте с коэф. = "&amp;M34,IF(AND(1&lt;B34,C34=0),"     Монтаж и демонтаж с коэффициентом  = "&amp;M34,IF(AND(B34&gt;1,C34&lt;&gt;0),"    Монтаж и демонтаж на высоте с коэф. = "&amp;M34,"")))))</f>
        <v/>
      </c>
      <c r="E34" s="222">
        <v>6</v>
      </c>
      <c r="F34" s="223"/>
      <c r="G34" s="62">
        <f>H34+I34+K34</f>
        <v>248.1</v>
      </c>
      <c r="H34" s="116">
        <f>ROUND(IF(M34=0,H33*E34,H33*E34*M34),2)</f>
        <v>220.56</v>
      </c>
      <c r="I34" s="62">
        <f>ROUND(IF(M34=0,I33*E34,I33*E34*M34),2)</f>
        <v>1.5</v>
      </c>
      <c r="J34" s="62">
        <f>ROUND(IF(M34=0,J33*E34,J33*E34*M34),2)</f>
        <v>0</v>
      </c>
      <c r="K34" s="66">
        <f>ROUND(IF(AND(0&lt;B34,B34&lt;1),0,K33*E34),2)</f>
        <v>26.04</v>
      </c>
      <c r="L34" s="62">
        <f>ROUND(IF(M34=0,L33*E34,L33*E34*M34),2)</f>
        <v>21.6</v>
      </c>
      <c r="M34" s="150">
        <f>IF(B34*C34&lt;&gt;0, B34*C34,IF(B34+C34=0,0,IF(B34=0,C34,IF(C34=0,B34,))))</f>
        <v>0</v>
      </c>
      <c r="N34" s="151">
        <f>B34</f>
        <v>0</v>
      </c>
      <c r="O34" s="152">
        <f>C34</f>
        <v>0</v>
      </c>
    </row>
    <row r="35" spans="1:15" ht="13.5" x14ac:dyDescent="0.2">
      <c r="A35" s="48">
        <v>6</v>
      </c>
      <c r="B35" s="242" t="s">
        <v>80</v>
      </c>
      <c r="C35" s="243"/>
      <c r="D35" s="60" t="s">
        <v>81</v>
      </c>
      <c r="E35" s="210" t="s">
        <v>71</v>
      </c>
      <c r="F35" s="211"/>
      <c r="G35" s="112">
        <v>40.47</v>
      </c>
      <c r="H35" s="115">
        <v>19.82</v>
      </c>
      <c r="I35" s="112">
        <v>0</v>
      </c>
      <c r="J35" s="112">
        <v>0</v>
      </c>
      <c r="K35" s="112">
        <v>20.65</v>
      </c>
      <c r="L35" s="112">
        <v>2.06</v>
      </c>
      <c r="M35" s="147"/>
      <c r="N35" s="75"/>
      <c r="O35" s="148"/>
    </row>
    <row r="36" spans="1:15" ht="14.25" customHeight="1" x14ac:dyDescent="0.2">
      <c r="A36" s="47" t="str">
        <f>IF(B36&lt;&gt;0,"k =",IF(C36&lt;&gt;0,"k =",""))</f>
        <v/>
      </c>
      <c r="B36" s="18">
        <v>0</v>
      </c>
      <c r="C36" s="17">
        <v>0</v>
      </c>
      <c r="D36" s="103" t="str">
        <f>IF(AND(0&lt;B36,B36&lt;1,C36=0),"                    Демонтаж с коэффициентом  = "&amp;M36,IF(AND(B36=0,C36&lt;&gt;0),"                       с высотным коэффициентом  = "&amp;M36,IF(AND(0&lt;B36,B36&lt;1,C36&gt;1),"            Демонтаж на высоте с коэф. = "&amp;M36,IF(AND(1&lt;B36,C36=0),"     Монтаж и демонтаж с коэффициентом  = "&amp;M36,IF(AND(B36&gt;1,C36&lt;&gt;0),"    Монтаж и демонтаж на высоте с коэф. = "&amp;M36,"")))))</f>
        <v/>
      </c>
      <c r="E36" s="222">
        <v>8</v>
      </c>
      <c r="F36" s="223"/>
      <c r="G36" s="62">
        <f>H36+I36+K36</f>
        <v>323.76</v>
      </c>
      <c r="H36" s="116">
        <f>ROUND(IF(M36=0,H35*E36,H35*E36*M36),2)</f>
        <v>158.56</v>
      </c>
      <c r="I36" s="62">
        <f>ROUND(IF(M36=0,I35*E36,I35*E36*M36),2)</f>
        <v>0</v>
      </c>
      <c r="J36" s="62">
        <f>ROUND(IF(M36=0,J35*E36,J35*E36*M36),2)</f>
        <v>0</v>
      </c>
      <c r="K36" s="66">
        <f>ROUND(IF(AND(0&lt;B36,B36&lt;1),0,K35*E36),2)</f>
        <v>165.2</v>
      </c>
      <c r="L36" s="62">
        <f>ROUND(IF(M36=0,L35*E36,L35*E36*M36),2)</f>
        <v>16.48</v>
      </c>
      <c r="M36" s="150">
        <f>IF(B36*C36&lt;&gt;0, B36*C36,IF(B36+C36=0,0,IF(B36=0,C36,IF(C36=0,B36,))))</f>
        <v>0</v>
      </c>
      <c r="N36" s="151">
        <f>B36</f>
        <v>0</v>
      </c>
      <c r="O36" s="152">
        <f>C36</f>
        <v>0</v>
      </c>
    </row>
    <row r="37" spans="1:15" ht="24" x14ac:dyDescent="0.2">
      <c r="A37" s="48">
        <v>7</v>
      </c>
      <c r="B37" s="242" t="s">
        <v>82</v>
      </c>
      <c r="C37" s="243"/>
      <c r="D37" s="60" t="s">
        <v>83</v>
      </c>
      <c r="E37" s="210" t="s">
        <v>71</v>
      </c>
      <c r="F37" s="211"/>
      <c r="G37" s="112">
        <v>19.21</v>
      </c>
      <c r="H37" s="115">
        <v>16.16</v>
      </c>
      <c r="I37" s="112">
        <v>0.31</v>
      </c>
      <c r="J37" s="112">
        <v>0</v>
      </c>
      <c r="K37" s="112">
        <v>2.74</v>
      </c>
      <c r="L37" s="112">
        <v>1.68</v>
      </c>
      <c r="M37" s="147"/>
      <c r="N37" s="75"/>
      <c r="O37" s="148"/>
    </row>
    <row r="38" spans="1:15" ht="14.25" customHeight="1" x14ac:dyDescent="0.2">
      <c r="A38" s="47" t="str">
        <f>IF(B38&lt;&gt;0,"k =",IF(C38&lt;&gt;0,"k =",""))</f>
        <v/>
      </c>
      <c r="B38" s="18">
        <v>0</v>
      </c>
      <c r="C38" s="17">
        <v>0</v>
      </c>
      <c r="D38" s="103" t="str">
        <f>IF(AND(0&lt;B38,B38&lt;1,C38=0),"                    Демонтаж с коэффициентом  = "&amp;M38,IF(AND(B38=0,C38&lt;&gt;0),"                       с высотным коэффициентом  = "&amp;M38,IF(AND(0&lt;B38,B38&lt;1,C38&gt;1),"            Демонтаж на высоте с коэф. = "&amp;M38,IF(AND(1&lt;B38,C38=0),"     Монтаж и демонтаж с коэффициентом  = "&amp;M38,IF(AND(B38&gt;1,C38&lt;&gt;0),"    Монтаж и демонтаж на высоте с коэф. = "&amp;M38,"")))))</f>
        <v/>
      </c>
      <c r="E38" s="222">
        <v>160</v>
      </c>
      <c r="F38" s="223"/>
      <c r="G38" s="62">
        <f>H38+I38+K38</f>
        <v>3073.6</v>
      </c>
      <c r="H38" s="116">
        <f>ROUND(IF(M38=0,H37*E38,H37*E38*M38),2)</f>
        <v>2585.6</v>
      </c>
      <c r="I38" s="62">
        <f>ROUND(IF(M38=0,I37*E38,I37*E38*M38),2)</f>
        <v>49.6</v>
      </c>
      <c r="J38" s="62">
        <f>ROUND(IF(M38=0,J37*E38,J37*E38*M38),2)</f>
        <v>0</v>
      </c>
      <c r="K38" s="66">
        <f>ROUND(IF(AND(0&lt;B38,B38&lt;1),0,K37*E38),2)</f>
        <v>438.4</v>
      </c>
      <c r="L38" s="62">
        <f>ROUND(IF(M38=0,L37*E38,L37*E38*M38),2)</f>
        <v>268.8</v>
      </c>
      <c r="M38" s="150">
        <f>IF(B38*C38&lt;&gt;0, B38*C38,IF(B38+C38=0,0,IF(B38=0,C38,IF(C38=0,B38,))))</f>
        <v>0</v>
      </c>
      <c r="N38" s="151">
        <f>B38</f>
        <v>0</v>
      </c>
      <c r="O38" s="152">
        <f>C38</f>
        <v>0</v>
      </c>
    </row>
    <row r="39" spans="1:15" ht="13.5" x14ac:dyDescent="0.2">
      <c r="A39" s="48">
        <v>8</v>
      </c>
      <c r="B39" s="242" t="s">
        <v>84</v>
      </c>
      <c r="C39" s="243"/>
      <c r="D39" s="60" t="s">
        <v>85</v>
      </c>
      <c r="E39" s="210" t="s">
        <v>71</v>
      </c>
      <c r="F39" s="211"/>
      <c r="G39" s="112">
        <v>15.92</v>
      </c>
      <c r="H39" s="115">
        <v>9.07</v>
      </c>
      <c r="I39" s="112">
        <v>0</v>
      </c>
      <c r="J39" s="112">
        <v>0</v>
      </c>
      <c r="K39" s="112">
        <v>6.85</v>
      </c>
      <c r="L39" s="112">
        <v>1</v>
      </c>
      <c r="M39" s="147"/>
      <c r="N39" s="75"/>
      <c r="O39" s="148"/>
    </row>
    <row r="40" spans="1:15" ht="14.25" customHeight="1" x14ac:dyDescent="0.2">
      <c r="A40" s="47" t="str">
        <f>IF(B40&lt;&gt;0,"k =",IF(C40&lt;&gt;0,"k =",""))</f>
        <v/>
      </c>
      <c r="B40" s="18">
        <v>0</v>
      </c>
      <c r="C40" s="17">
        <v>0</v>
      </c>
      <c r="D40" s="103" t="str">
        <f>IF(AND(0&lt;B40,B40&lt;1,C40=0),"                    Демонтаж с коэффициентом  = "&amp;M40,IF(AND(B40=0,C40&lt;&gt;0),"                       с высотным коэффициентом  = "&amp;M40,IF(AND(0&lt;B40,B40&lt;1,C40&gt;1),"            Демонтаж на высоте с коэф. = "&amp;M40,IF(AND(1&lt;B40,C40=0),"     Монтаж и демонтаж с коэффициентом  = "&amp;M40,IF(AND(B40&gt;1,C40&lt;&gt;0),"    Монтаж и демонтаж на высоте с коэф. = "&amp;M40,"")))))</f>
        <v/>
      </c>
      <c r="E40" s="222">
        <v>19</v>
      </c>
      <c r="F40" s="223"/>
      <c r="G40" s="62">
        <f>H40+I40+K40</f>
        <v>302.48</v>
      </c>
      <c r="H40" s="116">
        <f>ROUND(IF(M40=0,H39*E40,H39*E40*M40),2)</f>
        <v>172.33</v>
      </c>
      <c r="I40" s="62">
        <f>ROUND(IF(M40=0,I39*E40,I39*E40*M40),2)</f>
        <v>0</v>
      </c>
      <c r="J40" s="62">
        <f>ROUND(IF(M40=0,J39*E40,J39*E40*M40),2)</f>
        <v>0</v>
      </c>
      <c r="K40" s="66">
        <f>ROUND(IF(AND(0&lt;B40,B40&lt;1),0,K39*E40),2)</f>
        <v>130.15</v>
      </c>
      <c r="L40" s="62">
        <f>ROUND(IF(M40=0,L39*E40,L39*E40*M40),2)</f>
        <v>19</v>
      </c>
      <c r="M40" s="150">
        <f>IF(B40*C40&lt;&gt;0, B40*C40,IF(B40+C40=0,0,IF(B40=0,C40,IF(C40=0,B40,))))</f>
        <v>0</v>
      </c>
      <c r="N40" s="151">
        <f>B40</f>
        <v>0</v>
      </c>
      <c r="O40" s="152">
        <f>C40</f>
        <v>0</v>
      </c>
    </row>
    <row r="41" spans="1:15" ht="13.5" x14ac:dyDescent="0.2">
      <c r="A41" s="48">
        <v>9</v>
      </c>
      <c r="B41" s="242" t="s">
        <v>86</v>
      </c>
      <c r="C41" s="243"/>
      <c r="D41" s="60" t="s">
        <v>87</v>
      </c>
      <c r="E41" s="210" t="s">
        <v>71</v>
      </c>
      <c r="F41" s="211"/>
      <c r="G41" s="112">
        <v>22.69</v>
      </c>
      <c r="H41" s="115">
        <v>10.87</v>
      </c>
      <c r="I41" s="112">
        <v>9.68</v>
      </c>
      <c r="J41" s="112">
        <v>0.54</v>
      </c>
      <c r="K41" s="112">
        <v>2.14</v>
      </c>
      <c r="L41" s="112">
        <v>1.1299999999999999</v>
      </c>
      <c r="M41" s="147"/>
      <c r="N41" s="75"/>
      <c r="O41" s="148"/>
    </row>
    <row r="42" spans="1:15" ht="14.25" customHeight="1" x14ac:dyDescent="0.2">
      <c r="A42" s="47" t="str">
        <f>IF(B42&lt;&gt;0,"k =",IF(C42&lt;&gt;0,"k =",""))</f>
        <v/>
      </c>
      <c r="B42" s="18">
        <v>0</v>
      </c>
      <c r="C42" s="17">
        <v>0</v>
      </c>
      <c r="D42" s="103" t="str">
        <f>IF(AND(0&lt;B42,B42&lt;1,C42=0),"                    Демонтаж с коэффициентом  = "&amp;M42,IF(AND(B42=0,C42&lt;&gt;0),"                       с высотным коэффициентом  = "&amp;M42,IF(AND(0&lt;B42,B42&lt;1,C42&gt;1),"            Демонтаж на высоте с коэф. = "&amp;M42,IF(AND(1&lt;B42,C42=0),"     Монтаж и демонтаж с коэффициентом  = "&amp;M42,IF(AND(B42&gt;1,C42&lt;&gt;0),"    Монтаж и демонтаж на высоте с коэф. = "&amp;M42,"")))))</f>
        <v/>
      </c>
      <c r="E42" s="222">
        <v>4</v>
      </c>
      <c r="F42" s="223"/>
      <c r="G42" s="62">
        <f>H42+I42+K42</f>
        <v>90.759999999999991</v>
      </c>
      <c r="H42" s="116">
        <f>ROUND(IF(M42=0,H41*E42,H41*E42*M42),2)</f>
        <v>43.48</v>
      </c>
      <c r="I42" s="62">
        <f>ROUND(IF(M42=0,I41*E42,I41*E42*M42),2)</f>
        <v>38.72</v>
      </c>
      <c r="J42" s="62">
        <f>ROUND(IF(M42=0,J41*E42,J41*E42*M42),2)</f>
        <v>2.16</v>
      </c>
      <c r="K42" s="66">
        <f>ROUND(IF(AND(0&lt;B42,B42&lt;1),0,K41*E42),2)</f>
        <v>8.56</v>
      </c>
      <c r="L42" s="62">
        <f>ROUND(IF(M42=0,L41*E42,L41*E42*M42),2)</f>
        <v>4.5199999999999996</v>
      </c>
      <c r="M42" s="150">
        <f>IF(B42*C42&lt;&gt;0, B42*C42,IF(B42+C42=0,0,IF(B42=0,C42,IF(C42=0,B42,))))</f>
        <v>0</v>
      </c>
      <c r="N42" s="151">
        <f>B42</f>
        <v>0</v>
      </c>
      <c r="O42" s="152">
        <f>C42</f>
        <v>0</v>
      </c>
    </row>
    <row r="43" spans="1:15" ht="13.5" x14ac:dyDescent="0.2">
      <c r="A43" s="48">
        <v>10</v>
      </c>
      <c r="B43" s="242" t="s">
        <v>88</v>
      </c>
      <c r="C43" s="243"/>
      <c r="D43" s="60" t="s">
        <v>89</v>
      </c>
      <c r="E43" s="210" t="s">
        <v>71</v>
      </c>
      <c r="F43" s="211"/>
      <c r="G43" s="112">
        <v>9.6999999999999993</v>
      </c>
      <c r="H43" s="115">
        <v>9.07</v>
      </c>
      <c r="I43" s="112">
        <v>0</v>
      </c>
      <c r="J43" s="112">
        <v>0</v>
      </c>
      <c r="K43" s="112">
        <v>0.63</v>
      </c>
      <c r="L43" s="112">
        <v>1</v>
      </c>
      <c r="M43" s="147"/>
      <c r="N43" s="75"/>
      <c r="O43" s="148"/>
    </row>
    <row r="44" spans="1:15" ht="14.25" customHeight="1" x14ac:dyDescent="0.2">
      <c r="A44" s="47" t="str">
        <f>IF(B44&lt;&gt;0,"k =",IF(C44&lt;&gt;0,"k =",""))</f>
        <v/>
      </c>
      <c r="B44" s="18">
        <v>0</v>
      </c>
      <c r="C44" s="17">
        <v>0</v>
      </c>
      <c r="D44" s="103" t="str">
        <f>IF(AND(0&lt;B44,B44&lt;1,C44=0),"                    Демонтаж с коэффициентом  = "&amp;M44,IF(AND(B44=0,C44&lt;&gt;0),"                       с высотным коэффициентом  = "&amp;M44,IF(AND(0&lt;B44,B44&lt;1,C44&gt;1),"            Демонтаж на высоте с коэф. = "&amp;M44,IF(AND(1&lt;B44,C44=0),"     Монтаж и демонтаж с коэффициентом  = "&amp;M44,IF(AND(B44&gt;1,C44&lt;&gt;0),"    Монтаж и демонтаж на высоте с коэф. = "&amp;M44,"")))))</f>
        <v/>
      </c>
      <c r="E44" s="222">
        <v>21</v>
      </c>
      <c r="F44" s="223"/>
      <c r="G44" s="62">
        <f>H44+I44+K44</f>
        <v>203.7</v>
      </c>
      <c r="H44" s="116">
        <f>ROUND(IF(M44=0,H43*E44,H43*E44*M44),2)</f>
        <v>190.47</v>
      </c>
      <c r="I44" s="62">
        <f>ROUND(IF(M44=0,I43*E44,I43*E44*M44),2)</f>
        <v>0</v>
      </c>
      <c r="J44" s="62">
        <f>ROUND(IF(M44=0,J43*E44,J43*E44*M44),2)</f>
        <v>0</v>
      </c>
      <c r="K44" s="66">
        <f>ROUND(IF(AND(0&lt;B44,B44&lt;1),0,K43*E44),2)</f>
        <v>13.23</v>
      </c>
      <c r="L44" s="62">
        <f>ROUND(IF(M44=0,L43*E44,L43*E44*M44),2)</f>
        <v>21</v>
      </c>
      <c r="M44" s="150">
        <f>IF(B44*C44&lt;&gt;0, B44*C44,IF(B44+C44=0,0,IF(B44=0,C44,IF(C44=0,B44,))))</f>
        <v>0</v>
      </c>
      <c r="N44" s="151">
        <f>B44</f>
        <v>0</v>
      </c>
      <c r="O44" s="152">
        <f>C44</f>
        <v>0</v>
      </c>
    </row>
    <row r="45" spans="1:15" ht="13.5" x14ac:dyDescent="0.2">
      <c r="A45" s="48">
        <v>11</v>
      </c>
      <c r="B45" s="242" t="s">
        <v>90</v>
      </c>
      <c r="C45" s="243"/>
      <c r="D45" s="60" t="s">
        <v>91</v>
      </c>
      <c r="E45" s="210" t="s">
        <v>71</v>
      </c>
      <c r="F45" s="211"/>
      <c r="G45" s="112">
        <v>21.32</v>
      </c>
      <c r="H45" s="115">
        <v>19.239999999999998</v>
      </c>
      <c r="I45" s="112">
        <v>0</v>
      </c>
      <c r="J45" s="112">
        <v>0</v>
      </c>
      <c r="K45" s="112">
        <v>2.08</v>
      </c>
      <c r="L45" s="112">
        <v>2</v>
      </c>
      <c r="M45" s="147"/>
      <c r="N45" s="75"/>
      <c r="O45" s="148"/>
    </row>
    <row r="46" spans="1:15" ht="14.25" customHeight="1" x14ac:dyDescent="0.2">
      <c r="A46" s="47" t="str">
        <f>IF(B46&lt;&gt;0,"k =",IF(C46&lt;&gt;0,"k =",""))</f>
        <v/>
      </c>
      <c r="B46" s="18">
        <v>0</v>
      </c>
      <c r="C46" s="17">
        <v>0</v>
      </c>
      <c r="D46" s="103" t="str">
        <f>IF(AND(0&lt;B46,B46&lt;1,C46=0),"                    Демонтаж с коэффициентом  = "&amp;M46,IF(AND(B46=0,C46&lt;&gt;0),"                       с высотным коэффициентом  = "&amp;M46,IF(AND(0&lt;B46,B46&lt;1,C46&gt;1),"            Демонтаж на высоте с коэф. = "&amp;M46,IF(AND(1&lt;B46,C46=0),"     Монтаж и демонтаж с коэффициентом  = "&amp;M46,IF(AND(B46&gt;1,C46&lt;&gt;0),"    Монтаж и демонтаж на высоте с коэф. = "&amp;M46,"")))))</f>
        <v/>
      </c>
      <c r="E46" s="222">
        <v>20</v>
      </c>
      <c r="F46" s="223"/>
      <c r="G46" s="62">
        <f>H46+I46+K46</f>
        <v>426.40000000000003</v>
      </c>
      <c r="H46" s="116">
        <f>ROUND(IF(M46=0,H45*E46,H45*E46*M46),2)</f>
        <v>384.8</v>
      </c>
      <c r="I46" s="62">
        <f>ROUND(IF(M46=0,I45*E46,I45*E46*M46),2)</f>
        <v>0</v>
      </c>
      <c r="J46" s="62">
        <f>ROUND(IF(M46=0,J45*E46,J45*E46*M46),2)</f>
        <v>0</v>
      </c>
      <c r="K46" s="66">
        <f>ROUND(IF(AND(0&lt;B46,B46&lt;1),0,K45*E46),2)</f>
        <v>41.6</v>
      </c>
      <c r="L46" s="62">
        <f>ROUND(IF(M46=0,L45*E46,L45*E46*M46),2)</f>
        <v>40</v>
      </c>
      <c r="M46" s="150">
        <f>IF(B46*C46&lt;&gt;0, B46*C46,IF(B46+C46=0,0,IF(B46=0,C46,IF(C46=0,B46,))))</f>
        <v>0</v>
      </c>
      <c r="N46" s="151">
        <f>B46</f>
        <v>0</v>
      </c>
      <c r="O46" s="152">
        <f>C46</f>
        <v>0</v>
      </c>
    </row>
    <row r="47" spans="1:15" ht="24" x14ac:dyDescent="0.2">
      <c r="A47" s="48">
        <v>12</v>
      </c>
      <c r="B47" s="242" t="s">
        <v>92</v>
      </c>
      <c r="C47" s="243"/>
      <c r="D47" s="60" t="s">
        <v>93</v>
      </c>
      <c r="E47" s="210" t="s">
        <v>71</v>
      </c>
      <c r="F47" s="211"/>
      <c r="G47" s="112">
        <v>42.07</v>
      </c>
      <c r="H47" s="115">
        <v>34.119999999999997</v>
      </c>
      <c r="I47" s="112">
        <v>0</v>
      </c>
      <c r="J47" s="112">
        <v>0</v>
      </c>
      <c r="K47" s="112">
        <v>7.95</v>
      </c>
      <c r="L47" s="112">
        <v>4</v>
      </c>
      <c r="M47" s="147"/>
      <c r="N47" s="75"/>
      <c r="O47" s="148"/>
    </row>
    <row r="48" spans="1:15" ht="14.25" customHeight="1" x14ac:dyDescent="0.2">
      <c r="A48" s="47" t="str">
        <f>IF(B48&lt;&gt;0,"k =",IF(C48&lt;&gt;0,"k =",""))</f>
        <v/>
      </c>
      <c r="B48" s="18">
        <v>0</v>
      </c>
      <c r="C48" s="17">
        <v>0</v>
      </c>
      <c r="D48" s="103" t="str">
        <f>IF(AND(0&lt;B48,B48&lt;1,C48=0),"                    Демонтаж с коэффициентом  = "&amp;M48,IF(AND(B48=0,C48&lt;&gt;0),"                       с высотным коэффициентом  = "&amp;M48,IF(AND(0&lt;B48,B48&lt;1,C48&gt;1),"            Демонтаж на высоте с коэф. = "&amp;M48,IF(AND(1&lt;B48,C48=0),"     Монтаж и демонтаж с коэффициентом  = "&amp;M48,IF(AND(B48&gt;1,C48&lt;&gt;0),"    Монтаж и демонтаж на высоте с коэф. = "&amp;M48,"")))))</f>
        <v/>
      </c>
      <c r="E48" s="222">
        <v>45</v>
      </c>
      <c r="F48" s="223"/>
      <c r="G48" s="62">
        <f>H48+I48+K48</f>
        <v>1893.15</v>
      </c>
      <c r="H48" s="116">
        <f>ROUND(IF(M48=0,H47*E48,H47*E48*M48),2)</f>
        <v>1535.4</v>
      </c>
      <c r="I48" s="62">
        <f>ROUND(IF(M48=0,I47*E48,I47*E48*M48),2)</f>
        <v>0</v>
      </c>
      <c r="J48" s="62">
        <f>ROUND(IF(M48=0,J47*E48,J47*E48*M48),2)</f>
        <v>0</v>
      </c>
      <c r="K48" s="66">
        <f>ROUND(IF(AND(0&lt;B48,B48&lt;1),0,K47*E48),2)</f>
        <v>357.75</v>
      </c>
      <c r="L48" s="62">
        <f>ROUND(IF(M48=0,L47*E48,L47*E48*M48),2)</f>
        <v>180</v>
      </c>
      <c r="M48" s="150">
        <f>IF(B48*C48&lt;&gt;0, B48*C48,IF(B48+C48=0,0,IF(B48=0,C48,IF(C48=0,B48,))))</f>
        <v>0</v>
      </c>
      <c r="N48" s="151">
        <f>B48</f>
        <v>0</v>
      </c>
      <c r="O48" s="152">
        <f>C48</f>
        <v>0</v>
      </c>
    </row>
    <row r="49" spans="1:15" ht="13.5" x14ac:dyDescent="0.2">
      <c r="A49" s="48">
        <v>13</v>
      </c>
      <c r="B49" s="242" t="s">
        <v>94</v>
      </c>
      <c r="C49" s="243"/>
      <c r="D49" s="60" t="s">
        <v>95</v>
      </c>
      <c r="E49" s="210" t="s">
        <v>96</v>
      </c>
      <c r="F49" s="211"/>
      <c r="G49" s="112">
        <v>1059.04</v>
      </c>
      <c r="H49" s="115">
        <v>385.48</v>
      </c>
      <c r="I49" s="112">
        <v>156.58000000000001</v>
      </c>
      <c r="J49" s="112">
        <v>17.5</v>
      </c>
      <c r="K49" s="112">
        <v>516.98</v>
      </c>
      <c r="L49" s="112">
        <v>42.5</v>
      </c>
      <c r="M49" s="147"/>
      <c r="N49" s="75"/>
      <c r="O49" s="148"/>
    </row>
    <row r="50" spans="1:15" ht="14.25" customHeight="1" x14ac:dyDescent="0.2">
      <c r="A50" s="47" t="str">
        <f>IF(B50&lt;&gt;0,"k =",IF(C50&lt;&gt;0,"k =",""))</f>
        <v/>
      </c>
      <c r="B50" s="18">
        <v>0</v>
      </c>
      <c r="C50" s="17">
        <v>0</v>
      </c>
      <c r="D50" s="103" t="str">
        <f>IF(AND(0&lt;B50,B50&lt;1,C50=0),"                    Демонтаж с коэффициентом  = "&amp;M50,IF(AND(B50=0,C50&lt;&gt;0),"                       с высотным коэффициентом  = "&amp;M50,IF(AND(0&lt;B50,B50&lt;1,C50&gt;1),"            Демонтаж на высоте с коэф. = "&amp;M50,IF(AND(1&lt;B50,C50=0),"     Монтаж и демонтаж с коэффициентом  = "&amp;M50,IF(AND(B50&gt;1,C50&lt;&gt;0),"    Монтаж и демонтаж на высоте с коэф. = "&amp;M50,"")))))</f>
        <v/>
      </c>
      <c r="E50" s="222">
        <v>23.3</v>
      </c>
      <c r="F50" s="223"/>
      <c r="G50" s="62">
        <f>H50+I50+K50</f>
        <v>24675.62</v>
      </c>
      <c r="H50" s="116">
        <f>ROUND(IF(M50=0,H49*E50,H49*E50*M50),2)</f>
        <v>8981.68</v>
      </c>
      <c r="I50" s="62">
        <f>ROUND(IF(M50=0,I49*E50,I49*E50*M50),2)</f>
        <v>3648.31</v>
      </c>
      <c r="J50" s="62">
        <f>ROUND(IF(M50=0,J49*E50,J49*E50*M50),2)</f>
        <v>407.75</v>
      </c>
      <c r="K50" s="66">
        <f>ROUND(IF(AND(0&lt;B50,B50&lt;1),0,K49*E50),2)</f>
        <v>12045.63</v>
      </c>
      <c r="L50" s="62">
        <f>ROUND(IF(M50=0,L49*E50,L49*E50*M50),2)</f>
        <v>990.25</v>
      </c>
      <c r="M50" s="150">
        <f>IF(B50*C50&lt;&gt;0, B50*C50,IF(B50+C50=0,0,IF(B50=0,C50,IF(C50=0,B50,))))</f>
        <v>0</v>
      </c>
      <c r="N50" s="151">
        <f>B50</f>
        <v>0</v>
      </c>
      <c r="O50" s="152">
        <f>C50</f>
        <v>0</v>
      </c>
    </row>
    <row r="51" spans="1:15" ht="13.5" x14ac:dyDescent="0.2">
      <c r="A51" s="48">
        <v>14</v>
      </c>
      <c r="B51" s="242" t="s">
        <v>97</v>
      </c>
      <c r="C51" s="243"/>
      <c r="D51" s="60" t="s">
        <v>98</v>
      </c>
      <c r="E51" s="210" t="s">
        <v>96</v>
      </c>
      <c r="F51" s="211"/>
      <c r="G51" s="112">
        <v>3085.01</v>
      </c>
      <c r="H51" s="115">
        <v>326.18</v>
      </c>
      <c r="I51" s="112">
        <v>207.45</v>
      </c>
      <c r="J51" s="112">
        <v>2.97</v>
      </c>
      <c r="K51" s="112">
        <v>2551.38</v>
      </c>
      <c r="L51" s="112">
        <v>34.700000000000003</v>
      </c>
      <c r="M51" s="147"/>
      <c r="N51" s="75"/>
      <c r="O51" s="148"/>
    </row>
    <row r="52" spans="1:15" ht="14.25" customHeight="1" x14ac:dyDescent="0.2">
      <c r="A52" s="47" t="str">
        <f>IF(B52&lt;&gt;0,"k =",IF(C52&lt;&gt;0,"k =",""))</f>
        <v/>
      </c>
      <c r="B52" s="18">
        <v>0</v>
      </c>
      <c r="C52" s="17">
        <v>0</v>
      </c>
      <c r="D52" s="103" t="str">
        <f>IF(AND(0&lt;B52,B52&lt;1,C52=0),"                    Демонтаж с коэффициентом  = "&amp;M52,IF(AND(B52=0,C52&lt;&gt;0),"                       с высотным коэффициентом  = "&amp;M52,IF(AND(0&lt;B52,B52&lt;1,C52&gt;1),"            Демонтаж на высоте с коэф. = "&amp;M52,IF(AND(1&lt;B52,C52=0),"     Монтаж и демонтаж с коэффициентом  = "&amp;M52,IF(AND(B52&gt;1,C52&lt;&gt;0),"    Монтаж и демонтаж на высоте с коэф. = "&amp;M52,"")))))</f>
        <v/>
      </c>
      <c r="E52" s="222">
        <v>0.1</v>
      </c>
      <c r="F52" s="223"/>
      <c r="G52" s="62">
        <f>H52+I52+K52</f>
        <v>308.51</v>
      </c>
      <c r="H52" s="116">
        <f>ROUND(IF(M52=0,H51*E52,H51*E52*M52),2)</f>
        <v>32.619999999999997</v>
      </c>
      <c r="I52" s="62">
        <f>ROUND(IF(M52=0,I51*E52,I51*E52*M52),2)</f>
        <v>20.75</v>
      </c>
      <c r="J52" s="62">
        <f>ROUND(IF(M52=0,J51*E52,J51*E52*M52),2)</f>
        <v>0.3</v>
      </c>
      <c r="K52" s="66">
        <f>ROUND(IF(AND(0&lt;B52,B52&lt;1),0,K51*E52),2)</f>
        <v>255.14</v>
      </c>
      <c r="L52" s="62">
        <f>ROUND(IF(M52=0,L51*E52,L51*E52*M52),2)</f>
        <v>3.47</v>
      </c>
      <c r="M52" s="150">
        <f>IF(B52*C52&lt;&gt;0, B52*C52,IF(B52+C52=0,0,IF(B52=0,C52,IF(C52=0,B52,))))</f>
        <v>0</v>
      </c>
      <c r="N52" s="151">
        <f>B52</f>
        <v>0</v>
      </c>
      <c r="O52" s="152">
        <f>C52</f>
        <v>0</v>
      </c>
    </row>
    <row r="53" spans="1:15" ht="13.5" x14ac:dyDescent="0.2">
      <c r="A53" s="48">
        <v>15</v>
      </c>
      <c r="B53" s="242" t="s">
        <v>99</v>
      </c>
      <c r="C53" s="243"/>
      <c r="D53" s="60" t="s">
        <v>100</v>
      </c>
      <c r="E53" s="210" t="s">
        <v>96</v>
      </c>
      <c r="F53" s="211"/>
      <c r="G53" s="112">
        <v>257.87</v>
      </c>
      <c r="H53" s="115">
        <v>52.73</v>
      </c>
      <c r="I53" s="112">
        <v>2.42</v>
      </c>
      <c r="J53" s="112">
        <v>0.14000000000000001</v>
      </c>
      <c r="K53" s="112">
        <v>202.72</v>
      </c>
      <c r="L53" s="112">
        <v>5.61</v>
      </c>
      <c r="M53" s="147"/>
      <c r="N53" s="75"/>
      <c r="O53" s="148"/>
    </row>
    <row r="54" spans="1:15" ht="14.25" customHeight="1" x14ac:dyDescent="0.2">
      <c r="A54" s="47" t="str">
        <f>IF(B54&lt;&gt;0,"k =",IF(C54&lt;&gt;0,"k =",""))</f>
        <v/>
      </c>
      <c r="B54" s="18">
        <v>0</v>
      </c>
      <c r="C54" s="17">
        <v>0</v>
      </c>
      <c r="D54" s="103" t="str">
        <f>IF(AND(0&lt;B54,B54&lt;1,C54=0),"                    Демонтаж с коэффициентом  = "&amp;M54,IF(AND(B54=0,C54&lt;&gt;0),"                       с высотным коэффициентом  = "&amp;M54,IF(AND(0&lt;B54,B54&lt;1,C54&gt;1),"            Демонтаж на высоте с коэф. = "&amp;M54,IF(AND(1&lt;B54,C54=0),"     Монтаж и демонтаж с коэффициентом  = "&amp;M54,IF(AND(B54&gt;1,C54&lt;&gt;0),"    Монтаж и демонтаж на высоте с коэф. = "&amp;M54,"")))))</f>
        <v/>
      </c>
      <c r="E54" s="222">
        <v>0.1</v>
      </c>
      <c r="F54" s="223"/>
      <c r="G54" s="62">
        <f>H54+I54+K54</f>
        <v>25.78</v>
      </c>
      <c r="H54" s="116">
        <f>ROUND(IF(M54=0,H53*E54,H53*E54*M54),2)</f>
        <v>5.27</v>
      </c>
      <c r="I54" s="62">
        <f>ROUND(IF(M54=0,I53*E54,I53*E54*M54),2)</f>
        <v>0.24</v>
      </c>
      <c r="J54" s="62">
        <f>ROUND(IF(M54=0,J53*E54,J53*E54*M54),2)</f>
        <v>0.01</v>
      </c>
      <c r="K54" s="66">
        <f>ROUND(IF(AND(0&lt;B54,B54&lt;1),0,K53*E54),2)</f>
        <v>20.27</v>
      </c>
      <c r="L54" s="62">
        <f>ROUND(IF(M54=0,L53*E54,L53*E54*M54),2)</f>
        <v>0.56000000000000005</v>
      </c>
      <c r="M54" s="150">
        <f>IF(B54*C54&lt;&gt;0, B54*C54,IF(B54+C54=0,0,IF(B54=0,C54,IF(C54=0,B54,))))</f>
        <v>0</v>
      </c>
      <c r="N54" s="151">
        <f>B54</f>
        <v>0</v>
      </c>
      <c r="O54" s="152">
        <f>C54</f>
        <v>0</v>
      </c>
    </row>
    <row r="55" spans="1:15" ht="13.5" x14ac:dyDescent="0.2">
      <c r="A55" s="48">
        <v>16</v>
      </c>
      <c r="B55" s="242" t="s">
        <v>101</v>
      </c>
      <c r="C55" s="243"/>
      <c r="D55" s="60" t="s">
        <v>102</v>
      </c>
      <c r="E55" s="210" t="s">
        <v>96</v>
      </c>
      <c r="F55" s="211"/>
      <c r="G55" s="112">
        <v>237.65</v>
      </c>
      <c r="H55" s="115">
        <v>154.91999999999999</v>
      </c>
      <c r="I55" s="112">
        <v>31.2</v>
      </c>
      <c r="J55" s="112">
        <v>0.12</v>
      </c>
      <c r="K55" s="112">
        <v>51.53</v>
      </c>
      <c r="L55" s="112">
        <v>16.29</v>
      </c>
      <c r="M55" s="147"/>
      <c r="N55" s="75"/>
      <c r="O55" s="148"/>
    </row>
    <row r="56" spans="1:15" ht="14.25" customHeight="1" x14ac:dyDescent="0.2">
      <c r="A56" s="47" t="str">
        <f>IF(B56&lt;&gt;0,"k =",IF(C56&lt;&gt;0,"k =",""))</f>
        <v/>
      </c>
      <c r="B56" s="18">
        <v>0</v>
      </c>
      <c r="C56" s="17">
        <v>0</v>
      </c>
      <c r="D56" s="103" t="str">
        <f>IF(AND(0&lt;B56,B56&lt;1,C56=0),"                    Демонтаж с коэффициентом  = "&amp;M56,IF(AND(B56=0,C56&lt;&gt;0),"                       с высотным коэффициентом  = "&amp;M56,IF(AND(0&lt;B56,B56&lt;1,C56&gt;1),"            Демонтаж на высоте с коэф. = "&amp;M56,IF(AND(1&lt;B56,C56=0),"     Монтаж и демонтаж с коэффициентом  = "&amp;M56,IF(AND(B56&gt;1,C56&lt;&gt;0),"    Монтаж и демонтаж на высоте с коэф. = "&amp;M56,"")))))</f>
        <v/>
      </c>
      <c r="E56" s="222">
        <v>2.6</v>
      </c>
      <c r="F56" s="223"/>
      <c r="G56" s="62">
        <f>H56+I56+K56</f>
        <v>617.89</v>
      </c>
      <c r="H56" s="116">
        <f>ROUND(IF(M56=0,H55*E56,H55*E56*M56),2)</f>
        <v>402.79</v>
      </c>
      <c r="I56" s="62">
        <f>ROUND(IF(M56=0,I55*E56,I55*E56*M56),2)</f>
        <v>81.12</v>
      </c>
      <c r="J56" s="62">
        <f>ROUND(IF(M56=0,J55*E56,J55*E56*M56),2)</f>
        <v>0.31</v>
      </c>
      <c r="K56" s="66">
        <f>ROUND(IF(AND(0&lt;B56,B56&lt;1),0,K55*E56),2)</f>
        <v>133.97999999999999</v>
      </c>
      <c r="L56" s="62">
        <f>ROUND(IF(M56=0,L55*E56,L55*E56*M56),2)</f>
        <v>42.35</v>
      </c>
      <c r="M56" s="150">
        <f>IF(B56*C56&lt;&gt;0, B56*C56,IF(B56+C56=0,0,IF(B56=0,C56,IF(C56=0,B56,))))</f>
        <v>0</v>
      </c>
      <c r="N56" s="151">
        <f>B56</f>
        <v>0</v>
      </c>
      <c r="O56" s="152">
        <f>C56</f>
        <v>0</v>
      </c>
    </row>
    <row r="57" spans="1:15" ht="13.5" x14ac:dyDescent="0.2">
      <c r="A57" s="48">
        <v>17</v>
      </c>
      <c r="B57" s="242" t="s">
        <v>103</v>
      </c>
      <c r="C57" s="243"/>
      <c r="D57" s="60" t="s">
        <v>104</v>
      </c>
      <c r="E57" s="210" t="s">
        <v>96</v>
      </c>
      <c r="F57" s="211"/>
      <c r="G57" s="112">
        <v>137.30000000000001</v>
      </c>
      <c r="H57" s="115">
        <v>33.090000000000003</v>
      </c>
      <c r="I57" s="112">
        <v>51</v>
      </c>
      <c r="J57" s="112">
        <v>18.23</v>
      </c>
      <c r="K57" s="112">
        <v>53.21</v>
      </c>
      <c r="L57" s="112">
        <v>3.52</v>
      </c>
      <c r="M57" s="147"/>
      <c r="N57" s="75"/>
      <c r="O57" s="148"/>
    </row>
    <row r="58" spans="1:15" ht="14.25" customHeight="1" x14ac:dyDescent="0.2">
      <c r="A58" s="47" t="str">
        <f>IF(B58&lt;&gt;0,"k =",IF(C58&lt;&gt;0,"k =",""))</f>
        <v/>
      </c>
      <c r="B58" s="18">
        <v>0</v>
      </c>
      <c r="C58" s="17">
        <v>0</v>
      </c>
      <c r="D58" s="103" t="str">
        <f>IF(AND(0&lt;B58,B58&lt;1,C58=0),"                    Демонтаж с коэффициентом  = "&amp;M58,IF(AND(B58=0,C58&lt;&gt;0),"                       с высотным коэффициентом  = "&amp;M58,IF(AND(0&lt;B58,B58&lt;1,C58&gt;1),"            Демонтаж на высоте с коэф. = "&amp;M58,IF(AND(1&lt;B58,C58=0),"     Монтаж и демонтаж с коэффициентом  = "&amp;M58,IF(AND(B58&gt;1,C58&lt;&gt;0),"    Монтаж и демонтаж на высоте с коэф. = "&amp;M58,"")))))</f>
        <v/>
      </c>
      <c r="E58" s="222">
        <v>2.6</v>
      </c>
      <c r="F58" s="223"/>
      <c r="G58" s="62">
        <f>H58+I58+K58</f>
        <v>356.98</v>
      </c>
      <c r="H58" s="116">
        <f>ROUND(IF(M58=0,H57*E58,H57*E58*M58),2)</f>
        <v>86.03</v>
      </c>
      <c r="I58" s="62">
        <f>ROUND(IF(M58=0,I57*E58,I57*E58*M58),2)</f>
        <v>132.6</v>
      </c>
      <c r="J58" s="62">
        <f>ROUND(IF(M58=0,J57*E58,J57*E58*M58),2)</f>
        <v>47.4</v>
      </c>
      <c r="K58" s="66">
        <f>ROUND(IF(AND(0&lt;B58,B58&lt;1),0,K57*E58),2)</f>
        <v>138.35</v>
      </c>
      <c r="L58" s="62">
        <f>ROUND(IF(M58=0,L57*E58,L57*E58*M58),2)</f>
        <v>9.15</v>
      </c>
      <c r="M58" s="150">
        <f>IF(B58*C58&lt;&gt;0, B58*C58,IF(B58+C58=0,0,IF(B58=0,C58,IF(C58=0,B58,))))</f>
        <v>0</v>
      </c>
      <c r="N58" s="151">
        <f>B58</f>
        <v>0</v>
      </c>
      <c r="O58" s="152">
        <f>C58</f>
        <v>0</v>
      </c>
    </row>
    <row r="59" spans="1:15" ht="13.5" x14ac:dyDescent="0.2">
      <c r="A59" s="48">
        <v>18</v>
      </c>
      <c r="B59" s="242" t="s">
        <v>105</v>
      </c>
      <c r="C59" s="243"/>
      <c r="D59" s="60" t="s">
        <v>106</v>
      </c>
      <c r="E59" s="210" t="s">
        <v>71</v>
      </c>
      <c r="F59" s="211"/>
      <c r="G59" s="112">
        <v>15.81</v>
      </c>
      <c r="H59" s="115">
        <v>12.25</v>
      </c>
      <c r="I59" s="112">
        <v>0.25</v>
      </c>
      <c r="J59" s="112">
        <v>0</v>
      </c>
      <c r="K59" s="112">
        <v>3.31</v>
      </c>
      <c r="L59" s="112">
        <v>1.2</v>
      </c>
      <c r="M59" s="147"/>
      <c r="N59" s="75"/>
      <c r="O59" s="148"/>
    </row>
    <row r="60" spans="1:15" ht="14.25" customHeight="1" x14ac:dyDescent="0.2">
      <c r="A60" s="47" t="str">
        <f>IF(B60&lt;&gt;0,"k =",IF(C60&lt;&gt;0,"k =",""))</f>
        <v/>
      </c>
      <c r="B60" s="18">
        <v>0</v>
      </c>
      <c r="C60" s="17">
        <v>0</v>
      </c>
      <c r="D60" s="103" t="str">
        <f>IF(AND(0&lt;B60,B60&lt;1,C60=0),"                    Демонтаж с коэффициентом  = "&amp;M60,IF(AND(B60=0,C60&lt;&gt;0),"                       с высотным коэффициентом  = "&amp;M60,IF(AND(0&lt;B60,B60&lt;1,C60&gt;1),"            Демонтаж на высоте с коэф. = "&amp;M60,IF(AND(1&lt;B60,C60=0),"     Монтаж и демонтаж с коэффициентом  = "&amp;M60,IF(AND(B60&gt;1,C60&lt;&gt;0),"    Монтаж и демонтаж на высоте с коэф. = "&amp;M60,"")))))</f>
        <v/>
      </c>
      <c r="E60" s="222">
        <v>30</v>
      </c>
      <c r="F60" s="223"/>
      <c r="G60" s="62">
        <f>H60+I60+K60</f>
        <v>474.3</v>
      </c>
      <c r="H60" s="116">
        <f>ROUND(IF(M60=0,H59*E60,H59*E60*M60),2)</f>
        <v>367.5</v>
      </c>
      <c r="I60" s="62">
        <f>ROUND(IF(M60=0,I59*E60,I59*E60*M60),2)</f>
        <v>7.5</v>
      </c>
      <c r="J60" s="62">
        <f>ROUND(IF(M60=0,J59*E60,J59*E60*M60),2)</f>
        <v>0</v>
      </c>
      <c r="K60" s="66">
        <f>ROUND(IF(AND(0&lt;B60,B60&lt;1),0,K59*E60),2)</f>
        <v>99.3</v>
      </c>
      <c r="L60" s="62">
        <f>ROUND(IF(M60=0,L59*E60,L59*E60*M60),2)</f>
        <v>36</v>
      </c>
      <c r="M60" s="150">
        <f>IF(B60*C60&lt;&gt;0, B60*C60,IF(B60+C60=0,0,IF(B60=0,C60,IF(C60=0,B60,))))</f>
        <v>0</v>
      </c>
      <c r="N60" s="151">
        <f>B60</f>
        <v>0</v>
      </c>
      <c r="O60" s="152">
        <f>C60</f>
        <v>0</v>
      </c>
    </row>
    <row r="61" spans="1:15" ht="13.5" x14ac:dyDescent="0.2">
      <c r="A61" s="48">
        <v>19</v>
      </c>
      <c r="B61" s="242" t="s">
        <v>107</v>
      </c>
      <c r="C61" s="243"/>
      <c r="D61" s="60" t="s">
        <v>108</v>
      </c>
      <c r="E61" s="210" t="s">
        <v>71</v>
      </c>
      <c r="F61" s="211"/>
      <c r="G61" s="112">
        <v>59.66</v>
      </c>
      <c r="H61" s="115">
        <v>56.05</v>
      </c>
      <c r="I61" s="112">
        <v>0</v>
      </c>
      <c r="J61" s="112">
        <v>0</v>
      </c>
      <c r="K61" s="112">
        <v>3.61</v>
      </c>
      <c r="L61" s="112">
        <v>6.18</v>
      </c>
      <c r="M61" s="147"/>
      <c r="N61" s="75"/>
      <c r="O61" s="148"/>
    </row>
    <row r="62" spans="1:15" ht="14.25" customHeight="1" x14ac:dyDescent="0.2">
      <c r="A62" s="47" t="str">
        <f>IF(B62&lt;&gt;0,"k =",IF(C62&lt;&gt;0,"k =",""))</f>
        <v/>
      </c>
      <c r="B62" s="18">
        <v>0</v>
      </c>
      <c r="C62" s="17">
        <v>0</v>
      </c>
      <c r="D62" s="103" t="str">
        <f>IF(AND(0&lt;B62,B62&lt;1,C62=0),"                    Демонтаж с коэффициентом  = "&amp;M62,IF(AND(B62=0,C62&lt;&gt;0),"                       с высотным коэффициентом  = "&amp;M62,IF(AND(0&lt;B62,B62&lt;1,C62&gt;1),"            Демонтаж на высоте с коэф. = "&amp;M62,IF(AND(1&lt;B62,C62=0),"     Монтаж и демонтаж с коэффициентом  = "&amp;M62,IF(AND(B62&gt;1,C62&lt;&gt;0),"    Монтаж и демонтаж на высоте с коэф. = "&amp;M62,"")))))</f>
        <v/>
      </c>
      <c r="E62" s="222">
        <v>30</v>
      </c>
      <c r="F62" s="223"/>
      <c r="G62" s="62">
        <f>H62+I62+K62</f>
        <v>1789.8</v>
      </c>
      <c r="H62" s="116">
        <f>ROUND(IF(M62=0,H61*E62,H61*E62*M62),2)</f>
        <v>1681.5</v>
      </c>
      <c r="I62" s="62">
        <f>ROUND(IF(M62=0,I61*E62,I61*E62*M62),2)</f>
        <v>0</v>
      </c>
      <c r="J62" s="62">
        <f>ROUND(IF(M62=0,J61*E62,J61*E62*M62),2)</f>
        <v>0</v>
      </c>
      <c r="K62" s="66">
        <f>ROUND(IF(AND(0&lt;B62,B62&lt;1),0,K61*E62),2)</f>
        <v>108.3</v>
      </c>
      <c r="L62" s="62">
        <f>ROUND(IF(M62=0,L61*E62,L61*E62*M62),2)</f>
        <v>185.4</v>
      </c>
      <c r="M62" s="150">
        <f>IF(B62*C62&lt;&gt;0, B62*C62,IF(B62+C62=0,0,IF(B62=0,C62,IF(C62=0,B62,))))</f>
        <v>0</v>
      </c>
      <c r="N62" s="151">
        <f>B62</f>
        <v>0</v>
      </c>
      <c r="O62" s="152">
        <f>C62</f>
        <v>0</v>
      </c>
    </row>
    <row r="63" spans="1:15" ht="14.45" customHeight="1" x14ac:dyDescent="0.2">
      <c r="A63" s="254" t="s">
        <v>55</v>
      </c>
      <c r="B63" s="255"/>
      <c r="C63" s="255"/>
      <c r="D63" s="255"/>
      <c r="E63" s="255"/>
      <c r="F63" s="256"/>
      <c r="G63" s="63">
        <f>H63+I63+K63</f>
        <v>35366.82</v>
      </c>
      <c r="H63" s="63">
        <f>H26+H28+H30+H32+H34+H36+H38+H40+H42+H44+H46+H48+H50+H52+H54+H56+H58+H60+H62</f>
        <v>17345.340000000004</v>
      </c>
      <c r="I63" s="63">
        <f t="shared" ref="I63:L63" si="0">I26+I28+I30+I32+I34+I36+I38+I40+I42+I44+I46+I48+I50+I52+I54+I56+I58+I60+I62</f>
        <v>3982.7699999999995</v>
      </c>
      <c r="J63" s="63">
        <f t="shared" si="0"/>
        <v>457.93</v>
      </c>
      <c r="K63" s="63">
        <f t="shared" si="0"/>
        <v>14038.709999999997</v>
      </c>
      <c r="L63" s="63">
        <f t="shared" si="0"/>
        <v>1888.38</v>
      </c>
      <c r="M63" s="147"/>
      <c r="N63" s="75"/>
      <c r="O63" s="148"/>
    </row>
    <row r="64" spans="1:15" ht="14.45" hidden="1" customHeight="1" x14ac:dyDescent="0.2">
      <c r="A64" s="206" t="s">
        <v>53</v>
      </c>
      <c r="B64" s="207"/>
      <c r="C64" s="207"/>
      <c r="D64" s="207"/>
      <c r="E64" s="207"/>
      <c r="F64" s="138">
        <v>1</v>
      </c>
      <c r="G64" s="79">
        <f>ROUND(H64+I64+K64,2)</f>
        <v>35366.82</v>
      </c>
      <c r="H64" s="79">
        <f>H63*F64</f>
        <v>17345.340000000004</v>
      </c>
      <c r="I64" s="79">
        <f>I63+J64-J63</f>
        <v>3982.77</v>
      </c>
      <c r="J64" s="79">
        <f>J63*F64</f>
        <v>457.93</v>
      </c>
      <c r="K64" s="79">
        <f>K63</f>
        <v>14038.709999999997</v>
      </c>
      <c r="L64" s="79">
        <f>L63*F64</f>
        <v>1888.38</v>
      </c>
      <c r="M64" s="147"/>
      <c r="N64" s="75"/>
      <c r="O64" s="148"/>
    </row>
    <row r="65" spans="1:15" ht="14.45" hidden="1" customHeight="1" x14ac:dyDescent="0.2">
      <c r="A65" s="240" t="s">
        <v>43</v>
      </c>
      <c r="B65" s="241"/>
      <c r="C65" s="241"/>
      <c r="D65" s="241"/>
      <c r="E65" s="241"/>
      <c r="F65" s="61">
        <v>1</v>
      </c>
      <c r="G65" s="46">
        <f>ROUND(H65+I65+K65,2)</f>
        <v>35366.82</v>
      </c>
      <c r="H65" s="67">
        <f>H64*F65</f>
        <v>17345.340000000004</v>
      </c>
      <c r="I65" s="80">
        <f>I64+J65-J64</f>
        <v>3982.77</v>
      </c>
      <c r="J65" s="64">
        <f>J64*F65</f>
        <v>457.93</v>
      </c>
      <c r="K65" s="64">
        <f>K64</f>
        <v>14038.709999999997</v>
      </c>
      <c r="L65" s="64">
        <f>L64*F65</f>
        <v>1888.38</v>
      </c>
      <c r="M65" s="147"/>
      <c r="N65" s="75"/>
      <c r="O65" s="148"/>
    </row>
    <row r="66" spans="1:15" ht="14.45" hidden="1" customHeight="1" x14ac:dyDescent="0.2">
      <c r="A66" s="240" t="s">
        <v>42</v>
      </c>
      <c r="B66" s="241"/>
      <c r="C66" s="241"/>
      <c r="D66" s="241"/>
      <c r="E66" s="241"/>
      <c r="F66" s="61">
        <v>1</v>
      </c>
      <c r="G66" s="46">
        <f>ROUND(H66+I66+K66,2)</f>
        <v>35366.82</v>
      </c>
      <c r="H66" s="67">
        <f>H65*F66</f>
        <v>17345.340000000004</v>
      </c>
      <c r="I66" s="80">
        <f>I65+J66-J65</f>
        <v>3982.77</v>
      </c>
      <c r="J66" s="64">
        <f>J65*F66</f>
        <v>457.93</v>
      </c>
      <c r="K66" s="80">
        <f>K65</f>
        <v>14038.709999999997</v>
      </c>
      <c r="L66" s="64">
        <f>L65*F66</f>
        <v>1888.38</v>
      </c>
      <c r="M66" s="147"/>
      <c r="N66" s="75"/>
      <c r="O66" s="148"/>
    </row>
    <row r="67" spans="1:15" ht="14.45" hidden="1" customHeight="1" x14ac:dyDescent="0.2">
      <c r="A67" s="107">
        <f>1+F67</f>
        <v>1</v>
      </c>
      <c r="B67" s="241" t="str">
        <f>"С учетом зимних условий работ = "&amp;G66&amp;" +"</f>
        <v>С учетом зимних условий работ = 35366,82 +</v>
      </c>
      <c r="C67" s="241"/>
      <c r="D67" s="241"/>
      <c r="E67" s="241"/>
      <c r="F67" s="153">
        <v>0</v>
      </c>
      <c r="G67" s="46">
        <f>ROUND(H67+I67+K67,2)</f>
        <v>35366.82</v>
      </c>
      <c r="H67" s="67">
        <f>H66*A67</f>
        <v>17345.340000000004</v>
      </c>
      <c r="I67" s="64">
        <f>I66*A67</f>
        <v>3982.77</v>
      </c>
      <c r="J67" s="64">
        <f>J66*A67</f>
        <v>457.93</v>
      </c>
      <c r="K67" s="64">
        <f>K66*A67</f>
        <v>14038.709999999997</v>
      </c>
      <c r="L67" s="64">
        <f>ROUND(L66*A67,2)</f>
        <v>1888.38</v>
      </c>
      <c r="M67" s="147"/>
      <c r="N67" s="75"/>
      <c r="O67" s="148"/>
    </row>
    <row r="68" spans="1:15" ht="14.25" customHeight="1" x14ac:dyDescent="0.2">
      <c r="A68" s="245" t="str">
        <f>"Пересчет в текущие цены на "&amp;E69&amp;" (ОЗП*"&amp;H69&amp;"; ЗПМ*"&amp;J69&amp;"; ЭМ*"&amp;I69&amp;"; МАТ*"&amp;K69&amp;")"</f>
        <v>Пересчет в текущие цены на 4кв. 2012г. (ОЗП*12,48; ЗПМ*7,54; ЭМ*5,45; МАТ*3,99)</v>
      </c>
      <c r="B68" s="246"/>
      <c r="C68" s="246"/>
      <c r="D68" s="246"/>
      <c r="E68" s="246"/>
      <c r="F68" s="247"/>
      <c r="G68" s="80">
        <f>H68+I68+K68</f>
        <v>294190.39</v>
      </c>
      <c r="H68" s="80">
        <f>ROUND(H67*H69,2)</f>
        <v>216469.84</v>
      </c>
      <c r="I68" s="80">
        <f>ROUND(I67*I69,2)</f>
        <v>21706.1</v>
      </c>
      <c r="J68" s="80">
        <f>ROUND(J67*J69,2)</f>
        <v>3452.79</v>
      </c>
      <c r="K68" s="80">
        <f>ROUND(K67*K69,2)</f>
        <v>56014.45</v>
      </c>
      <c r="L68" s="80">
        <f>L67</f>
        <v>1888.38</v>
      </c>
      <c r="M68" s="147"/>
      <c r="N68" s="75"/>
      <c r="O68" s="148"/>
    </row>
    <row r="69" spans="1:15" ht="16.5" hidden="1" customHeight="1" x14ac:dyDescent="0.2">
      <c r="A69" s="208" t="s">
        <v>45</v>
      </c>
      <c r="B69" s="209"/>
      <c r="C69" s="209"/>
      <c r="D69" s="209"/>
      <c r="E69" s="216" t="str">
        <f>TRUNC((RIGHT(LEFT("23.10.2012",5),2)-1)/3,0)+1&amp;"кв. "&amp;RIGHT("23.10.2012",4)&amp;"г."</f>
        <v>4кв. 2012г.</v>
      </c>
      <c r="F69" s="216"/>
      <c r="G69" s="135" t="s">
        <v>33</v>
      </c>
      <c r="H69" s="163">
        <v>12.48</v>
      </c>
      <c r="I69" s="163">
        <v>5.45</v>
      </c>
      <c r="J69" s="163">
        <v>7.54</v>
      </c>
      <c r="K69" s="163">
        <v>3.99</v>
      </c>
      <c r="L69" s="136"/>
      <c r="M69" s="147"/>
      <c r="N69" s="75"/>
      <c r="O69" s="148"/>
    </row>
    <row r="70" spans="1:15" s="75" customFormat="1" ht="14.45" customHeight="1" x14ac:dyDescent="0.2">
      <c r="A70" s="240" t="s">
        <v>59</v>
      </c>
      <c r="B70" s="241"/>
      <c r="C70" s="241"/>
      <c r="D70" s="241"/>
      <c r="E70" s="241"/>
      <c r="F70" s="257"/>
      <c r="G70" s="80">
        <f>ROUND(H68+J68,2)</f>
        <v>219922.63</v>
      </c>
      <c r="H70" s="127"/>
      <c r="I70" s="127"/>
      <c r="J70" s="127"/>
      <c r="K70" s="127"/>
      <c r="L70" s="121"/>
      <c r="M70" s="147"/>
      <c r="O70" s="148"/>
    </row>
    <row r="71" spans="1:15" ht="14.45" customHeight="1" x14ac:dyDescent="0.2">
      <c r="A71" s="212" t="str">
        <f>"Накладные расходы (НР) на ФОТ (письмо №3757-КК/08 Минрегиона РФ) = "&amp;G70&amp;" х"</f>
        <v>Накладные расходы (НР) на ФОТ (письмо №3757-КК/08 Минрегиона РФ) = 219922,63 х</v>
      </c>
      <c r="B71" s="213"/>
      <c r="C71" s="213"/>
      <c r="D71" s="213"/>
      <c r="E71" s="213"/>
      <c r="F71" s="154">
        <v>0.6</v>
      </c>
      <c r="G71" s="130">
        <f>ROUND(F71*G70,2)</f>
        <v>131953.57999999999</v>
      </c>
      <c r="H71" s="161">
        <f>IF(I71=0%,F71/0.9*0.8,F71)</f>
        <v>0.53333333333333333</v>
      </c>
      <c r="I71" s="168">
        <v>0</v>
      </c>
      <c r="J71" s="25"/>
      <c r="K71" s="25"/>
      <c r="L71" s="122" t="s">
        <v>44</v>
      </c>
      <c r="M71" s="147"/>
      <c r="N71" s="75"/>
      <c r="O71" s="148"/>
    </row>
    <row r="72" spans="1:15" ht="14.45" customHeight="1" x14ac:dyDescent="0.2">
      <c r="A72" s="212" t="str">
        <f>"Сметная прибыль (СП) на ФОТ (письмо №3757-КК/08 Минрегиона РФ) = "&amp;G70&amp;" х"</f>
        <v>Сметная прибыль (СП) на ФОТ (письмо №3757-КК/08 Минрегиона РФ) = 219922,63 х</v>
      </c>
      <c r="B72" s="244"/>
      <c r="C72" s="244"/>
      <c r="D72" s="244"/>
      <c r="E72" s="244"/>
      <c r="F72" s="154">
        <v>0.43</v>
      </c>
      <c r="G72" s="130">
        <f>ROUND(G70*F72,2)</f>
        <v>94566.73</v>
      </c>
      <c r="H72" s="160">
        <f>IF(I71=0%,F72/0.8,0)</f>
        <v>0.53749999999999998</v>
      </c>
      <c r="I72" s="119"/>
      <c r="J72" s="120"/>
      <c r="K72" s="120"/>
      <c r="L72" s="123"/>
      <c r="M72" s="106"/>
      <c r="N72" s="12"/>
      <c r="O72" s="105"/>
    </row>
    <row r="73" spans="1:15" ht="18.75" customHeight="1" thickBot="1" x14ac:dyDescent="0.25">
      <c r="A73" s="214" t="str">
        <f>"Итого по разделу = ПЗ + НР+ СП = "&amp;G68&amp;" + "&amp;G71&amp;" + "&amp;G72&amp;" = "</f>
        <v xml:space="preserve">Итого по разделу = ПЗ + НР+ СП = 294190,39 + 131953,58 + 94566,73 = </v>
      </c>
      <c r="B73" s="214"/>
      <c r="C73" s="214"/>
      <c r="D73" s="214"/>
      <c r="E73" s="214"/>
      <c r="F73" s="215"/>
      <c r="G73" s="129">
        <f>G68+G71+G72</f>
        <v>520710.69999999995</v>
      </c>
      <c r="H73" s="70"/>
      <c r="I73" s="252"/>
      <c r="J73" s="253"/>
      <c r="K73" s="253"/>
      <c r="L73" s="77"/>
      <c r="M73" s="147"/>
      <c r="N73" s="75"/>
      <c r="O73" s="148"/>
    </row>
    <row r="74" spans="1:15" ht="8.25" customHeight="1" thickBot="1" x14ac:dyDescent="0.25">
      <c r="A74" s="76"/>
      <c r="B74" s="76"/>
      <c r="C74" s="76"/>
      <c r="D74" s="76"/>
      <c r="E74" s="77"/>
      <c r="F74" s="77"/>
      <c r="G74" s="77"/>
      <c r="H74" s="78"/>
      <c r="I74" s="78"/>
      <c r="J74" s="77"/>
      <c r="K74" s="77"/>
      <c r="L74" s="77"/>
      <c r="M74" s="147"/>
      <c r="N74" s="75"/>
      <c r="O74" s="148"/>
    </row>
    <row r="75" spans="1:15" ht="20.25" customHeight="1" thickTop="1" thickBot="1" x14ac:dyDescent="0.25">
      <c r="A75" s="179"/>
      <c r="B75" s="179"/>
      <c r="C75" s="179"/>
      <c r="D75" s="38" t="s">
        <v>32</v>
      </c>
      <c r="E75" s="180" t="s">
        <v>46</v>
      </c>
      <c r="F75" s="181"/>
      <c r="G75" s="167" t="s">
        <v>31</v>
      </c>
      <c r="H75" s="26" t="s">
        <v>29</v>
      </c>
      <c r="I75" s="22" t="s">
        <v>30</v>
      </c>
      <c r="J75" s="68" t="s">
        <v>8</v>
      </c>
      <c r="K75" s="82" t="s">
        <v>35</v>
      </c>
      <c r="L75" s="83" t="s">
        <v>39</v>
      </c>
      <c r="M75" s="147"/>
      <c r="N75" s="75"/>
      <c r="O75" s="148"/>
    </row>
    <row r="76" spans="1:15" ht="21.75" customHeight="1" thickTop="1" x14ac:dyDescent="0.2">
      <c r="A76" s="19"/>
      <c r="B76" s="16"/>
      <c r="C76" s="16"/>
      <c r="D76" s="27"/>
      <c r="E76" s="182">
        <f>ROUND(G73+0,2)</f>
        <v>520710.7</v>
      </c>
      <c r="F76" s="183"/>
      <c r="G76" s="53">
        <f>G70</f>
        <v>219922.63</v>
      </c>
      <c r="H76" s="54">
        <f>G71</f>
        <v>131953.57999999999</v>
      </c>
      <c r="I76" s="54">
        <f>G72</f>
        <v>94566.73</v>
      </c>
      <c r="J76" s="54">
        <f>I68</f>
        <v>21706.1</v>
      </c>
      <c r="K76" s="54">
        <f>K68</f>
        <v>56014.45</v>
      </c>
      <c r="L76" s="43">
        <f>L68</f>
        <v>1888.38</v>
      </c>
      <c r="M76" s="147"/>
      <c r="N76" s="75"/>
      <c r="O76" s="148"/>
    </row>
    <row r="77" spans="1:15" ht="8.25" customHeight="1" x14ac:dyDescent="0.2">
      <c r="A77" s="19"/>
      <c r="B77" s="16"/>
      <c r="C77" s="16"/>
      <c r="D77" s="20"/>
      <c r="E77" s="55"/>
      <c r="F77" s="55"/>
      <c r="G77" s="55"/>
      <c r="H77" s="55"/>
      <c r="I77" s="55"/>
      <c r="J77" s="55"/>
      <c r="K77" s="55"/>
      <c r="L77" s="51"/>
      <c r="M77" s="147"/>
      <c r="N77" s="75"/>
      <c r="O77" s="148"/>
    </row>
    <row r="78" spans="1:15" ht="31.5" customHeight="1" x14ac:dyDescent="0.2">
      <c r="A78" s="178" t="s">
        <v>48</v>
      </c>
      <c r="B78" s="178"/>
      <c r="C78" s="178"/>
      <c r="D78" s="178"/>
      <c r="E78" s="178"/>
      <c r="F78" s="178"/>
      <c r="G78" s="178"/>
      <c r="H78" s="178"/>
      <c r="I78" s="178"/>
      <c r="J78" s="178"/>
      <c r="K78" s="178"/>
      <c r="L78" s="52"/>
      <c r="M78" s="147"/>
      <c r="N78" s="75"/>
      <c r="O78" s="148"/>
    </row>
    <row r="79" spans="1:15" ht="24.75" customHeight="1" x14ac:dyDescent="0.2">
      <c r="A79" s="56" t="s">
        <v>12</v>
      </c>
      <c r="B79" s="203" t="s">
        <v>56</v>
      </c>
      <c r="C79" s="204"/>
      <c r="D79" s="204"/>
      <c r="E79" s="204"/>
      <c r="F79" s="204"/>
      <c r="G79" s="205"/>
      <c r="H79" s="57" t="s">
        <v>13</v>
      </c>
      <c r="I79" s="58" t="s">
        <v>11</v>
      </c>
      <c r="J79" s="59" t="s">
        <v>21</v>
      </c>
      <c r="K79" s="199" t="s">
        <v>27</v>
      </c>
      <c r="L79" s="200"/>
      <c r="M79" s="147"/>
      <c r="N79" s="75"/>
      <c r="O79" s="148"/>
    </row>
    <row r="80" spans="1:15" s="75" customFormat="1" ht="14.25" customHeight="1" x14ac:dyDescent="0.2">
      <c r="A80" s="156">
        <v>1</v>
      </c>
      <c r="B80" s="259" t="s">
        <v>109</v>
      </c>
      <c r="C80" s="260"/>
      <c r="D80" s="260"/>
      <c r="E80" s="260"/>
      <c r="F80" s="260"/>
      <c r="G80" s="261"/>
      <c r="H80" s="157" t="s">
        <v>14</v>
      </c>
      <c r="I80" s="158">
        <v>2</v>
      </c>
      <c r="J80" s="159">
        <v>2534</v>
      </c>
      <c r="K80" s="202">
        <f>ROUND(I80*J80,2)</f>
        <v>5068</v>
      </c>
      <c r="L80" s="202"/>
      <c r="M80" s="147"/>
      <c r="O80" s="148"/>
    </row>
    <row r="81" spans="1:15" s="75" customFormat="1" ht="14.25" customHeight="1" x14ac:dyDescent="0.2">
      <c r="A81" s="156">
        <v>2</v>
      </c>
      <c r="B81" s="262" t="s">
        <v>110</v>
      </c>
      <c r="C81" s="263"/>
      <c r="D81" s="263"/>
      <c r="E81" s="263"/>
      <c r="F81" s="263"/>
      <c r="G81" s="264"/>
      <c r="H81" s="157" t="s">
        <v>14</v>
      </c>
      <c r="I81" s="158">
        <v>2</v>
      </c>
      <c r="J81" s="159">
        <v>1911</v>
      </c>
      <c r="K81" s="202">
        <f>ROUND(I81*J81,2)</f>
        <v>3822</v>
      </c>
      <c r="L81" s="202"/>
      <c r="M81" s="147"/>
      <c r="O81" s="148"/>
    </row>
    <row r="82" spans="1:15" s="75" customFormat="1" ht="14.25" customHeight="1" x14ac:dyDescent="0.2">
      <c r="A82" s="156">
        <v>3</v>
      </c>
      <c r="B82" s="262" t="s">
        <v>111</v>
      </c>
      <c r="C82" s="263"/>
      <c r="D82" s="263"/>
      <c r="E82" s="263"/>
      <c r="F82" s="263"/>
      <c r="G82" s="264"/>
      <c r="H82" s="157" t="s">
        <v>14</v>
      </c>
      <c r="I82" s="158">
        <v>4</v>
      </c>
      <c r="J82" s="159">
        <v>2908</v>
      </c>
      <c r="K82" s="202">
        <f>ROUND(I82*J82,2)</f>
        <v>11632</v>
      </c>
      <c r="L82" s="202"/>
      <c r="M82" s="147"/>
      <c r="O82" s="148"/>
    </row>
    <row r="83" spans="1:15" s="75" customFormat="1" ht="14.25" customHeight="1" x14ac:dyDescent="0.2">
      <c r="A83" s="156">
        <v>4</v>
      </c>
      <c r="B83" s="262" t="s">
        <v>112</v>
      </c>
      <c r="C83" s="263"/>
      <c r="D83" s="263"/>
      <c r="E83" s="263"/>
      <c r="F83" s="263"/>
      <c r="G83" s="264"/>
      <c r="H83" s="157" t="s">
        <v>14</v>
      </c>
      <c r="I83" s="158">
        <v>1</v>
      </c>
      <c r="J83" s="159">
        <v>5492</v>
      </c>
      <c r="K83" s="202">
        <f>ROUND(I83*J83,2)</f>
        <v>5492</v>
      </c>
      <c r="L83" s="202"/>
      <c r="M83" s="147"/>
      <c r="O83" s="148"/>
    </row>
    <row r="84" spans="1:15" s="75" customFormat="1" ht="14.25" customHeight="1" x14ac:dyDescent="0.2">
      <c r="A84" s="156">
        <v>5</v>
      </c>
      <c r="B84" s="262" t="s">
        <v>113</v>
      </c>
      <c r="C84" s="263"/>
      <c r="D84" s="263"/>
      <c r="E84" s="263"/>
      <c r="F84" s="263"/>
      <c r="G84" s="264"/>
      <c r="H84" s="157" t="s">
        <v>14</v>
      </c>
      <c r="I84" s="158">
        <v>6</v>
      </c>
      <c r="J84" s="159">
        <v>900</v>
      </c>
      <c r="K84" s="202">
        <f>ROUND(I84*J84,2)</f>
        <v>5400</v>
      </c>
      <c r="L84" s="202"/>
      <c r="M84" s="147"/>
      <c r="O84" s="148"/>
    </row>
    <row r="85" spans="1:15" s="75" customFormat="1" ht="14.25" customHeight="1" x14ac:dyDescent="0.2">
      <c r="A85" s="156">
        <v>6</v>
      </c>
      <c r="B85" s="262" t="s">
        <v>114</v>
      </c>
      <c r="C85" s="263"/>
      <c r="D85" s="263"/>
      <c r="E85" s="263"/>
      <c r="F85" s="263"/>
      <c r="G85" s="264"/>
      <c r="H85" s="157" t="s">
        <v>14</v>
      </c>
      <c r="I85" s="158">
        <v>8</v>
      </c>
      <c r="J85" s="159">
        <v>420</v>
      </c>
      <c r="K85" s="202">
        <f>ROUND(I85*J85,2)</f>
        <v>3360</v>
      </c>
      <c r="L85" s="202"/>
      <c r="M85" s="147"/>
      <c r="O85" s="148"/>
    </row>
    <row r="86" spans="1:15" s="75" customFormat="1" ht="14.25" customHeight="1" x14ac:dyDescent="0.2">
      <c r="A86" s="156">
        <v>7</v>
      </c>
      <c r="B86" s="262" t="s">
        <v>115</v>
      </c>
      <c r="C86" s="263"/>
      <c r="D86" s="263"/>
      <c r="E86" s="263"/>
      <c r="F86" s="263"/>
      <c r="G86" s="264"/>
      <c r="H86" s="157" t="s">
        <v>14</v>
      </c>
      <c r="I86" s="158">
        <v>160</v>
      </c>
      <c r="J86" s="159">
        <v>159</v>
      </c>
      <c r="K86" s="202">
        <f>ROUND(I86*J86,2)</f>
        <v>25440</v>
      </c>
      <c r="L86" s="202"/>
      <c r="M86" s="147"/>
      <c r="O86" s="148"/>
    </row>
    <row r="87" spans="1:15" s="75" customFormat="1" ht="14.25" customHeight="1" x14ac:dyDescent="0.2">
      <c r="A87" s="156">
        <v>8</v>
      </c>
      <c r="B87" s="262" t="s">
        <v>116</v>
      </c>
      <c r="C87" s="263"/>
      <c r="D87" s="263"/>
      <c r="E87" s="263"/>
      <c r="F87" s="263"/>
      <c r="G87" s="264"/>
      <c r="H87" s="157" t="s">
        <v>14</v>
      </c>
      <c r="I87" s="158">
        <v>19</v>
      </c>
      <c r="J87" s="159">
        <v>143</v>
      </c>
      <c r="K87" s="202">
        <f>ROUND(I87*J87,2)</f>
        <v>2717</v>
      </c>
      <c r="L87" s="202"/>
      <c r="M87" s="147"/>
      <c r="O87" s="148"/>
    </row>
    <row r="88" spans="1:15" s="75" customFormat="1" ht="14.25" customHeight="1" x14ac:dyDescent="0.2">
      <c r="A88" s="156">
        <v>9</v>
      </c>
      <c r="B88" s="262" t="s">
        <v>117</v>
      </c>
      <c r="C88" s="263"/>
      <c r="D88" s="263"/>
      <c r="E88" s="263"/>
      <c r="F88" s="263"/>
      <c r="G88" s="264"/>
      <c r="H88" s="157" t="s">
        <v>14</v>
      </c>
      <c r="I88" s="158">
        <v>4</v>
      </c>
      <c r="J88" s="159">
        <v>260</v>
      </c>
      <c r="K88" s="202">
        <f>ROUND(I88*J88,2)</f>
        <v>1040</v>
      </c>
      <c r="L88" s="202"/>
      <c r="M88" s="147"/>
      <c r="O88" s="148"/>
    </row>
    <row r="89" spans="1:15" s="75" customFormat="1" ht="14.25" customHeight="1" x14ac:dyDescent="0.2">
      <c r="A89" s="156">
        <v>10</v>
      </c>
      <c r="B89" s="262" t="s">
        <v>118</v>
      </c>
      <c r="C89" s="263"/>
      <c r="D89" s="263"/>
      <c r="E89" s="263"/>
      <c r="F89" s="263"/>
      <c r="G89" s="264"/>
      <c r="H89" s="157" t="s">
        <v>14</v>
      </c>
      <c r="I89" s="158">
        <v>21</v>
      </c>
      <c r="J89" s="159">
        <v>134</v>
      </c>
      <c r="K89" s="202">
        <f>ROUND(I89*J89,2)</f>
        <v>2814</v>
      </c>
      <c r="L89" s="202"/>
      <c r="M89" s="147"/>
      <c r="O89" s="148"/>
    </row>
    <row r="90" spans="1:15" s="75" customFormat="1" ht="14.25" customHeight="1" x14ac:dyDescent="0.2">
      <c r="A90" s="156">
        <v>11</v>
      </c>
      <c r="B90" s="262" t="s">
        <v>119</v>
      </c>
      <c r="C90" s="263"/>
      <c r="D90" s="263"/>
      <c r="E90" s="263"/>
      <c r="F90" s="263"/>
      <c r="G90" s="264"/>
      <c r="H90" s="157" t="s">
        <v>14</v>
      </c>
      <c r="I90" s="158">
        <v>20</v>
      </c>
      <c r="J90" s="159">
        <v>156</v>
      </c>
      <c r="K90" s="202">
        <f>ROUND(I90*J90,2)</f>
        <v>3120</v>
      </c>
      <c r="L90" s="202"/>
      <c r="M90" s="147"/>
      <c r="O90" s="148"/>
    </row>
    <row r="91" spans="1:15" s="75" customFormat="1" ht="14.25" customHeight="1" x14ac:dyDescent="0.2">
      <c r="A91" s="156">
        <v>12</v>
      </c>
      <c r="B91" s="262" t="s">
        <v>120</v>
      </c>
      <c r="C91" s="263"/>
      <c r="D91" s="263"/>
      <c r="E91" s="263"/>
      <c r="F91" s="263"/>
      <c r="G91" s="264"/>
      <c r="H91" s="157" t="s">
        <v>14</v>
      </c>
      <c r="I91" s="158">
        <v>40</v>
      </c>
      <c r="J91" s="159">
        <v>10.7</v>
      </c>
      <c r="K91" s="202">
        <f>ROUND(I91*J91,2)</f>
        <v>428</v>
      </c>
      <c r="L91" s="202"/>
      <c r="M91" s="147"/>
      <c r="O91" s="148"/>
    </row>
    <row r="92" spans="1:15" s="75" customFormat="1" ht="14.25" customHeight="1" x14ac:dyDescent="0.2">
      <c r="A92" s="156">
        <v>13</v>
      </c>
      <c r="B92" s="262" t="s">
        <v>121</v>
      </c>
      <c r="C92" s="263"/>
      <c r="D92" s="263"/>
      <c r="E92" s="263"/>
      <c r="F92" s="263"/>
      <c r="G92" s="264"/>
      <c r="H92" s="157" t="s">
        <v>14</v>
      </c>
      <c r="I92" s="158">
        <v>5</v>
      </c>
      <c r="J92" s="159">
        <v>52</v>
      </c>
      <c r="K92" s="202">
        <f>ROUND(I92*J92,2)</f>
        <v>260</v>
      </c>
      <c r="L92" s="202"/>
      <c r="M92" s="147"/>
      <c r="O92" s="148"/>
    </row>
    <row r="93" spans="1:15" s="75" customFormat="1" ht="14.25" customHeight="1" x14ac:dyDescent="0.2">
      <c r="A93" s="156">
        <v>14</v>
      </c>
      <c r="B93" s="262" t="s">
        <v>122</v>
      </c>
      <c r="C93" s="263"/>
      <c r="D93" s="263"/>
      <c r="E93" s="263"/>
      <c r="F93" s="263"/>
      <c r="G93" s="264"/>
      <c r="H93" s="157" t="s">
        <v>123</v>
      </c>
      <c r="I93" s="158">
        <v>800</v>
      </c>
      <c r="J93" s="159">
        <v>11.4</v>
      </c>
      <c r="K93" s="202">
        <f>ROUND(I93*J93,2)</f>
        <v>9120</v>
      </c>
      <c r="L93" s="202"/>
      <c r="M93" s="147"/>
      <c r="O93" s="148"/>
    </row>
    <row r="94" spans="1:15" s="75" customFormat="1" ht="14.25" customHeight="1" x14ac:dyDescent="0.2">
      <c r="A94" s="156">
        <v>15</v>
      </c>
      <c r="B94" s="262" t="s">
        <v>124</v>
      </c>
      <c r="C94" s="263"/>
      <c r="D94" s="263"/>
      <c r="E94" s="263"/>
      <c r="F94" s="263"/>
      <c r="G94" s="264"/>
      <c r="H94" s="157" t="s">
        <v>123</v>
      </c>
      <c r="I94" s="158">
        <v>900</v>
      </c>
      <c r="J94" s="159">
        <v>3.7</v>
      </c>
      <c r="K94" s="202">
        <f>ROUND(I94*J94,2)</f>
        <v>3330</v>
      </c>
      <c r="L94" s="202"/>
      <c r="M94" s="147"/>
      <c r="O94" s="148"/>
    </row>
    <row r="95" spans="1:15" s="75" customFormat="1" ht="14.25" customHeight="1" x14ac:dyDescent="0.2">
      <c r="A95" s="156">
        <v>16</v>
      </c>
      <c r="B95" s="262" t="s">
        <v>125</v>
      </c>
      <c r="C95" s="263"/>
      <c r="D95" s="263"/>
      <c r="E95" s="263"/>
      <c r="F95" s="263"/>
      <c r="G95" s="264"/>
      <c r="H95" s="157" t="s">
        <v>123</v>
      </c>
      <c r="I95" s="158">
        <v>800</v>
      </c>
      <c r="J95" s="159">
        <v>6.8</v>
      </c>
      <c r="K95" s="202">
        <f>ROUND(I95*J95,2)</f>
        <v>5440</v>
      </c>
      <c r="L95" s="202"/>
      <c r="M95" s="147"/>
      <c r="O95" s="148"/>
    </row>
    <row r="96" spans="1:15" s="75" customFormat="1" ht="14.25" customHeight="1" x14ac:dyDescent="0.2">
      <c r="A96" s="156">
        <v>17</v>
      </c>
      <c r="B96" s="262" t="s">
        <v>126</v>
      </c>
      <c r="C96" s="263"/>
      <c r="D96" s="263"/>
      <c r="E96" s="263"/>
      <c r="F96" s="263"/>
      <c r="G96" s="264"/>
      <c r="H96" s="157" t="s">
        <v>123</v>
      </c>
      <c r="I96" s="158">
        <v>100</v>
      </c>
      <c r="J96" s="159">
        <v>14.6</v>
      </c>
      <c r="K96" s="202">
        <f>ROUND(I96*J96,2)</f>
        <v>1460</v>
      </c>
      <c r="L96" s="202"/>
      <c r="M96" s="147"/>
      <c r="O96" s="148"/>
    </row>
    <row r="97" spans="1:15" s="75" customFormat="1" ht="14.25" customHeight="1" x14ac:dyDescent="0.2">
      <c r="A97" s="156">
        <v>18</v>
      </c>
      <c r="B97" s="262" t="s">
        <v>127</v>
      </c>
      <c r="C97" s="263"/>
      <c r="D97" s="263"/>
      <c r="E97" s="263"/>
      <c r="F97" s="263"/>
      <c r="G97" s="264"/>
      <c r="H97" s="157" t="s">
        <v>123</v>
      </c>
      <c r="I97" s="158">
        <v>10</v>
      </c>
      <c r="J97" s="159">
        <v>22.4</v>
      </c>
      <c r="K97" s="202">
        <f>ROUND(I97*J97,2)</f>
        <v>224</v>
      </c>
      <c r="L97" s="202"/>
      <c r="M97" s="147"/>
      <c r="O97" s="148"/>
    </row>
    <row r="98" spans="1:15" s="75" customFormat="1" ht="14.25" customHeight="1" x14ac:dyDescent="0.2">
      <c r="A98" s="156">
        <v>19</v>
      </c>
      <c r="B98" s="262" t="s">
        <v>128</v>
      </c>
      <c r="C98" s="263"/>
      <c r="D98" s="263"/>
      <c r="E98" s="263"/>
      <c r="F98" s="263"/>
      <c r="G98" s="264"/>
      <c r="H98" s="157" t="s">
        <v>123</v>
      </c>
      <c r="I98" s="158">
        <v>200</v>
      </c>
      <c r="J98" s="159">
        <v>10.6</v>
      </c>
      <c r="K98" s="202">
        <f>ROUND(I98*J98,2)</f>
        <v>2120</v>
      </c>
      <c r="L98" s="202"/>
      <c r="M98" s="147"/>
      <c r="O98" s="148"/>
    </row>
    <row r="99" spans="1:15" s="75" customFormat="1" ht="14.25" customHeight="1" x14ac:dyDescent="0.2">
      <c r="A99" s="156">
        <v>20</v>
      </c>
      <c r="B99" s="262" t="s">
        <v>129</v>
      </c>
      <c r="C99" s="263"/>
      <c r="D99" s="263"/>
      <c r="E99" s="263"/>
      <c r="F99" s="263"/>
      <c r="G99" s="264"/>
      <c r="H99" s="157" t="s">
        <v>123</v>
      </c>
      <c r="I99" s="158">
        <v>60</v>
      </c>
      <c r="J99" s="159">
        <v>24</v>
      </c>
      <c r="K99" s="202">
        <f>ROUND(I99*J99,2)</f>
        <v>1440</v>
      </c>
      <c r="L99" s="202"/>
      <c r="M99" s="147"/>
      <c r="O99" s="148"/>
    </row>
    <row r="100" spans="1:15" s="75" customFormat="1" ht="14.25" customHeight="1" x14ac:dyDescent="0.2">
      <c r="A100" s="156">
        <v>21</v>
      </c>
      <c r="B100" s="262" t="s">
        <v>130</v>
      </c>
      <c r="C100" s="263"/>
      <c r="D100" s="263"/>
      <c r="E100" s="263"/>
      <c r="F100" s="263"/>
      <c r="G100" s="264"/>
      <c r="H100" s="157" t="s">
        <v>14</v>
      </c>
      <c r="I100" s="158">
        <v>30</v>
      </c>
      <c r="J100" s="159">
        <v>120</v>
      </c>
      <c r="K100" s="202">
        <f>ROUND(I100*J100,2)</f>
        <v>3600</v>
      </c>
      <c r="L100" s="202"/>
      <c r="M100" s="147"/>
      <c r="O100" s="148"/>
    </row>
    <row r="101" spans="1:15" s="75" customFormat="1" ht="14.25" customHeight="1" x14ac:dyDescent="0.2">
      <c r="A101" s="156">
        <v>22</v>
      </c>
      <c r="B101" s="262" t="s">
        <v>131</v>
      </c>
      <c r="C101" s="263"/>
      <c r="D101" s="263"/>
      <c r="E101" s="263"/>
      <c r="F101" s="263"/>
      <c r="G101" s="264"/>
      <c r="H101" s="157" t="s">
        <v>14</v>
      </c>
      <c r="I101" s="158">
        <v>30</v>
      </c>
      <c r="J101" s="159">
        <v>25</v>
      </c>
      <c r="K101" s="202">
        <f>ROUND(I101*J101,2)</f>
        <v>750</v>
      </c>
      <c r="L101" s="202"/>
      <c r="M101" s="147"/>
      <c r="O101" s="148"/>
    </row>
    <row r="102" spans="1:15" s="75" customFormat="1" ht="14.25" customHeight="1" x14ac:dyDescent="0.2">
      <c r="A102" s="156">
        <v>23</v>
      </c>
      <c r="B102" s="262" t="s">
        <v>132</v>
      </c>
      <c r="C102" s="263"/>
      <c r="D102" s="263"/>
      <c r="E102" s="263"/>
      <c r="F102" s="263"/>
      <c r="G102" s="264"/>
      <c r="H102" s="157" t="s">
        <v>133</v>
      </c>
      <c r="I102" s="158">
        <v>1</v>
      </c>
      <c r="J102" s="159">
        <v>500</v>
      </c>
      <c r="K102" s="202">
        <f>ROUND(I102*J102,2)</f>
        <v>500</v>
      </c>
      <c r="L102" s="202"/>
      <c r="M102" s="147"/>
      <c r="O102" s="148"/>
    </row>
    <row r="103" spans="1:15" s="75" customFormat="1" x14ac:dyDescent="0.2">
      <c r="A103" s="95"/>
      <c r="B103" s="96" t="s">
        <v>18</v>
      </c>
      <c r="C103" s="96"/>
      <c r="D103" s="97"/>
      <c r="E103" s="98"/>
      <c r="F103" s="99"/>
      <c r="G103" s="100"/>
      <c r="H103" s="100"/>
      <c r="I103" s="98"/>
      <c r="J103" s="101" t="s">
        <v>28</v>
      </c>
      <c r="K103" s="201">
        <f>SUM(K80:K102)</f>
        <v>98577</v>
      </c>
      <c r="L103" s="201"/>
      <c r="M103" s="147"/>
      <c r="O103" s="148"/>
    </row>
    <row r="104" spans="1:15" s="75" customFormat="1" x14ac:dyDescent="0.2">
      <c r="A104" s="88" t="s">
        <v>19</v>
      </c>
      <c r="B104" s="89" t="s">
        <v>20</v>
      </c>
      <c r="C104" s="89"/>
      <c r="D104" s="90"/>
      <c r="E104" s="91"/>
      <c r="F104" s="92"/>
      <c r="G104" s="93"/>
      <c r="H104" s="93"/>
      <c r="I104" s="91"/>
      <c r="J104" s="91"/>
      <c r="K104" s="65"/>
      <c r="L104" s="94"/>
      <c r="M104" s="147"/>
      <c r="O104" s="148"/>
    </row>
    <row r="105" spans="1:15" ht="22.5" customHeight="1" thickBot="1" x14ac:dyDescent="0.25">
      <c r="A105" s="113"/>
      <c r="B105" s="114"/>
      <c r="C105" s="114"/>
      <c r="D105" s="172" t="s">
        <v>26</v>
      </c>
      <c r="E105" s="173"/>
      <c r="F105" s="169" t="s">
        <v>25</v>
      </c>
      <c r="G105" s="174"/>
      <c r="H105" s="111"/>
      <c r="I105" s="109"/>
      <c r="J105" s="109"/>
      <c r="K105" s="189"/>
      <c r="L105" s="189"/>
      <c r="M105" s="147"/>
      <c r="N105" s="75"/>
      <c r="O105" s="148"/>
    </row>
    <row r="106" spans="1:15" s="75" customFormat="1" ht="15.95" customHeight="1" thickTop="1" x14ac:dyDescent="0.2">
      <c r="A106" s="177"/>
      <c r="B106" s="177"/>
      <c r="C106" s="110"/>
      <c r="D106" s="102"/>
      <c r="E106" s="131" t="s">
        <v>49</v>
      </c>
      <c r="F106" s="184">
        <f>ROUND(G73+0,2)</f>
        <v>520710.7</v>
      </c>
      <c r="G106" s="185"/>
      <c r="H106" s="72">
        <v>0</v>
      </c>
      <c r="I106" s="186">
        <f>F106*H106</f>
        <v>0</v>
      </c>
      <c r="J106" s="186"/>
      <c r="K106" s="187">
        <f>F106+I106</f>
        <v>520710.7</v>
      </c>
      <c r="L106" s="187"/>
      <c r="M106" s="147"/>
      <c r="O106" s="148"/>
    </row>
    <row r="107" spans="1:15" s="75" customFormat="1" ht="15.95" customHeight="1" x14ac:dyDescent="0.2">
      <c r="A107" s="84"/>
      <c r="B107" s="84"/>
      <c r="C107" s="85"/>
      <c r="D107" s="86"/>
      <c r="E107" s="132" t="s">
        <v>54</v>
      </c>
      <c r="F107" s="190">
        <f>ROUND(K103,2)</f>
        <v>98577</v>
      </c>
      <c r="G107" s="191"/>
      <c r="H107" s="73">
        <v>0</v>
      </c>
      <c r="I107" s="187">
        <f>F107*H107</f>
        <v>0</v>
      </c>
      <c r="J107" s="187"/>
      <c r="K107" s="193">
        <f>F107+I107</f>
        <v>98577</v>
      </c>
      <c r="L107" s="193"/>
      <c r="M107" s="147"/>
      <c r="O107" s="148"/>
    </row>
    <row r="108" spans="1:15" s="75" customFormat="1" ht="15.95" customHeight="1" x14ac:dyDescent="0.2">
      <c r="A108" s="162"/>
      <c r="B108" s="84"/>
      <c r="C108" s="85"/>
      <c r="D108" s="87" t="str">
        <f>IF(E108=0,"Заготовительно-складские расходы = ","Заготовительно-складские расходы = "&amp;FIXED(F107,2)&amp;" х")</f>
        <v>Заготовительно-складские расходы = 98 577,00 х</v>
      </c>
      <c r="E108" s="155">
        <v>1.2E-2</v>
      </c>
      <c r="F108" s="175">
        <f>ROUND(F107*E108,2)</f>
        <v>1182.92</v>
      </c>
      <c r="G108" s="176"/>
      <c r="H108" s="74"/>
      <c r="I108" s="188"/>
      <c r="J108" s="188"/>
      <c r="K108" s="192"/>
      <c r="L108" s="192"/>
      <c r="M108" s="147"/>
      <c r="O108" s="148"/>
    </row>
    <row r="109" spans="1:15" s="75" customFormat="1" ht="15.95" customHeight="1" x14ac:dyDescent="0.2">
      <c r="A109" s="86"/>
      <c r="B109" s="86"/>
      <c r="C109" s="86"/>
      <c r="D109" s="87" t="str">
        <f>IF(E109=0,"Транспортные расходы = ","Транспортные расходы = "&amp;FIXED(F107,2)&amp;" х")</f>
        <v>Транспортные расходы = 98 577,00 х</v>
      </c>
      <c r="E109" s="155">
        <v>0.02</v>
      </c>
      <c r="F109" s="194">
        <f>ROUND(F107*E109,2)</f>
        <v>1971.54</v>
      </c>
      <c r="G109" s="195"/>
      <c r="H109" s="69" t="s">
        <v>23</v>
      </c>
      <c r="I109" s="169" t="s">
        <v>24</v>
      </c>
      <c r="J109" s="174"/>
      <c r="K109" s="169" t="s">
        <v>34</v>
      </c>
      <c r="L109" s="174"/>
      <c r="M109" s="147"/>
      <c r="O109" s="148"/>
    </row>
    <row r="110" spans="1:15" s="75" customFormat="1" ht="18.75" customHeight="1" x14ac:dyDescent="0.2">
      <c r="A110" s="28"/>
      <c r="B110" s="28"/>
      <c r="C110" s="28"/>
      <c r="D110" s="19"/>
      <c r="E110" s="133" t="s">
        <v>50</v>
      </c>
      <c r="F110" s="170">
        <f>SUM(F106:F109)</f>
        <v>622442.16</v>
      </c>
      <c r="G110" s="171"/>
      <c r="H110" s="71">
        <f>H107</f>
        <v>0</v>
      </c>
      <c r="I110" s="170">
        <f>ROUND(F110*H110,2)</f>
        <v>0</v>
      </c>
      <c r="J110" s="171"/>
      <c r="K110" s="170">
        <f>F110+I110</f>
        <v>622442.16</v>
      </c>
      <c r="L110" s="171"/>
      <c r="M110" s="147"/>
      <c r="O110" s="148"/>
    </row>
    <row r="111" spans="1:15" ht="66.75" customHeight="1" x14ac:dyDescent="0.2">
      <c r="A111" s="197" t="s">
        <v>17</v>
      </c>
      <c r="B111" s="197"/>
      <c r="C111" s="197"/>
      <c r="D111" s="198"/>
      <c r="E111" s="198"/>
      <c r="F111" s="198"/>
      <c r="G111" s="198"/>
      <c r="H111" s="198"/>
      <c r="I111" s="198"/>
      <c r="J111" s="198"/>
      <c r="K111" s="198"/>
      <c r="L111" s="198"/>
      <c r="M111" s="147"/>
      <c r="N111" s="75"/>
      <c r="O111" s="148"/>
    </row>
    <row r="112" spans="1:15" x14ac:dyDescent="0.2">
      <c r="A112" s="23"/>
      <c r="B112" s="23"/>
      <c r="C112" s="23"/>
      <c r="D112" s="196" t="s">
        <v>38</v>
      </c>
      <c r="E112" s="196"/>
      <c r="F112" s="196"/>
      <c r="G112" s="196"/>
      <c r="H112" s="24"/>
      <c r="I112" s="24"/>
      <c r="J112" s="24"/>
      <c r="K112" s="24"/>
      <c r="L112" s="24"/>
      <c r="M112" s="147"/>
      <c r="N112" s="75"/>
      <c r="O112" s="148"/>
    </row>
    <row r="113" spans="1:15" ht="65.25" customHeight="1" x14ac:dyDescent="0.2">
      <c r="A113" s="197" t="s">
        <v>22</v>
      </c>
      <c r="B113" s="197"/>
      <c r="C113" s="197"/>
      <c r="D113" s="198" t="s">
        <v>143</v>
      </c>
      <c r="E113" s="198"/>
      <c r="F113" s="198"/>
      <c r="G113" s="198"/>
      <c r="H113" s="198"/>
      <c r="I113" s="198"/>
      <c r="J113" s="198"/>
      <c r="K113" s="198"/>
      <c r="L113" s="198"/>
      <c r="M113" s="147"/>
      <c r="N113" s="75"/>
      <c r="O113" s="148"/>
    </row>
    <row r="114" spans="1:15" x14ac:dyDescent="0.2">
      <c r="A114" s="25"/>
      <c r="B114" s="25"/>
      <c r="C114" s="25"/>
      <c r="D114" s="196" t="s">
        <v>38</v>
      </c>
      <c r="E114" s="196"/>
      <c r="F114" s="196"/>
      <c r="G114" s="196"/>
      <c r="H114" s="24"/>
      <c r="I114" s="24"/>
      <c r="J114" s="24"/>
      <c r="K114" s="24"/>
      <c r="L114" s="24"/>
      <c r="M114" s="147"/>
      <c r="N114" s="75"/>
      <c r="O114" s="148"/>
    </row>
  </sheetData>
  <mergeCells count="166">
    <mergeCell ref="D114:G114"/>
    <mergeCell ref="K110:L110"/>
    <mergeCell ref="A111:C111"/>
    <mergeCell ref="D111:L111"/>
    <mergeCell ref="D112:G112"/>
    <mergeCell ref="A113:C113"/>
    <mergeCell ref="D113:L113"/>
    <mergeCell ref="D105:E105"/>
    <mergeCell ref="F105:G105"/>
    <mergeCell ref="K105:L105"/>
    <mergeCell ref="A106:B106"/>
    <mergeCell ref="F108:G108"/>
    <mergeCell ref="I108:J108"/>
    <mergeCell ref="K108:L108"/>
    <mergeCell ref="B98:G98"/>
    <mergeCell ref="K98:L98"/>
    <mergeCell ref="B99:G99"/>
    <mergeCell ref="B100:G100"/>
    <mergeCell ref="B101:G101"/>
    <mergeCell ref="B102:G102"/>
    <mergeCell ref="B92:G92"/>
    <mergeCell ref="K92:L92"/>
    <mergeCell ref="B93:G93"/>
    <mergeCell ref="B94:G94"/>
    <mergeCell ref="B95:G95"/>
    <mergeCell ref="B96:G96"/>
    <mergeCell ref="K88:L88"/>
    <mergeCell ref="B89:G89"/>
    <mergeCell ref="B90:G90"/>
    <mergeCell ref="K90:L90"/>
    <mergeCell ref="B91:G91"/>
    <mergeCell ref="K91:L91"/>
    <mergeCell ref="B80:G80"/>
    <mergeCell ref="K80:L80"/>
    <mergeCell ref="B81:G81"/>
    <mergeCell ref="K81:L81"/>
    <mergeCell ref="B82:G82"/>
    <mergeCell ref="K82:L82"/>
    <mergeCell ref="E62:F62"/>
    <mergeCell ref="A63:F63"/>
    <mergeCell ref="A64:E64"/>
    <mergeCell ref="A65:E65"/>
    <mergeCell ref="A66:E66"/>
    <mergeCell ref="B67:E67"/>
    <mergeCell ref="E58:F58"/>
    <mergeCell ref="B59:C59"/>
    <mergeCell ref="E59:F59"/>
    <mergeCell ref="E60:F60"/>
    <mergeCell ref="B61:C61"/>
    <mergeCell ref="E61:F61"/>
    <mergeCell ref="B53:C53"/>
    <mergeCell ref="E53:F53"/>
    <mergeCell ref="E54:F54"/>
    <mergeCell ref="B55:C55"/>
    <mergeCell ref="E55:F55"/>
    <mergeCell ref="B57:C57"/>
    <mergeCell ref="E57:F57"/>
    <mergeCell ref="E42:F42"/>
    <mergeCell ref="E46:F46"/>
    <mergeCell ref="B47:C47"/>
    <mergeCell ref="E47:F47"/>
    <mergeCell ref="B49:C49"/>
    <mergeCell ref="E50:F50"/>
    <mergeCell ref="E36:F36"/>
    <mergeCell ref="B37:C37"/>
    <mergeCell ref="E37:F37"/>
    <mergeCell ref="E38:F38"/>
    <mergeCell ref="B39:C39"/>
    <mergeCell ref="E39:F39"/>
    <mergeCell ref="E32:F32"/>
    <mergeCell ref="B33:C33"/>
    <mergeCell ref="E33:F33"/>
    <mergeCell ref="E34:F34"/>
    <mergeCell ref="B35:C35"/>
    <mergeCell ref="E35:F35"/>
    <mergeCell ref="E27:F27"/>
    <mergeCell ref="E28:F28"/>
    <mergeCell ref="B29:C29"/>
    <mergeCell ref="E29:F29"/>
    <mergeCell ref="E30:F30"/>
    <mergeCell ref="B31:C31"/>
    <mergeCell ref="E31:F31"/>
    <mergeCell ref="I1:L1"/>
    <mergeCell ref="A8:G8"/>
    <mergeCell ref="A9:L9"/>
    <mergeCell ref="A12:D12"/>
    <mergeCell ref="A14:G14"/>
    <mergeCell ref="B21:C21"/>
    <mergeCell ref="E21:F21"/>
    <mergeCell ref="G21:L21"/>
    <mergeCell ref="E22:F22"/>
    <mergeCell ref="F109:G109"/>
    <mergeCell ref="I109:J109"/>
    <mergeCell ref="K109:L109"/>
    <mergeCell ref="F110:G110"/>
    <mergeCell ref="I110:J110"/>
    <mergeCell ref="F106:G106"/>
    <mergeCell ref="I106:J106"/>
    <mergeCell ref="K106:L106"/>
    <mergeCell ref="F107:G107"/>
    <mergeCell ref="I107:J107"/>
    <mergeCell ref="K107:L107"/>
    <mergeCell ref="K103:L103"/>
    <mergeCell ref="K101:L101"/>
    <mergeCell ref="K102:L102"/>
    <mergeCell ref="K99:L99"/>
    <mergeCell ref="K100:L100"/>
    <mergeCell ref="K96:L96"/>
    <mergeCell ref="K97:L97"/>
    <mergeCell ref="B97:G97"/>
    <mergeCell ref="K94:L94"/>
    <mergeCell ref="K95:L95"/>
    <mergeCell ref="K87:L87"/>
    <mergeCell ref="K89:L89"/>
    <mergeCell ref="K93:L93"/>
    <mergeCell ref="B87:G87"/>
    <mergeCell ref="B88:G88"/>
    <mergeCell ref="B85:G85"/>
    <mergeCell ref="K85:L85"/>
    <mergeCell ref="B86:G86"/>
    <mergeCell ref="K86:L86"/>
    <mergeCell ref="B83:G83"/>
    <mergeCell ref="K83:L83"/>
    <mergeCell ref="B84:G84"/>
    <mergeCell ref="K84:L84"/>
    <mergeCell ref="E76:F76"/>
    <mergeCell ref="A78:K78"/>
    <mergeCell ref="B79:G79"/>
    <mergeCell ref="K79:L79"/>
    <mergeCell ref="A73:F73"/>
    <mergeCell ref="I73:K73"/>
    <mergeCell ref="A75:C75"/>
    <mergeCell ref="E75:F75"/>
    <mergeCell ref="A70:F70"/>
    <mergeCell ref="A71:E71"/>
    <mergeCell ref="A72:E72"/>
    <mergeCell ref="A68:F68"/>
    <mergeCell ref="A69:D69"/>
    <mergeCell ref="E69:F69"/>
    <mergeCell ref="E56:F56"/>
    <mergeCell ref="B51:C51"/>
    <mergeCell ref="E51:F51"/>
    <mergeCell ref="E52:F52"/>
    <mergeCell ref="E48:F48"/>
    <mergeCell ref="E49:F49"/>
    <mergeCell ref="B43:C43"/>
    <mergeCell ref="E43:F43"/>
    <mergeCell ref="E44:F44"/>
    <mergeCell ref="B45:C45"/>
    <mergeCell ref="E45:F45"/>
    <mergeCell ref="E40:F40"/>
    <mergeCell ref="B41:C41"/>
    <mergeCell ref="E41:F41"/>
    <mergeCell ref="B25:C25"/>
    <mergeCell ref="E25:F25"/>
    <mergeCell ref="E26:F26"/>
    <mergeCell ref="B27:C27"/>
    <mergeCell ref="A15:G15"/>
    <mergeCell ref="A16:G16"/>
    <mergeCell ref="A17:G17"/>
    <mergeCell ref="B23:C23"/>
    <mergeCell ref="E23:F23"/>
    <mergeCell ref="A24:K24"/>
    <mergeCell ref="I2:L2"/>
    <mergeCell ref="A10:L10"/>
    <mergeCell ref="A13:D13"/>
  </mergeCells>
  <conditionalFormatting sqref="J25:K25 J27:K27 J29:K29 J31:K31 J33:K33 J35:K35 J37:K37 J39:K39 J41:K41 J43:K43 J45:K45 J47:K47 J49:K49 J51:K51 J53:K53 J55:K55 J57:K57 J59:K59 J61:K61 B26:C26 B28:C28 B30:C30 B32:C32 B34:C34 B36:C36 B38:C38 B40:C40 B42:C42 B44:C44 B46:C46 B48:C48 B50:C50 B52:C52 B54:C54 B56:C56 B58:C58 B60:C60 B62:C62">
    <cfRule type="cellIs" dxfId="1" priority="2" stopIfTrue="1" operator="equal">
      <formula>0</formula>
    </cfRule>
  </conditionalFormatting>
  <conditionalFormatting sqref="J65:J67">
    <cfRule type="cellIs" dxfId="0" priority="1" stopIfTrue="1" operator="equal">
      <formula>0</formula>
    </cfRule>
  </conditionalFormatting>
  <dataValidations count="1">
    <dataValidation type="list" allowBlank="1" showInputMessage="1" showErrorMessage="1" sqref="F65">
      <formula1>"1,1,1,15,1,2,"</formula1>
    </dataValidation>
  </dataValidations>
  <pageMargins left="0.75" right="0.25" top="1" bottom="1" header="0.5" footer="0.5"/>
  <pageSetup paperSize="9" scale="94" fitToHeight="10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</vt:lpstr>
    </vt:vector>
  </TitlesOfParts>
  <Company>ООО "Орбита-Союз"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Артём</dc:creator>
  <cp:lastModifiedBy>Артём</cp:lastModifiedBy>
  <cp:lastPrinted>2011-03-21T19:54:21Z</cp:lastPrinted>
  <dcterms:created xsi:type="dcterms:W3CDTF">2004-04-18T13:15:50Z</dcterms:created>
  <dcterms:modified xsi:type="dcterms:W3CDTF">2012-11-20T08:05:49Z</dcterms:modified>
</cp:coreProperties>
</file>