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270" yWindow="4305" windowWidth="15480" windowHeight="4230" firstSheet="1" activeTab="1"/>
  </bookViews>
  <sheets>
    <sheet name="main" sheetId="24110" state="veryHidden" r:id=""/>
    <sheet name="Смета" sheetId="24109" r:id="rId1"/>
  </sheets>
  <definedNames>
    <definedName name="MyRange">#REF!</definedName>
  </definedNames>
  <calcPr calcId="145621"/>
</workbook>
</file>

<file path=xl/calcChain.xml><?xml version="1.0" encoding="utf-8"?>
<calcChain xmlns="http://schemas.openxmlformats.org/spreadsheetml/2006/main">
  <c r="L17" i="24109" l="1"/>
  <c r="L16" i="24109"/>
  <c r="L15" i="24109"/>
  <c r="L14" i="24109"/>
  <c r="L13" i="24109"/>
  <c r="K19" i="24109"/>
  <c r="K15" i="24109"/>
  <c r="K14" i="24109"/>
  <c r="K13" i="24109"/>
  <c r="L61" i="24109"/>
  <c r="E41" i="24109"/>
  <c r="F12" i="24109"/>
  <c r="F87" i="24109"/>
  <c r="F86" i="24109"/>
  <c r="H90" i="24109"/>
  <c r="F89" i="24109"/>
  <c r="D89" i="24109"/>
  <c r="F88" i="24109"/>
  <c r="F90" i="24109" s="1"/>
  <c r="D88" i="24109"/>
  <c r="I87" i="24109"/>
  <c r="K87" i="24109" s="1"/>
  <c r="I86" i="24109"/>
  <c r="K86" i="24109" s="1"/>
  <c r="K83" i="24109"/>
  <c r="K82" i="24109"/>
  <c r="K81" i="24109"/>
  <c r="K80" i="24109"/>
  <c r="K79" i="24109"/>
  <c r="K78" i="24109"/>
  <c r="K77" i="24109"/>
  <c r="K76" i="24109"/>
  <c r="K75" i="24109"/>
  <c r="K74" i="24109"/>
  <c r="K73" i="24109"/>
  <c r="K72" i="24109"/>
  <c r="K71" i="24109"/>
  <c r="L67" i="24109"/>
  <c r="K67" i="24109"/>
  <c r="J67" i="24109"/>
  <c r="I67" i="24109"/>
  <c r="H67" i="24109"/>
  <c r="G67" i="24109"/>
  <c r="E67" i="24109"/>
  <c r="L56" i="24109"/>
  <c r="J56" i="24109"/>
  <c r="L63" i="24109"/>
  <c r="L62" i="24109"/>
  <c r="A60" i="24109"/>
  <c r="L57" i="24109"/>
  <c r="L58" i="24109" s="1"/>
  <c r="L59" i="24109" s="1"/>
  <c r="L60" i="24109" s="1"/>
  <c r="J57" i="24109"/>
  <c r="L55" i="24109"/>
  <c r="J55" i="24109"/>
  <c r="L54" i="24109"/>
  <c r="J54" i="24109"/>
  <c r="L53" i="24109"/>
  <c r="J53" i="24109"/>
  <c r="L52" i="24109"/>
  <c r="J52" i="24109"/>
  <c r="L51" i="24109"/>
  <c r="J51" i="24109"/>
  <c r="I35" i="24109"/>
  <c r="J35" i="24109"/>
  <c r="K35" i="24109"/>
  <c r="L35" i="24109"/>
  <c r="H35" i="24109"/>
  <c r="H44" i="24109"/>
  <c r="H43" i="24109"/>
  <c r="A40" i="24109"/>
  <c r="A39" i="24109"/>
  <c r="L36" i="24109"/>
  <c r="L37" i="24109" s="1"/>
  <c r="L38" i="24109" s="1"/>
  <c r="L39" i="24109" s="1"/>
  <c r="L40" i="24109" s="1"/>
  <c r="K36" i="24109"/>
  <c r="K37" i="24109" s="1"/>
  <c r="K38" i="24109" s="1"/>
  <c r="K39" i="24109" s="1"/>
  <c r="K40" i="24109" s="1"/>
  <c r="J36" i="24109"/>
  <c r="J37" i="24109" s="1"/>
  <c r="J38" i="24109" s="1"/>
  <c r="J39" i="24109" s="1"/>
  <c r="J40" i="24109" s="1"/>
  <c r="I36" i="24109"/>
  <c r="I37" i="24109" s="1"/>
  <c r="I38" i="24109" s="1"/>
  <c r="I39" i="24109" s="1"/>
  <c r="I40" i="24109" s="1"/>
  <c r="H36" i="24109"/>
  <c r="G35" i="24109"/>
  <c r="O34" i="24109"/>
  <c r="N34" i="24109"/>
  <c r="M34" i="24109"/>
  <c r="L34" i="24109"/>
  <c r="K34" i="24109"/>
  <c r="J34" i="24109"/>
  <c r="I34" i="24109"/>
  <c r="H34" i="24109"/>
  <c r="G34" i="24109"/>
  <c r="D34" i="24109"/>
  <c r="A34" i="24109"/>
  <c r="O32" i="24109"/>
  <c r="N32" i="24109"/>
  <c r="M32" i="24109"/>
  <c r="L32" i="24109"/>
  <c r="K32" i="24109"/>
  <c r="J32" i="24109"/>
  <c r="I32" i="24109"/>
  <c r="H32" i="24109"/>
  <c r="G32" i="24109"/>
  <c r="D32" i="24109"/>
  <c r="A32" i="24109"/>
  <c r="O30" i="24109"/>
  <c r="N30" i="24109"/>
  <c r="M30" i="24109"/>
  <c r="L30" i="24109"/>
  <c r="K30" i="24109"/>
  <c r="J30" i="24109"/>
  <c r="I30" i="24109"/>
  <c r="H30" i="24109"/>
  <c r="G30" i="24109"/>
  <c r="D30" i="24109"/>
  <c r="A30" i="24109"/>
  <c r="O28" i="24109"/>
  <c r="N28" i="24109"/>
  <c r="M28" i="24109"/>
  <c r="L28" i="24109"/>
  <c r="K28" i="24109"/>
  <c r="J28" i="24109"/>
  <c r="I28" i="24109"/>
  <c r="H28" i="24109"/>
  <c r="G28" i="24109"/>
  <c r="D28" i="24109"/>
  <c r="A28" i="24109"/>
  <c r="O26" i="24109"/>
  <c r="N26" i="24109"/>
  <c r="M26" i="24109"/>
  <c r="L26" i="24109"/>
  <c r="K26" i="24109"/>
  <c r="J26" i="24109"/>
  <c r="I26" i="24109"/>
  <c r="H26" i="24109"/>
  <c r="G26" i="24109"/>
  <c r="D26" i="24109"/>
  <c r="A26" i="24109"/>
  <c r="D22" i="24109"/>
  <c r="C22" i="24109"/>
  <c r="B22" i="24109"/>
  <c r="L19" i="24109"/>
  <c r="A19" i="24109"/>
  <c r="A18" i="24109"/>
  <c r="I2" i="24109"/>
  <c r="I90" i="24109" l="1"/>
  <c r="K90" i="24109" s="1"/>
  <c r="J58" i="24109"/>
  <c r="A58" i="24109"/>
  <c r="H37" i="24109"/>
  <c r="G36" i="24109"/>
  <c r="J59" i="24109" l="1"/>
  <c r="A59" i="24109"/>
  <c r="H38" i="24109"/>
  <c r="G37" i="24109"/>
  <c r="J60" i="24109" l="1"/>
  <c r="B60" i="24109"/>
  <c r="H39" i="24109"/>
  <c r="G38" i="24109"/>
  <c r="B39" i="24109" s="1"/>
  <c r="J61" i="24109" l="1"/>
  <c r="A61" i="24109"/>
  <c r="H40" i="24109"/>
  <c r="G39" i="24109"/>
  <c r="J63" i="24109" l="1"/>
  <c r="A63" i="24109"/>
  <c r="J62" i="24109"/>
  <c r="J64" i="24109" s="1"/>
  <c r="A62" i="24109"/>
  <c r="G42" i="24109"/>
  <c r="G40" i="24109"/>
  <c r="A64" i="24109" l="1"/>
  <c r="G44" i="24109"/>
  <c r="A44" i="24109"/>
  <c r="G43" i="24109"/>
  <c r="G45" i="24109" s="1"/>
  <c r="A43" i="24109"/>
  <c r="A45" i="24109" l="1"/>
</calcChain>
</file>

<file path=xl/sharedStrings.xml><?xml version="1.0" encoding="utf-8"?>
<sst xmlns="http://schemas.openxmlformats.org/spreadsheetml/2006/main" count="147" uniqueCount="127">
  <si>
    <t>"Утверждаю"</t>
  </si>
  <si>
    <t>Заказчик:</t>
  </si>
  <si>
    <t/>
  </si>
  <si>
    <t>Подрядчик:</t>
  </si>
  <si>
    <t>Объект:</t>
  </si>
  <si>
    <t>Адрес:</t>
  </si>
  <si>
    <t>Договор №</t>
  </si>
  <si>
    <t>МП</t>
  </si>
  <si>
    <t>ЭМ</t>
  </si>
  <si>
    <t xml:space="preserve">Средства на оплату труда (руб) - </t>
  </si>
  <si>
    <t>Наименование работ и затрат</t>
  </si>
  <si>
    <t>Кол-во</t>
  </si>
  <si>
    <t>система</t>
  </si>
  <si>
    <t>№</t>
  </si>
  <si>
    <t>Ед.изм.</t>
  </si>
  <si>
    <t>шт.</t>
  </si>
  <si>
    <t xml:space="preserve">Нормативная трудоемкость (чел-ч.) - </t>
  </si>
  <si>
    <t xml:space="preserve">   Расшифровка условных сокращений </t>
  </si>
  <si>
    <t>Заказчик</t>
  </si>
  <si>
    <t>Цены поставщика оборудования</t>
  </si>
  <si>
    <t>*</t>
  </si>
  <si>
    <t>Цены завода-изготовителя</t>
  </si>
  <si>
    <t>Цена</t>
  </si>
  <si>
    <t xml:space="preserve">Подрядчик </t>
  </si>
  <si>
    <t>Ставка НДС</t>
  </si>
  <si>
    <t xml:space="preserve">Сумма НДС </t>
  </si>
  <si>
    <t xml:space="preserve"> Стоимость без НДС</t>
  </si>
  <si>
    <t>ИТОГИ ПО СМЕТЕ  :</t>
  </si>
  <si>
    <t>Стоимость (руб)</t>
  </si>
  <si>
    <t xml:space="preserve">Стоимость материальных ресурсов по разделу без НДС = </t>
  </si>
  <si>
    <t>НР</t>
  </si>
  <si>
    <t>СП</t>
  </si>
  <si>
    <t>ФОТ</t>
  </si>
  <si>
    <t xml:space="preserve">Сводная таблица сметных затрат  </t>
  </si>
  <si>
    <r>
      <t xml:space="preserve">Ind= </t>
    </r>
    <r>
      <rPr>
        <b/>
        <i/>
        <sz val="10"/>
        <rFont val="Arial Narrow"/>
        <family val="2"/>
        <charset val="204"/>
      </rPr>
      <t>►</t>
    </r>
  </si>
  <si>
    <t>Всего по смете</t>
  </si>
  <si>
    <t>С учетом районного коэффициента =</t>
  </si>
  <si>
    <t>МАТ</t>
  </si>
  <si>
    <r>
      <t>ПЗ</t>
    </r>
    <r>
      <rPr>
        <sz val="10"/>
        <rFont val="Arial Narrow"/>
        <family val="2"/>
        <charset val="204"/>
      </rPr>
      <t xml:space="preserve"> - </t>
    </r>
    <r>
      <rPr>
        <i/>
        <sz val="10"/>
        <rFont val="Arial Narrow"/>
        <family val="2"/>
        <charset val="204"/>
      </rPr>
      <t>прямые затраты</t>
    </r>
    <r>
      <rPr>
        <sz val="10"/>
        <rFont val="Arial Narrow"/>
        <family val="2"/>
        <charset val="204"/>
      </rPr>
      <t xml:space="preserve"> = (ОЗП + ЭМ + МАТ)</t>
    </r>
  </si>
  <si>
    <r>
      <t>ЭМ</t>
    </r>
    <r>
      <rPr>
        <sz val="10"/>
        <rFont val="Arial Narrow"/>
        <family val="2"/>
        <charset val="204"/>
      </rPr>
      <t xml:space="preserve"> - </t>
    </r>
    <r>
      <rPr>
        <i/>
        <sz val="10"/>
        <rFont val="Arial Narrow"/>
        <family val="2"/>
        <charset val="204"/>
      </rPr>
      <t xml:space="preserve">затраты на эксплуатацию машин и механизмов, </t>
    </r>
    <r>
      <rPr>
        <b/>
        <sz val="10"/>
        <rFont val="Arial Narrow"/>
        <family val="2"/>
        <charset val="204"/>
      </rPr>
      <t>ЗПМ</t>
    </r>
    <r>
      <rPr>
        <i/>
        <sz val="10"/>
        <rFont val="Arial Narrow"/>
        <family val="2"/>
        <charset val="204"/>
      </rPr>
      <t xml:space="preserve"> - в т.ч. зарплата машинистов</t>
    </r>
  </si>
  <si>
    <t>должность, фамилия и.о., подпись</t>
  </si>
  <si>
    <t xml:space="preserve">ТЗ </t>
  </si>
  <si>
    <t>Единица измерения</t>
  </si>
  <si>
    <r>
      <t xml:space="preserve">ФОТ </t>
    </r>
    <r>
      <rPr>
        <i/>
        <sz val="10"/>
        <color indexed="8"/>
        <rFont val="Arial Narrow"/>
        <family val="2"/>
        <charset val="204"/>
      </rPr>
      <t>- фонд оплаты труда,</t>
    </r>
    <r>
      <rPr>
        <b/>
        <sz val="10"/>
        <color indexed="8"/>
        <rFont val="Arial Narrow"/>
        <family val="2"/>
        <charset val="204"/>
      </rPr>
      <t xml:space="preserve"> ТЗ</t>
    </r>
    <r>
      <rPr>
        <i/>
        <sz val="10"/>
        <color indexed="8"/>
        <rFont val="Arial Narrow"/>
        <family val="2"/>
        <charset val="204"/>
      </rPr>
      <t xml:space="preserve"> - нормативная трудоемкость (трудозатраты),чел-ч.</t>
    </r>
  </si>
  <si>
    <t>С учетом особых условий производства работ (ОЗП, ЗПМ)  х</t>
  </si>
  <si>
    <t xml:space="preserve">    С учетом стесненных условий работ (ОЗП, ЗПМ)  х</t>
  </si>
  <si>
    <t xml:space="preserve">           </t>
  </si>
  <si>
    <t xml:space="preserve"> Коэффициенты пересчета базовых цен на   </t>
  </si>
  <si>
    <t>Всего</t>
  </si>
  <si>
    <r>
      <t>МАТ</t>
    </r>
    <r>
      <rPr>
        <b/>
        <i/>
        <sz val="10"/>
        <rFont val="Arial Narrow"/>
        <family val="2"/>
        <charset val="204"/>
      </rPr>
      <t xml:space="preserve"> - </t>
    </r>
    <r>
      <rPr>
        <i/>
        <sz val="10"/>
        <rFont val="Arial Narrow"/>
        <family val="2"/>
        <charset val="204"/>
      </rPr>
      <t>материальные затраты, учтенные в расценках работ</t>
    </r>
  </si>
  <si>
    <t>Раздел:  Материальные ресурсы, не учтенные в ценниках:</t>
  </si>
  <si>
    <t>Сметная стоимость работ без учета оборудования =</t>
  </si>
  <si>
    <t>Сметная стоимость, (руб) =</t>
  </si>
  <si>
    <t xml:space="preserve">ОБОСНО-ВАНИЕ </t>
  </si>
  <si>
    <t>Количество</t>
  </si>
  <si>
    <t>С учетом районного коэффициента  (ОЗП, ЗПМ)  х</t>
  </si>
  <si>
    <r>
      <t>Итого прямые затраты на оплату труда в уровне базовых цен 2000г</t>
    </r>
    <r>
      <rPr>
        <sz val="6"/>
        <rFont val="Arial Cyr"/>
        <charset val="204"/>
      </rPr>
      <t xml:space="preserve">  </t>
    </r>
    <r>
      <rPr>
        <sz val="9"/>
        <rFont val="Arial Cyr"/>
        <family val="2"/>
        <charset val="204"/>
      </rPr>
      <t xml:space="preserve">= </t>
    </r>
  </si>
  <si>
    <r>
      <t xml:space="preserve"> Материальные ресурсы</t>
    </r>
    <r>
      <rPr>
        <sz val="9.5"/>
        <rFont val="Arial Cyr"/>
        <charset val="204"/>
      </rPr>
      <t xml:space="preserve">, не учтенные в ценниках =   </t>
    </r>
  </si>
  <si>
    <t xml:space="preserve">                         Итого прямые затраты в уровне базовых цен 2000г. = (ОЗП + ЭМ + МАТ)</t>
  </si>
  <si>
    <t>Наименование</t>
  </si>
  <si>
    <t>№
пп</t>
  </si>
  <si>
    <r>
      <t>Сметная стоимость с учетом понижающего коэффициента -</t>
    </r>
    <r>
      <rPr>
        <b/>
        <i/>
        <u/>
        <sz val="10"/>
        <color indexed="9"/>
        <rFont val="Arial Narrow"/>
        <family val="2"/>
        <charset val="204"/>
      </rPr>
      <t>.</t>
    </r>
  </si>
  <si>
    <t xml:space="preserve">в т. ч. фонд оплаты труда (ФОТ) = ОЗП+ЗПМ =   </t>
  </si>
  <si>
    <r>
      <t>ОЗП</t>
    </r>
    <r>
      <rPr>
        <sz val="10"/>
        <rFont val="Arial Narrow"/>
        <family val="2"/>
        <charset val="204"/>
      </rPr>
      <t xml:space="preserve"> </t>
    </r>
    <r>
      <rPr>
        <i/>
        <sz val="10"/>
        <rFont val="Arial Narrow"/>
        <family val="2"/>
        <charset val="204"/>
      </rPr>
      <t>- основная заработная плата рабочих</t>
    </r>
  </si>
  <si>
    <r>
      <t xml:space="preserve">Осн/Зп
</t>
    </r>
    <r>
      <rPr>
        <sz val="9"/>
        <rFont val="Arial Cyr"/>
        <charset val="204"/>
      </rPr>
      <t xml:space="preserve">(ОЗП) </t>
    </r>
  </si>
  <si>
    <r>
      <t xml:space="preserve">Эк.Маш
</t>
    </r>
    <r>
      <rPr>
        <sz val="9"/>
        <rFont val="Arial Cyr"/>
        <charset val="204"/>
      </rPr>
      <t xml:space="preserve">(ЭМ) </t>
    </r>
  </si>
  <si>
    <r>
      <t xml:space="preserve">Трудо-затраты
</t>
    </r>
    <r>
      <rPr>
        <sz val="9"/>
        <rFont val="Arial Cyr"/>
        <charset val="204"/>
      </rPr>
      <t>(ТЗ),</t>
    </r>
    <r>
      <rPr>
        <i/>
        <sz val="9"/>
        <rFont val="Arial Cyr"/>
        <charset val="204"/>
      </rPr>
      <t xml:space="preserve"> чел-ч</t>
    </r>
  </si>
  <si>
    <r>
      <t xml:space="preserve">Зп.Мех
</t>
    </r>
    <r>
      <rPr>
        <sz val="9"/>
        <rFont val="Arial Cyr"/>
        <charset val="204"/>
      </rPr>
      <t>(ЗПМ)</t>
    </r>
  </si>
  <si>
    <t xml:space="preserve">МАТ
</t>
  </si>
  <si>
    <r>
      <t xml:space="preserve">Затраты
 на оплату труда
</t>
    </r>
    <r>
      <rPr>
        <sz val="9"/>
        <rFont val="Arial Cyr"/>
        <charset val="204"/>
      </rPr>
      <t>(ЗП), руб</t>
    </r>
  </si>
  <si>
    <r>
      <t xml:space="preserve">Затраты на единицу измерения
</t>
    </r>
    <r>
      <rPr>
        <b/>
        <sz val="9"/>
        <rFont val="Arial Cyr"/>
        <charset val="204"/>
      </rPr>
      <t>Общая сметная стоимость</t>
    </r>
    <r>
      <rPr>
        <sz val="9"/>
        <rFont val="Arial Cyr"/>
        <charset val="204"/>
      </rPr>
      <t xml:space="preserve">                                                    </t>
    </r>
  </si>
  <si>
    <r>
      <t xml:space="preserve">Трудо-затраты
</t>
    </r>
    <r>
      <rPr>
        <sz val="9"/>
        <color indexed="8"/>
        <rFont val="Arial"/>
        <family val="2"/>
        <charset val="204"/>
      </rPr>
      <t xml:space="preserve"> </t>
    </r>
    <r>
      <rPr>
        <i/>
        <sz val="9"/>
        <color indexed="8"/>
        <rFont val="Arial"/>
        <family val="2"/>
        <charset val="204"/>
      </rPr>
      <t>чел-ч</t>
    </r>
  </si>
  <si>
    <t>ВСЕГО</t>
  </si>
  <si>
    <t>Трудо-затраты</t>
  </si>
  <si>
    <t>Затраты на ед. изм.</t>
  </si>
  <si>
    <t>Всего, руб</t>
  </si>
  <si>
    <t>Оплата труда 
и прочие затраты 
(руб)</t>
  </si>
  <si>
    <t>Раздел: Электромонтажные работы по Сб.ФЕРм-2001</t>
  </si>
  <si>
    <t xml:space="preserve">10-04-067-22 </t>
  </si>
  <si>
    <t>Камера телевизионная передающая</t>
  </si>
  <si>
    <t>шт</t>
  </si>
  <si>
    <t xml:space="preserve">10-04-067-23 </t>
  </si>
  <si>
    <t>Устройство видеоконтрольное</t>
  </si>
  <si>
    <t xml:space="preserve">10-03-056-01 </t>
  </si>
  <si>
    <t xml:space="preserve">Настройка  кабельного видеоканала </t>
  </si>
  <si>
    <t>1 канал</t>
  </si>
  <si>
    <t>10-08-003-03</t>
  </si>
  <si>
    <t>Блок питания и контроля</t>
  </si>
  <si>
    <t xml:space="preserve">10-01-055-03 </t>
  </si>
  <si>
    <t>Прокладка кабеля по бетон.стене</t>
  </si>
  <si>
    <t>100м</t>
  </si>
  <si>
    <t>Раздел : Пусконаладочные работы по Сб.ФЕРп-2001</t>
  </si>
  <si>
    <t>02-01-002-03</t>
  </si>
  <si>
    <t>количество каналов - 10</t>
  </si>
  <si>
    <t>02-01-002-02</t>
  </si>
  <si>
    <t xml:space="preserve">за каждый канал свыше 2 до 9 </t>
  </si>
  <si>
    <t>канал</t>
  </si>
  <si>
    <t>10-06-068-15</t>
  </si>
  <si>
    <t xml:space="preserve">Конфигурация и настройка сетевых компонентов </t>
  </si>
  <si>
    <t>1 шт</t>
  </si>
  <si>
    <t>10-06-068-16</t>
  </si>
  <si>
    <t>Программирование сетевого элемента и отладка его работы</t>
  </si>
  <si>
    <t>1 элемент</t>
  </si>
  <si>
    <t>10-06-068-17</t>
  </si>
  <si>
    <t>Сдача объекта, контрольные и приемо-сдаточные испытания сети</t>
  </si>
  <si>
    <t>1 объект</t>
  </si>
  <si>
    <t>Сервер MACROSCOP для IP камер.</t>
  </si>
  <si>
    <t>MACROSCOP ML Количество IP-камер до 20 на 1 сервер и 2 рабочих места</t>
  </si>
  <si>
    <t>Точка доступа TP-Link TL-WA7510N 1*10\100 Base-TX+802.11n (150 Mbit\s), 15 dBm, 5 GHz</t>
  </si>
  <si>
    <t>Маршрутизатор</t>
  </si>
  <si>
    <t>VC-6208 IR</t>
  </si>
  <si>
    <t>VC-6311 2,8-12 IR</t>
  </si>
  <si>
    <t>Жесткий диск SATA-3 2Tb Western Digital</t>
  </si>
  <si>
    <t>Свич DEES 1001</t>
  </si>
  <si>
    <t>FTP 4PR с тросом уличный (305м)</t>
  </si>
  <si>
    <t>м.</t>
  </si>
  <si>
    <t>ПВС 3*1,5</t>
  </si>
  <si>
    <t>ББП 30 исп 1.</t>
  </si>
  <si>
    <t>Расходные материалы (Кррепеж, изоляция, разъемы, стальная проволока и т.д.</t>
  </si>
  <si>
    <t>ед.</t>
  </si>
  <si>
    <t>***</t>
  </si>
  <si>
    <t>ООО "Атолл-техно", г. Красноярск, ул. Семафорная, д.329, оф.24</t>
  </si>
  <si>
    <t>ЛОКАЛЬНЫЙ СМЕТНЫЙ РАСЧЕТ № 1 
 Локальная смета:</t>
  </si>
  <si>
    <t>Расчет сметной стоимости выполнен  по состоянию на 12.11.2012</t>
  </si>
  <si>
    <t>1  от 12.11.2012</t>
  </si>
  <si>
    <t>Основание: ***</t>
  </si>
  <si>
    <t xml:space="preserve">  Исполнительный директор Р.С. Холмов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</si>
</sst>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"/>
    <numFmt numFmtId="167" formatCode="0.000"/>
    <numFmt numFmtId="168" formatCode="#,##0.00;\-#,##0.00"/>
    <numFmt numFmtId="188" formatCode="#,##0.000"/>
    <numFmt numFmtId="189" formatCode="#,##0.0000"/>
    <numFmt numFmtId="197" formatCode="yyyy&quot;г.&quot;"/>
    <numFmt numFmtId="200" formatCode="0.0##%"/>
    <numFmt numFmtId="204" formatCode="0.0#%"/>
  </numFmts>
  <fonts count="75" x14ac:knownFonts="1">
    <font>
      <sz val="10"/>
      <name val="Arial Cyr"/>
      <charset val="204"/>
    </font>
    <font>
      <sz val="10"/>
      <name val="Arial Cyr"/>
      <charset val="204"/>
    </font>
    <font>
      <b/>
      <shadow/>
      <sz val="10"/>
      <name val="Arial cyr"/>
      <charset val="204"/>
    </font>
    <font>
      <sz val="11"/>
      <name val="Arial Cyr"/>
      <charset val="204"/>
    </font>
    <font>
      <b/>
      <shadow/>
      <sz val="14"/>
      <name val="Arial cyr"/>
      <charset val="204"/>
    </font>
    <font>
      <b/>
      <i/>
      <sz val="10"/>
      <name val="Arial Cyr"/>
      <charset val="204"/>
    </font>
    <font>
      <sz val="8"/>
      <name val="Arial Cyr"/>
      <family val="2"/>
      <charset val="204"/>
    </font>
    <font>
      <b/>
      <sz val="9"/>
      <name val="Arial Cyr"/>
      <family val="2"/>
      <charset val="204"/>
    </font>
    <font>
      <b/>
      <sz val="10"/>
      <name val="Arial Cyr"/>
      <charset val="204"/>
    </font>
    <font>
      <b/>
      <sz val="9"/>
      <color indexed="8"/>
      <name val="Arial Cyr"/>
      <family val="2"/>
      <charset val="204"/>
    </font>
    <font>
      <sz val="9"/>
      <name val="Arial Cyr"/>
      <charset val="204"/>
    </font>
    <font>
      <sz val="9"/>
      <name val="Arial Cyr"/>
      <family val="2"/>
      <charset val="204"/>
    </font>
    <font>
      <b/>
      <sz val="9"/>
      <name val="Arial Cyr"/>
      <charset val="204"/>
    </font>
    <font>
      <b/>
      <sz val="10"/>
      <name val="Arial Cyr"/>
      <family val="2"/>
      <charset val="204"/>
    </font>
    <font>
      <b/>
      <i/>
      <sz val="9"/>
      <name val="Arial Cyr"/>
      <family val="2"/>
      <charset val="204"/>
    </font>
    <font>
      <sz val="8"/>
      <name val="Arial Cyr"/>
      <charset val="204"/>
    </font>
    <font>
      <shadow/>
      <sz val="9"/>
      <name val="Arial Cyr"/>
      <charset val="204"/>
    </font>
    <font>
      <sz val="10"/>
      <name val="Arial Cyr"/>
      <family val="2"/>
      <charset val="204"/>
    </font>
    <font>
      <b/>
      <i/>
      <sz val="9"/>
      <name val="Arial Cyr"/>
      <charset val="204"/>
    </font>
    <font>
      <b/>
      <sz val="9"/>
      <color indexed="8"/>
      <name val="Arial Cyr"/>
      <charset val="204"/>
    </font>
    <font>
      <sz val="10"/>
      <name val="Arial Narrow"/>
      <family val="2"/>
      <charset val="204"/>
    </font>
    <font>
      <b/>
      <i/>
      <sz val="10"/>
      <name val="Arial Narrow"/>
      <family val="2"/>
      <charset val="204"/>
    </font>
    <font>
      <b/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i/>
      <sz val="10"/>
      <name val="Arial Narrow"/>
      <family val="2"/>
    </font>
    <font>
      <b/>
      <i/>
      <shadow/>
      <sz val="10"/>
      <name val="Arial Narrow"/>
      <family val="2"/>
    </font>
    <font>
      <b/>
      <sz val="9"/>
      <name val="Arial Narrow"/>
      <family val="2"/>
      <charset val="204"/>
    </font>
    <font>
      <b/>
      <sz val="10"/>
      <name val="Arial"/>
      <family val="2"/>
      <charset val="204"/>
    </font>
    <font>
      <b/>
      <i/>
      <shadow/>
      <sz val="10"/>
      <name val="Arial Narrow"/>
      <family val="2"/>
      <charset val="204"/>
    </font>
    <font>
      <sz val="10"/>
      <color indexed="10"/>
      <name val="Arial Cyr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i/>
      <sz val="9"/>
      <name val="Arial"/>
      <family val="2"/>
      <charset val="204"/>
    </font>
    <font>
      <b/>
      <sz val="9"/>
      <color indexed="8"/>
      <name val="Arial Narrow"/>
      <family val="2"/>
      <charset val="204"/>
    </font>
    <font>
      <sz val="12"/>
      <name val="Times New Roman"/>
      <family val="1"/>
      <charset val="204"/>
    </font>
    <font>
      <b/>
      <sz val="10"/>
      <color indexed="8"/>
      <name val="Arial Narrow"/>
      <family val="2"/>
      <charset val="204"/>
    </font>
    <font>
      <b/>
      <shadow/>
      <sz val="10.5"/>
      <name val="Arial Narrow"/>
      <family val="2"/>
    </font>
    <font>
      <b/>
      <i/>
      <sz val="9.5"/>
      <name val="Arial Cyr"/>
      <charset val="204"/>
    </font>
    <font>
      <b/>
      <sz val="9.5"/>
      <name val="Arial Narrow"/>
      <family val="2"/>
      <charset val="204"/>
    </font>
    <font>
      <b/>
      <sz val="9.5"/>
      <name val="Arial Narrow"/>
      <family val="2"/>
    </font>
    <font>
      <sz val="7"/>
      <name val="Arial Cyr"/>
      <charset val="204"/>
    </font>
    <font>
      <b/>
      <sz val="10"/>
      <name val="Arial Narrow"/>
      <family val="2"/>
    </font>
    <font>
      <b/>
      <sz val="10"/>
      <color indexed="9"/>
      <name val="Arial Narrow"/>
      <family val="2"/>
      <charset val="204"/>
    </font>
    <font>
      <sz val="9.5"/>
      <name val="Arial Cyr"/>
      <charset val="204"/>
    </font>
    <font>
      <i/>
      <sz val="10"/>
      <color indexed="8"/>
      <name val="Arial Narrow"/>
      <family val="2"/>
      <charset val="204"/>
    </font>
    <font>
      <i/>
      <sz val="10"/>
      <name val="Arial"/>
      <family val="2"/>
      <charset val="204"/>
    </font>
    <font>
      <sz val="10"/>
      <color indexed="9"/>
      <name val="Arial Cyr"/>
      <family val="2"/>
      <charset val="204"/>
    </font>
    <font>
      <sz val="9"/>
      <color indexed="9"/>
      <name val="Arial Cyr"/>
      <family val="2"/>
      <charset val="204"/>
    </font>
    <font>
      <sz val="10"/>
      <color indexed="43"/>
      <name val="Arial Cyr"/>
      <charset val="204"/>
    </font>
    <font>
      <sz val="10"/>
      <color indexed="9"/>
      <name val="Arial Cyr"/>
      <charset val="204"/>
    </font>
    <font>
      <b/>
      <sz val="9.5"/>
      <color indexed="10"/>
      <name val="Arial Narrow"/>
      <family val="2"/>
      <charset val="204"/>
    </font>
    <font>
      <i/>
      <sz val="10"/>
      <color indexed="10"/>
      <name val="Arial Narrow"/>
      <family val="2"/>
      <charset val="204"/>
    </font>
    <font>
      <sz val="9.5"/>
      <name val="Arial Narrow"/>
      <family val="2"/>
      <charset val="204"/>
    </font>
    <font>
      <b/>
      <sz val="10"/>
      <color indexed="8"/>
      <name val="Arial Narrow"/>
      <family val="2"/>
    </font>
    <font>
      <i/>
      <sz val="9"/>
      <name val="Arial Cyr"/>
      <family val="2"/>
      <charset val="204"/>
    </font>
    <font>
      <b/>
      <i/>
      <sz val="10"/>
      <color indexed="8"/>
      <name val="Arial Narrow"/>
      <family val="2"/>
    </font>
    <font>
      <b/>
      <i/>
      <sz val="10"/>
      <color indexed="8"/>
      <name val="Arial Narrow"/>
      <family val="2"/>
      <charset val="204"/>
    </font>
    <font>
      <sz val="9.5"/>
      <color indexed="8"/>
      <name val="Arial Cyr"/>
      <charset val="204"/>
    </font>
    <font>
      <b/>
      <sz val="9.5"/>
      <name val="Arial Cyr"/>
      <charset val="204"/>
    </font>
    <font>
      <b/>
      <i/>
      <u/>
      <sz val="10"/>
      <color indexed="8"/>
      <name val="Arial Narrow"/>
      <family val="2"/>
      <charset val="204"/>
    </font>
    <font>
      <sz val="6"/>
      <name val="Arial Cyr"/>
      <charset val="204"/>
    </font>
    <font>
      <b/>
      <sz val="8"/>
      <name val="Arial"/>
      <family val="2"/>
    </font>
    <font>
      <sz val="8"/>
      <name val="Arial"/>
      <family val="2"/>
    </font>
    <font>
      <b/>
      <i/>
      <u/>
      <sz val="10"/>
      <color indexed="9"/>
      <name val="Arial Narrow"/>
      <family val="2"/>
      <charset val="204"/>
    </font>
    <font>
      <b/>
      <i/>
      <sz val="10"/>
      <color indexed="9"/>
      <name val="Arial"/>
      <family val="2"/>
      <charset val="204"/>
    </font>
    <font>
      <sz val="8"/>
      <color indexed="9"/>
      <name val="Arial Cyr"/>
      <charset val="204"/>
    </font>
    <font>
      <sz val="8"/>
      <color indexed="9"/>
      <name val="Arial"/>
      <family val="2"/>
      <charset val="204"/>
    </font>
    <font>
      <b/>
      <i/>
      <sz val="12"/>
      <name val="Arial Cyr"/>
      <charset val="204"/>
    </font>
    <font>
      <b/>
      <shadow/>
      <sz val="11"/>
      <name val="Arial cyr"/>
      <charset val="204"/>
    </font>
    <font>
      <sz val="8"/>
      <color indexed="12"/>
      <name val="Arial Cyr"/>
      <charset val="204"/>
    </font>
    <font>
      <b/>
      <sz val="9"/>
      <color indexed="10"/>
      <name val="Arial"/>
      <family val="2"/>
      <charset val="204"/>
    </font>
    <font>
      <i/>
      <sz val="9"/>
      <name val="Arial Cyr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i/>
      <sz val="9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26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7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Continuous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4" fontId="5" fillId="0" borderId="0" xfId="0" applyNumberFormat="1" applyFont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Border="1" applyAlignment="1">
      <alignment horizontal="centerContinuous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" fontId="10" fillId="4" borderId="2" xfId="0" applyNumberFormat="1" applyFont="1" applyFill="1" applyBorder="1" applyAlignment="1">
      <alignment horizontal="center" vertical="center"/>
    </xf>
    <xf numFmtId="2" fontId="18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12" fillId="0" borderId="4" xfId="0" applyFont="1" applyBorder="1" applyAlignment="1">
      <alignment horizontal="center" vertical="center" wrapText="1"/>
    </xf>
    <xf numFmtId="0" fontId="0" fillId="2" borderId="0" xfId="0" applyFill="1" applyAlignment="1">
      <alignment horizontal="right" wrapText="1"/>
    </xf>
    <xf numFmtId="0" fontId="15" fillId="2" borderId="0" xfId="0" applyFont="1" applyFill="1" applyBorder="1" applyAlignment="1">
      <alignment vertical="top"/>
    </xf>
    <xf numFmtId="0" fontId="0" fillId="2" borderId="0" xfId="0" applyFill="1" applyAlignment="1">
      <alignment horizont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0" fillId="2" borderId="6" xfId="0" applyFill="1" applyBorder="1" applyAlignment="1">
      <alignment horizontal="right" vertical="center"/>
    </xf>
    <xf numFmtId="0" fontId="10" fillId="2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Border="1" applyAlignment="1">
      <alignment horizontal="right" vertical="center"/>
    </xf>
    <xf numFmtId="0" fontId="15" fillId="3" borderId="2" xfId="0" applyFont="1" applyFill="1" applyBorder="1" applyAlignment="1">
      <alignment horizontal="center" vertical="center" wrapText="1"/>
    </xf>
    <xf numFmtId="2" fontId="22" fillId="4" borderId="2" xfId="0" applyNumberFormat="1" applyFont="1" applyFill="1" applyBorder="1" applyAlignment="1">
      <alignment horizontal="center" vertical="center"/>
    </xf>
    <xf numFmtId="2" fontId="22" fillId="4" borderId="3" xfId="0" applyNumberFormat="1" applyFont="1" applyFill="1" applyBorder="1" applyAlignment="1">
      <alignment horizontal="center" vertical="center"/>
    </xf>
    <xf numFmtId="4" fontId="21" fillId="0" borderId="0" xfId="0" applyNumberFormat="1" applyFont="1" applyAlignment="1">
      <alignment horizontal="right" vertical="center"/>
    </xf>
    <xf numFmtId="4" fontId="28" fillId="0" borderId="0" xfId="0" applyNumberFormat="1" applyFont="1" applyAlignment="1">
      <alignment horizontal="right" vertical="center"/>
    </xf>
    <xf numFmtId="4" fontId="28" fillId="0" borderId="0" xfId="0" applyNumberFormat="1" applyFont="1" applyBorder="1" applyAlignment="1">
      <alignment horizontal="right" vertical="center"/>
    </xf>
    <xf numFmtId="2" fontId="21" fillId="0" borderId="0" xfId="0" applyNumberFormat="1" applyFont="1" applyAlignment="1">
      <alignment horizontal="right" vertical="center"/>
    </xf>
    <xf numFmtId="0" fontId="29" fillId="0" borderId="0" xfId="0" applyFont="1" applyAlignment="1">
      <alignment horizontal="centerContinuous"/>
    </xf>
    <xf numFmtId="0" fontId="8" fillId="2" borderId="8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right" vertical="center" wrapText="1"/>
    </xf>
    <xf numFmtId="0" fontId="33" fillId="0" borderId="0" xfId="0" applyFont="1" applyFill="1" applyBorder="1" applyAlignment="1">
      <alignment horizontal="right" vertical="center" wrapText="1"/>
    </xf>
    <xf numFmtId="0" fontId="18" fillId="2" borderId="0" xfId="0" applyFont="1" applyFill="1" applyBorder="1" applyAlignment="1">
      <alignment horizontal="right" vertical="center" indent="2"/>
    </xf>
    <xf numFmtId="0" fontId="11" fillId="2" borderId="0" xfId="0" applyFont="1" applyFill="1" applyBorder="1" applyAlignment="1">
      <alignment horizontal="center" vertical="center"/>
    </xf>
    <xf numFmtId="0" fontId="34" fillId="0" borderId="0" xfId="0" applyFont="1"/>
    <xf numFmtId="2" fontId="22" fillId="2" borderId="0" xfId="0" applyNumberFormat="1" applyFont="1" applyFill="1" applyBorder="1" applyAlignment="1">
      <alignment horizontal="center" vertical="center"/>
    </xf>
    <xf numFmtId="2" fontId="26" fillId="2" borderId="0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4" fontId="22" fillId="2" borderId="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6" fillId="0" borderId="0" xfId="0" applyFont="1" applyAlignment="1">
      <alignment horizontal="right" vertical="center"/>
    </xf>
    <xf numFmtId="2" fontId="38" fillId="0" borderId="2" xfId="0" applyNumberFormat="1" applyFont="1" applyBorder="1" applyAlignment="1">
      <alignment horizontal="center" vertical="center"/>
    </xf>
    <xf numFmtId="0" fontId="32" fillId="2" borderId="10" xfId="0" applyFont="1" applyFill="1" applyBorder="1" applyAlignment="1">
      <alignment horizontal="right" vertical="center" wrapText="1"/>
    </xf>
    <xf numFmtId="0" fontId="30" fillId="2" borderId="11" xfId="0" applyFont="1" applyFill="1" applyBorder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13" fillId="2" borderId="12" xfId="0" applyFont="1" applyFill="1" applyBorder="1" applyAlignment="1">
      <alignment horizontal="center" vertical="center" wrapText="1"/>
    </xf>
    <xf numFmtId="4" fontId="22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4" fontId="22" fillId="2" borderId="16" xfId="0" applyNumberFormat="1" applyFont="1" applyFill="1" applyBorder="1" applyAlignment="1">
      <alignment horizontal="center" vertical="center"/>
    </xf>
    <xf numFmtId="4" fontId="22" fillId="2" borderId="17" xfId="0" applyNumberFormat="1" applyFont="1" applyFill="1" applyBorder="1" applyAlignment="1">
      <alignment horizontal="center" vertical="center"/>
    </xf>
    <xf numFmtId="4" fontId="22" fillId="2" borderId="0" xfId="0" applyNumberFormat="1" applyFont="1" applyFill="1" applyBorder="1" applyAlignment="1">
      <alignment horizontal="center" vertical="center"/>
    </xf>
    <xf numFmtId="1" fontId="0" fillId="5" borderId="3" xfId="0" applyNumberFormat="1" applyFill="1" applyBorder="1" applyAlignment="1">
      <alignment horizontal="centerContinuous" vertical="center"/>
    </xf>
    <xf numFmtId="168" fontId="1" fillId="3" borderId="2" xfId="0" applyNumberFormat="1" applyFont="1" applyFill="1" applyBorder="1" applyAlignment="1">
      <alignment horizontal="centerContinuous" vertical="center"/>
    </xf>
    <xf numFmtId="2" fontId="1" fillId="5" borderId="18" xfId="0" applyNumberFormat="1" applyFont="1" applyFill="1" applyBorder="1" applyAlignment="1">
      <alignment horizontal="centerContinuous" vertical="center"/>
    </xf>
    <xf numFmtId="2" fontId="1" fillId="5" borderId="19" xfId="0" applyNumberFormat="1" applyFont="1" applyFill="1" applyBorder="1" applyAlignment="1">
      <alignment horizontal="center" vertical="center"/>
    </xf>
    <xf numFmtId="168" fontId="22" fillId="4" borderId="2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left" vertical="top" wrapText="1"/>
    </xf>
    <xf numFmtId="2" fontId="7" fillId="2" borderId="12" xfId="0" applyNumberFormat="1" applyFont="1" applyFill="1" applyBorder="1" applyAlignment="1">
      <alignment horizontal="left" vertical="center"/>
    </xf>
    <xf numFmtId="4" fontId="38" fillId="2" borderId="10" xfId="0" applyNumberFormat="1" applyFont="1" applyFill="1" applyBorder="1" applyAlignment="1">
      <alignment horizontal="center" vertical="center"/>
    </xf>
    <xf numFmtId="4" fontId="38" fillId="0" borderId="2" xfId="0" applyNumberFormat="1" applyFont="1" applyFill="1" applyBorder="1" applyAlignment="1">
      <alignment horizontal="center" vertical="center"/>
    </xf>
    <xf numFmtId="4" fontId="38" fillId="0" borderId="2" xfId="0" applyNumberFormat="1" applyFont="1" applyBorder="1" applyAlignment="1">
      <alignment horizontal="center" vertical="center" wrapText="1"/>
    </xf>
    <xf numFmtId="4" fontId="22" fillId="0" borderId="12" xfId="0" applyNumberFormat="1" applyFont="1" applyBorder="1" applyAlignment="1">
      <alignment horizontal="center" vertical="center"/>
    </xf>
    <xf numFmtId="4" fontId="22" fillId="0" borderId="12" xfId="0" applyNumberFormat="1" applyFont="1" applyBorder="1" applyAlignment="1">
      <alignment horizontal="center" vertical="center" wrapText="1"/>
    </xf>
    <xf numFmtId="4" fontId="16" fillId="2" borderId="0" xfId="0" applyNumberFormat="1" applyFont="1" applyFill="1" applyAlignment="1">
      <alignment horizontal="left" vertical="center"/>
    </xf>
    <xf numFmtId="4" fontId="38" fillId="2" borderId="10" xfId="2" applyNumberFormat="1" applyFont="1" applyFill="1" applyBorder="1" applyAlignment="1">
      <alignment horizontal="center" vertical="center"/>
    </xf>
    <xf numFmtId="4" fontId="38" fillId="2" borderId="2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Border="1" applyAlignment="1">
      <alignment horizontal="center" vertical="center" wrapText="1"/>
    </xf>
    <xf numFmtId="2" fontId="12" fillId="0" borderId="20" xfId="0" applyNumberFormat="1" applyFont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wrapText="1"/>
    </xf>
    <xf numFmtId="9" fontId="8" fillId="2" borderId="12" xfId="0" applyNumberFormat="1" applyFont="1" applyFill="1" applyBorder="1" applyAlignment="1">
      <alignment horizontal="center" vertical="center" wrapText="1"/>
    </xf>
    <xf numFmtId="9" fontId="42" fillId="2" borderId="0" xfId="0" applyNumberFormat="1" applyFont="1" applyFill="1" applyBorder="1" applyAlignment="1">
      <alignment horizontal="center" vertical="center" wrapText="1"/>
    </xf>
    <xf numFmtId="9" fontId="42" fillId="2" borderId="0" xfId="0" applyNumberFormat="1" applyFont="1" applyFill="1" applyBorder="1" applyAlignment="1">
      <alignment horizontal="center" vertical="center"/>
    </xf>
    <xf numFmtId="9" fontId="4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7" fillId="2" borderId="0" xfId="0" applyFont="1" applyFill="1" applyBorder="1" applyAlignment="1">
      <alignment horizontal="right" vertical="center"/>
    </xf>
    <xf numFmtId="2" fontId="27" fillId="2" borderId="0" xfId="0" applyNumberFormat="1" applyFont="1" applyFill="1" applyBorder="1" applyAlignment="1">
      <alignment horizontal="center" vertical="center"/>
    </xf>
    <xf numFmtId="2" fontId="27" fillId="2" borderId="0" xfId="0" applyNumberFormat="1" applyFont="1" applyFill="1" applyBorder="1" applyAlignment="1">
      <alignment horizontal="right" vertical="center"/>
    </xf>
    <xf numFmtId="4" fontId="39" fillId="0" borderId="2" xfId="0" applyNumberFormat="1" applyFont="1" applyFill="1" applyBorder="1" applyAlignment="1">
      <alignment horizontal="center" vertical="center"/>
    </xf>
    <xf numFmtId="4" fontId="39" fillId="0" borderId="2" xfId="0" applyNumberFormat="1" applyFont="1" applyBorder="1" applyAlignment="1">
      <alignment horizontal="center" vertical="center" wrapText="1"/>
    </xf>
    <xf numFmtId="4" fontId="41" fillId="0" borderId="12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43" fillId="2" borderId="0" xfId="0" applyFont="1" applyFill="1" applyAlignment="1">
      <alignment horizontal="center" vertical="center"/>
    </xf>
    <xf numFmtId="0" fontId="43" fillId="2" borderId="0" xfId="0" applyFont="1" applyFill="1" applyAlignment="1">
      <alignment horizontal="left" vertical="center"/>
    </xf>
    <xf numFmtId="0" fontId="43" fillId="2" borderId="0" xfId="0" applyFont="1" applyFill="1" applyAlignment="1">
      <alignment horizontal="center" vertical="center" wrapText="1"/>
    </xf>
    <xf numFmtId="0" fontId="4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right" vertical="center" wrapText="1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2" fontId="10" fillId="2" borderId="0" xfId="0" applyNumberFormat="1" applyFont="1" applyFill="1" applyAlignment="1">
      <alignment horizontal="right" vertical="center"/>
    </xf>
    <xf numFmtId="168" fontId="10" fillId="2" borderId="0" xfId="0" applyNumberFormat="1" applyFont="1" applyFill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4" fontId="10" fillId="2" borderId="0" xfId="0" applyNumberFormat="1" applyFont="1" applyFill="1" applyAlignment="1">
      <alignment horizontal="right" vertical="center"/>
    </xf>
    <xf numFmtId="0" fontId="17" fillId="2" borderId="22" xfId="0" applyFont="1" applyFill="1" applyBorder="1" applyAlignment="1">
      <alignment horizontal="right" vertical="center" wrapText="1"/>
    </xf>
    <xf numFmtId="0" fontId="11" fillId="2" borderId="22" xfId="0" applyFont="1" applyFill="1" applyBorder="1" applyAlignment="1">
      <alignment horizontal="left" vertical="center"/>
    </xf>
    <xf numFmtId="0" fontId="11" fillId="2" borderId="22" xfId="0" applyFont="1" applyFill="1" applyBorder="1" applyAlignment="1">
      <alignment horizontal="center" vertical="center" wrapText="1"/>
    </xf>
    <xf numFmtId="2" fontId="10" fillId="2" borderId="22" xfId="0" applyNumberFormat="1" applyFont="1" applyFill="1" applyBorder="1" applyAlignment="1">
      <alignment horizontal="right" vertical="center"/>
    </xf>
    <xf numFmtId="168" fontId="10" fillId="2" borderId="22" xfId="0" applyNumberFormat="1" applyFont="1" applyFill="1" applyBorder="1" applyAlignment="1">
      <alignment horizontal="right" vertical="center"/>
    </xf>
    <xf numFmtId="0" fontId="10" fillId="2" borderId="22" xfId="0" applyFont="1" applyFill="1" applyBorder="1" applyAlignment="1">
      <alignment horizontal="center" vertical="center"/>
    </xf>
    <xf numFmtId="2" fontId="1" fillId="2" borderId="22" xfId="0" applyNumberFormat="1" applyFont="1" applyFill="1" applyBorder="1" applyAlignment="1">
      <alignment horizontal="right" vertical="center"/>
    </xf>
    <xf numFmtId="0" fontId="43" fillId="2" borderId="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49" fillId="0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0" fontId="46" fillId="0" borderId="3" xfId="0" applyNumberFormat="1" applyFont="1" applyBorder="1" applyAlignment="1">
      <alignment horizontal="center" wrapText="1"/>
    </xf>
    <xf numFmtId="0" fontId="20" fillId="0" borderId="0" xfId="0" applyFont="1" applyAlignment="1">
      <alignment wrapText="1"/>
    </xf>
    <xf numFmtId="0" fontId="29" fillId="2" borderId="0" xfId="0" applyFont="1" applyFill="1" applyBorder="1" applyAlignment="1">
      <alignment horizontal="center" vertical="center" wrapText="1"/>
    </xf>
    <xf numFmtId="0" fontId="43" fillId="2" borderId="0" xfId="0" applyFont="1" applyFill="1" applyBorder="1" applyAlignment="1">
      <alignment vertical="center" wrapText="1"/>
    </xf>
    <xf numFmtId="1" fontId="29" fillId="2" borderId="13" xfId="0" applyNumberFormat="1" applyFont="1" applyFill="1" applyBorder="1" applyAlignment="1">
      <alignment horizontal="center" vertical="center" wrapText="1"/>
    </xf>
    <xf numFmtId="4" fontId="52" fillId="2" borderId="11" xfId="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right" wrapText="1"/>
    </xf>
    <xf numFmtId="0" fontId="6" fillId="2" borderId="0" xfId="0" applyFont="1" applyFill="1" applyBorder="1" applyAlignment="1">
      <alignment horizontal="left"/>
    </xf>
    <xf numFmtId="4" fontId="52" fillId="2" borderId="24" xfId="0" applyNumberFormat="1" applyFont="1" applyFill="1" applyBorder="1" applyAlignment="1">
      <alignment horizontal="center" vertical="center" wrapText="1"/>
    </xf>
    <xf numFmtId="4" fontId="38" fillId="2" borderId="2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4" fontId="27" fillId="2" borderId="0" xfId="0" applyNumberFormat="1" applyFont="1" applyFill="1" applyBorder="1" applyAlignment="1">
      <alignment vertical="center"/>
    </xf>
    <xf numFmtId="4" fontId="8" fillId="2" borderId="0" xfId="0" applyNumberFormat="1" applyFont="1" applyFill="1" applyBorder="1" applyAlignment="1">
      <alignment horizontal="center" vertical="center"/>
    </xf>
    <xf numFmtId="2" fontId="45" fillId="2" borderId="0" xfId="0" applyNumberFormat="1" applyFont="1" applyFill="1" applyBorder="1" applyAlignment="1">
      <alignment vertical="center"/>
    </xf>
    <xf numFmtId="4" fontId="1" fillId="2" borderId="0" xfId="0" applyNumberFormat="1" applyFont="1" applyFill="1" applyBorder="1" applyAlignment="1">
      <alignment horizontal="center" vertical="top" wrapText="1"/>
    </xf>
    <xf numFmtId="4" fontId="7" fillId="2" borderId="0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51" fillId="0" borderId="0" xfId="0" applyFont="1" applyAlignment="1">
      <alignment vertical="center"/>
    </xf>
    <xf numFmtId="0" fontId="56" fillId="0" borderId="0" xfId="0" applyFont="1" applyAlignment="1">
      <alignment horizontal="right" vertical="center"/>
    </xf>
    <xf numFmtId="2" fontId="7" fillId="0" borderId="12" xfId="0" applyNumberFormat="1" applyFont="1" applyBorder="1" applyAlignment="1">
      <alignment horizontal="left" vertical="center"/>
    </xf>
    <xf numFmtId="10" fontId="47" fillId="0" borderId="3" xfId="0" applyNumberFormat="1" applyFont="1" applyBorder="1" applyAlignment="1">
      <alignment vertical="center"/>
    </xf>
    <xf numFmtId="0" fontId="47" fillId="0" borderId="0" xfId="0" applyFont="1" applyAlignment="1">
      <alignment vertical="center"/>
    </xf>
    <xf numFmtId="0" fontId="49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4" fontId="55" fillId="0" borderId="0" xfId="0" applyNumberFormat="1" applyFont="1" applyAlignment="1">
      <alignment horizontal="right" vertical="center"/>
    </xf>
    <xf numFmtId="4" fontId="31" fillId="2" borderId="25" xfId="0" applyNumberFormat="1" applyFont="1" applyFill="1" applyBorder="1" applyAlignment="1">
      <alignment horizontal="center" vertical="center"/>
    </xf>
    <xf numFmtId="4" fontId="38" fillId="2" borderId="2" xfId="0" applyNumberFormat="1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right" vertical="center" indent="1"/>
    </xf>
    <xf numFmtId="0" fontId="43" fillId="2" borderId="0" xfId="0" applyFont="1" applyFill="1" applyAlignment="1">
      <alignment horizontal="right" vertical="center" indent="1"/>
    </xf>
    <xf numFmtId="0" fontId="5" fillId="2" borderId="0" xfId="0" applyFont="1" applyFill="1" applyBorder="1" applyAlignment="1">
      <alignment horizontal="right" vertical="center" indent="1"/>
    </xf>
    <xf numFmtId="0" fontId="59" fillId="0" borderId="0" xfId="0" applyFont="1" applyBorder="1" applyAlignment="1">
      <alignment horizontal="right" vertical="center"/>
    </xf>
    <xf numFmtId="189" fontId="22" fillId="0" borderId="3" xfId="0" applyNumberFormat="1" applyFont="1" applyBorder="1" applyAlignment="1">
      <alignment horizontal="center" vertical="center" wrapText="1"/>
    </xf>
    <xf numFmtId="4" fontId="1" fillId="2" borderId="15" xfId="0" applyNumberFormat="1" applyFont="1" applyFill="1" applyBorder="1" applyAlignment="1">
      <alignment vertical="center" wrapText="1"/>
    </xf>
    <xf numFmtId="197" fontId="0" fillId="0" borderId="0" xfId="0" applyNumberFormat="1" applyBorder="1" applyAlignment="1">
      <alignment horizontal="center"/>
    </xf>
    <xf numFmtId="2" fontId="12" fillId="2" borderId="12" xfId="0" applyNumberFormat="1" applyFont="1" applyFill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2" fontId="11" fillId="4" borderId="2" xfId="0" applyNumberFormat="1" applyFont="1" applyFill="1" applyBorder="1" applyAlignment="1">
      <alignment horizontal="left" vertical="center" wrapText="1"/>
    </xf>
    <xf numFmtId="0" fontId="12" fillId="6" borderId="2" xfId="0" applyFont="1" applyFill="1" applyBorder="1" applyAlignment="1">
      <alignment horizontal="center" vertical="center" wrapText="1"/>
    </xf>
    <xf numFmtId="49" fontId="12" fillId="6" borderId="11" xfId="0" applyNumberFormat="1" applyFont="1" applyFill="1" applyBorder="1" applyAlignment="1">
      <alignment horizontal="center" vertical="center" wrapText="1"/>
    </xf>
    <xf numFmtId="49" fontId="8" fillId="6" borderId="11" xfId="0" applyNumberFormat="1" applyFont="1" applyFill="1" applyBorder="1" applyAlignment="1">
      <alignment horizontal="center" vertical="center" wrapText="1"/>
    </xf>
    <xf numFmtId="0" fontId="48" fillId="6" borderId="13" xfId="0" applyNumberFormat="1" applyFont="1" applyFill="1" applyBorder="1" applyAlignment="1">
      <alignment horizontal="center"/>
    </xf>
    <xf numFmtId="0" fontId="12" fillId="6" borderId="2" xfId="0" applyNumberFormat="1" applyFont="1" applyFill="1" applyBorder="1" applyAlignment="1">
      <alignment horizontal="center" vertical="center" wrapText="1"/>
    </xf>
    <xf numFmtId="0" fontId="10" fillId="6" borderId="10" xfId="0" applyNumberFormat="1" applyFont="1" applyFill="1" applyBorder="1" applyAlignment="1">
      <alignment vertical="center"/>
    </xf>
    <xf numFmtId="49" fontId="9" fillId="6" borderId="21" xfId="0" applyNumberFormat="1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 wrapText="1"/>
    </xf>
    <xf numFmtId="4" fontId="55" fillId="0" borderId="0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/>
    <xf numFmtId="2" fontId="32" fillId="0" borderId="13" xfId="0" applyNumberFormat="1" applyFont="1" applyBorder="1" applyAlignment="1">
      <alignment vertical="center"/>
    </xf>
    <xf numFmtId="164" fontId="32" fillId="0" borderId="0" xfId="0" applyNumberFormat="1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200" fontId="7" fillId="2" borderId="12" xfId="0" applyNumberFormat="1" applyFont="1" applyFill="1" applyBorder="1" applyAlignment="1">
      <alignment horizontal="left" vertical="center"/>
    </xf>
    <xf numFmtId="200" fontId="7" fillId="2" borderId="26" xfId="0" applyNumberFormat="1" applyFont="1" applyFill="1" applyBorder="1" applyAlignment="1">
      <alignment horizontal="left" vertical="center"/>
    </xf>
    <xf numFmtId="167" fontId="7" fillId="2" borderId="12" xfId="0" applyNumberFormat="1" applyFont="1" applyFill="1" applyBorder="1" applyAlignment="1">
      <alignment horizontal="left" vertical="center" wrapText="1"/>
    </xf>
    <xf numFmtId="200" fontId="31" fillId="2" borderId="12" xfId="1" applyNumberFormat="1" applyFont="1" applyFill="1" applyBorder="1" applyAlignment="1">
      <alignment horizontal="left" vertical="center" shrinkToFit="1"/>
    </xf>
    <xf numFmtId="204" fontId="43" fillId="2" borderId="0" xfId="0" applyNumberFormat="1" applyFont="1" applyFill="1" applyAlignment="1">
      <alignment horizontal="left" vertical="center" wrapText="1"/>
    </xf>
    <xf numFmtId="1" fontId="10" fillId="4" borderId="27" xfId="0" applyNumberFormat="1" applyFont="1" applyFill="1" applyBorder="1" applyAlignment="1">
      <alignment horizontal="center" vertical="center"/>
    </xf>
    <xf numFmtId="168" fontId="30" fillId="4" borderId="27" xfId="0" applyNumberFormat="1" applyFont="1" applyFill="1" applyBorder="1" applyAlignment="1">
      <alignment horizontal="center" vertical="center"/>
    </xf>
    <xf numFmtId="2" fontId="22" fillId="4" borderId="27" xfId="0" applyNumberFormat="1" applyFont="1" applyFill="1" applyBorder="1" applyAlignment="1">
      <alignment horizontal="right" vertical="center" indent="1"/>
    </xf>
    <xf numFmtId="4" fontId="22" fillId="4" borderId="27" xfId="0" applyNumberFormat="1" applyFont="1" applyFill="1" applyBorder="1" applyAlignment="1">
      <alignment horizontal="right" vertical="center"/>
    </xf>
    <xf numFmtId="4" fontId="42" fillId="2" borderId="0" xfId="0" applyNumberFormat="1" applyFont="1" applyFill="1" applyBorder="1" applyAlignment="1">
      <alignment horizontal="center" vertical="center" wrapText="1"/>
    </xf>
    <xf numFmtId="4" fontId="64" fillId="2" borderId="0" xfId="0" applyNumberFormat="1" applyFont="1" applyFill="1" applyBorder="1" applyAlignment="1">
      <alignment horizontal="center" vertical="center" wrapText="1"/>
    </xf>
    <xf numFmtId="4" fontId="66" fillId="2" borderId="13" xfId="0" applyNumberFormat="1" applyFont="1" applyFill="1" applyBorder="1" applyAlignment="1">
      <alignment vertical="center"/>
    </xf>
    <xf numFmtId="0" fontId="65" fillId="2" borderId="0" xfId="0" applyFont="1" applyFill="1" applyAlignment="1">
      <alignment horizontal="center" wrapText="1"/>
    </xf>
    <xf numFmtId="13" fontId="40" fillId="2" borderId="0" xfId="0" applyNumberFormat="1" applyFont="1" applyFill="1" applyAlignment="1">
      <alignment horizontal="right" vertical="center" wrapText="1"/>
    </xf>
    <xf numFmtId="188" fontId="70" fillId="2" borderId="0" xfId="0" applyNumberFormat="1" applyFont="1" applyFill="1" applyBorder="1" applyAlignment="1">
      <alignment horizontal="center" vertical="center"/>
    </xf>
    <xf numFmtId="49" fontId="12" fillId="6" borderId="10" xfId="0" applyNumberFormat="1" applyFont="1" applyFill="1" applyBorder="1" applyAlignment="1">
      <alignment horizontal="center" vertical="center" wrapText="1"/>
    </xf>
    <xf numFmtId="49" fontId="7" fillId="6" borderId="10" xfId="0" applyNumberFormat="1" applyFont="1" applyFill="1" applyBorder="1" applyAlignment="1">
      <alignment horizontal="center" vertical="center" wrapText="1"/>
    </xf>
    <xf numFmtId="0" fontId="72" fillId="6" borderId="2" xfId="0" applyFont="1" applyFill="1" applyBorder="1" applyAlignment="1">
      <alignment horizontal="center" vertical="center" wrapText="1"/>
    </xf>
    <xf numFmtId="49" fontId="12" fillId="6" borderId="2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9" fontId="65" fillId="0" borderId="0" xfId="0" applyNumberFormat="1" applyFont="1" applyAlignment="1">
      <alignment horizontal="left" vertical="center"/>
    </xf>
    <xf numFmtId="0" fontId="12" fillId="2" borderId="3" xfId="0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shrinkToFit="1"/>
    </xf>
    <xf numFmtId="4" fontId="8" fillId="2" borderId="12" xfId="0" applyNumberFormat="1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4" fontId="41" fillId="2" borderId="31" xfId="0" applyNumberFormat="1" applyFont="1" applyFill="1" applyBorder="1" applyAlignment="1">
      <alignment horizontal="center" vertical="center"/>
    </xf>
    <xf numFmtId="4" fontId="41" fillId="2" borderId="32" xfId="0" applyNumberFormat="1" applyFont="1" applyFill="1" applyBorder="1" applyAlignment="1">
      <alignment horizontal="center" vertical="center"/>
    </xf>
    <xf numFmtId="4" fontId="58" fillId="0" borderId="7" xfId="0" applyNumberFormat="1" applyFont="1" applyBorder="1" applyAlignment="1">
      <alignment horizontal="center" vertical="center" wrapText="1"/>
    </xf>
    <xf numFmtId="4" fontId="58" fillId="0" borderId="4" xfId="0" applyNumberFormat="1" applyFont="1" applyBorder="1" applyAlignment="1">
      <alignment horizontal="center" vertical="center" wrapText="1"/>
    </xf>
    <xf numFmtId="4" fontId="41" fillId="0" borderId="3" xfId="0" applyNumberFormat="1" applyFont="1" applyBorder="1" applyAlignment="1">
      <alignment horizontal="center" vertical="center" wrapText="1"/>
    </xf>
    <xf numFmtId="4" fontId="41" fillId="0" borderId="12" xfId="0" applyNumberFormat="1" applyFont="1" applyBorder="1" applyAlignment="1">
      <alignment horizontal="center" vertical="center" wrapText="1"/>
    </xf>
    <xf numFmtId="4" fontId="22" fillId="0" borderId="40" xfId="0" applyNumberFormat="1" applyFont="1" applyBorder="1" applyAlignment="1">
      <alignment horizontal="center" vertical="center" wrapText="1"/>
    </xf>
    <xf numFmtId="4" fontId="22" fillId="0" borderId="26" xfId="0" applyNumberFormat="1" applyFont="1" applyBorder="1" applyAlignment="1">
      <alignment horizontal="center" vertical="center" wrapText="1"/>
    </xf>
    <xf numFmtId="0" fontId="37" fillId="0" borderId="23" xfId="0" applyFont="1" applyBorder="1" applyAlignment="1">
      <alignment horizontal="right" vertical="center" wrapText="1" indent="2"/>
    </xf>
    <xf numFmtId="0" fontId="37" fillId="0" borderId="6" xfId="0" applyFont="1" applyBorder="1" applyAlignment="1">
      <alignment horizontal="right" vertical="center" wrapText="1" indent="2"/>
    </xf>
    <xf numFmtId="2" fontId="50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right" vertical="center"/>
    </xf>
    <xf numFmtId="0" fontId="11" fillId="2" borderId="8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4" fontId="22" fillId="2" borderId="35" xfId="0" applyNumberFormat="1" applyFont="1" applyFill="1" applyBorder="1" applyAlignment="1">
      <alignment horizontal="center" vertical="center"/>
    </xf>
    <xf numFmtId="4" fontId="22" fillId="2" borderId="16" xfId="0" applyNumberFormat="1" applyFont="1" applyFill="1" applyBorder="1" applyAlignment="1">
      <alignment horizontal="center" vertical="center"/>
    </xf>
    <xf numFmtId="4" fontId="53" fillId="2" borderId="36" xfId="0" applyNumberFormat="1" applyFont="1" applyFill="1" applyBorder="1" applyAlignment="1">
      <alignment horizontal="center" vertical="center" wrapText="1"/>
    </xf>
    <xf numFmtId="4" fontId="53" fillId="2" borderId="37" xfId="0" applyNumberFormat="1" applyFont="1" applyFill="1" applyBorder="1" applyAlignment="1">
      <alignment horizontal="center" vertical="center" wrapText="1"/>
    </xf>
    <xf numFmtId="4" fontId="42" fillId="2" borderId="0" xfId="0" applyNumberFormat="1" applyFont="1" applyFill="1" applyBorder="1" applyAlignment="1">
      <alignment horizontal="center" vertical="center" shrinkToFit="1"/>
    </xf>
    <xf numFmtId="4" fontId="42" fillId="2" borderId="0" xfId="0" applyNumberFormat="1" applyFont="1" applyFill="1" applyBorder="1" applyAlignment="1">
      <alignment horizontal="center" vertical="center" wrapText="1"/>
    </xf>
    <xf numFmtId="4" fontId="42" fillId="2" borderId="1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 wrapText="1"/>
    </xf>
    <xf numFmtId="4" fontId="41" fillId="2" borderId="38" xfId="0" applyNumberFormat="1" applyFont="1" applyFill="1" applyBorder="1" applyAlignment="1">
      <alignment horizontal="center" vertical="center" wrapText="1"/>
    </xf>
    <xf numFmtId="4" fontId="41" fillId="2" borderId="39" xfId="0" applyNumberFormat="1" applyFont="1" applyFill="1" applyBorder="1" applyAlignment="1">
      <alignment horizontal="center" vertical="center" wrapText="1"/>
    </xf>
    <xf numFmtId="4" fontId="42" fillId="2" borderId="1" xfId="0" applyNumberFormat="1" applyFont="1" applyFill="1" applyBorder="1" applyAlignment="1">
      <alignment horizontal="center" vertical="center" wrapText="1"/>
    </xf>
    <xf numFmtId="4" fontId="42" fillId="2" borderId="0" xfId="0" applyNumberFormat="1" applyFont="1" applyFill="1" applyBorder="1" applyAlignment="1">
      <alignment horizontal="center" vertical="center"/>
    </xf>
    <xf numFmtId="4" fontId="41" fillId="2" borderId="33" xfId="0" applyNumberFormat="1" applyFont="1" applyFill="1" applyBorder="1" applyAlignment="1">
      <alignment horizontal="center" vertical="center"/>
    </xf>
    <xf numFmtId="4" fontId="41" fillId="2" borderId="34" xfId="0" applyNumberFormat="1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top"/>
    </xf>
    <xf numFmtId="0" fontId="0" fillId="2" borderId="0" xfId="0" applyFill="1" applyAlignment="1">
      <alignment horizontal="right" wrapText="1"/>
    </xf>
    <xf numFmtId="0" fontId="0" fillId="2" borderId="0" xfId="0" applyFill="1" applyBorder="1" applyAlignment="1">
      <alignment horizontal="left" wrapText="1"/>
    </xf>
    <xf numFmtId="2" fontId="1" fillId="5" borderId="3" xfId="0" applyNumberFormat="1" applyFont="1" applyFill="1" applyBorder="1" applyAlignment="1">
      <alignment horizontal="center" vertical="center"/>
    </xf>
    <xf numFmtId="2" fontId="1" fillId="5" borderId="12" xfId="0" applyNumberFormat="1" applyFont="1" applyFill="1" applyBorder="1" applyAlignment="1">
      <alignment horizontal="center" vertical="center"/>
    </xf>
    <xf numFmtId="4" fontId="22" fillId="2" borderId="22" xfId="0" applyNumberFormat="1" applyFont="1" applyFill="1" applyBorder="1" applyAlignment="1">
      <alignment horizontal="right" vertical="center" indent="1"/>
    </xf>
    <xf numFmtId="4" fontId="22" fillId="4" borderId="27" xfId="0" applyNumberFormat="1" applyFont="1" applyFill="1" applyBorder="1" applyAlignment="1">
      <alignment horizontal="right" vertical="center" indent="1"/>
    </xf>
    <xf numFmtId="2" fontId="10" fillId="3" borderId="3" xfId="0" applyNumberFormat="1" applyFont="1" applyFill="1" applyBorder="1" applyAlignment="1">
      <alignment horizontal="center" vertical="center"/>
    </xf>
    <xf numFmtId="2" fontId="10" fillId="3" borderId="28" xfId="0" applyNumberFormat="1" applyFont="1" applyFill="1" applyBorder="1" applyAlignment="1">
      <alignment horizontal="center" vertical="center"/>
    </xf>
    <xf numFmtId="2" fontId="10" fillId="3" borderId="12" xfId="0" applyNumberFormat="1" applyFont="1" applyFill="1" applyBorder="1" applyAlignment="1">
      <alignment horizontal="center" vertical="center"/>
    </xf>
    <xf numFmtId="4" fontId="22" fillId="0" borderId="3" xfId="0" applyNumberFormat="1" applyFont="1" applyBorder="1" applyAlignment="1">
      <alignment horizontal="center" vertical="center" wrapText="1"/>
    </xf>
    <xf numFmtId="4" fontId="22" fillId="0" borderId="12" xfId="0" applyNumberFormat="1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 wrapText="1"/>
    </xf>
    <xf numFmtId="0" fontId="17" fillId="6" borderId="10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right" vertical="center"/>
    </xf>
    <xf numFmtId="0" fontId="11" fillId="0" borderId="28" xfId="0" applyFont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11" fillId="2" borderId="28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 indent="3"/>
    </xf>
    <xf numFmtId="0" fontId="11" fillId="2" borderId="28" xfId="0" applyFont="1" applyFill="1" applyBorder="1" applyAlignment="1">
      <alignment horizontal="right" vertical="center" indent="3"/>
    </xf>
    <xf numFmtId="0" fontId="11" fillId="2" borderId="12" xfId="0" applyFont="1" applyFill="1" applyBorder="1" applyAlignment="1">
      <alignment horizontal="right" vertical="center" indent="3"/>
    </xf>
    <xf numFmtId="0" fontId="11" fillId="6" borderId="28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right" vertical="center" wrapText="1"/>
    </xf>
    <xf numFmtId="0" fontId="10" fillId="2" borderId="28" xfId="0" applyFont="1" applyFill="1" applyBorder="1" applyAlignment="1">
      <alignment horizontal="right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right" vertical="center"/>
    </xf>
    <xf numFmtId="0" fontId="30" fillId="2" borderId="28" xfId="0" applyFont="1" applyFill="1" applyBorder="1" applyAlignment="1">
      <alignment horizontal="right" vertical="center"/>
    </xf>
    <xf numFmtId="0" fontId="32" fillId="2" borderId="0" xfId="0" applyFont="1" applyFill="1" applyBorder="1" applyAlignment="1">
      <alignment horizontal="right" vertical="center"/>
    </xf>
    <xf numFmtId="0" fontId="32" fillId="2" borderId="14" xfId="0" applyFont="1" applyFill="1" applyBorder="1" applyAlignment="1">
      <alignment horizontal="right" vertical="center"/>
    </xf>
    <xf numFmtId="2" fontId="10" fillId="0" borderId="28" xfId="0" applyNumberFormat="1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49" fontId="31" fillId="6" borderId="21" xfId="0" applyNumberFormat="1" applyFont="1" applyFill="1" applyBorder="1" applyAlignment="1">
      <alignment horizontal="center" vertical="center" wrapText="1"/>
    </xf>
    <xf numFmtId="49" fontId="31" fillId="6" borderId="30" xfId="0" applyNumberFormat="1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7" fillId="0" borderId="0" xfId="0" applyFont="1" applyAlignment="1">
      <alignment horizont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11" fontId="12" fillId="0" borderId="0" xfId="0" applyNumberFormat="1" applyFont="1" applyFill="1" applyBorder="1" applyAlignment="1">
      <alignment horizontal="left" vertical="center" wrapText="1"/>
    </xf>
    <xf numFmtId="49" fontId="10" fillId="6" borderId="3" xfId="0" applyNumberFormat="1" applyFont="1" applyFill="1" applyBorder="1" applyAlignment="1">
      <alignment horizontal="center" vertical="center" wrapText="1"/>
    </xf>
    <xf numFmtId="49" fontId="10" fillId="6" borderId="28" xfId="0" applyNumberFormat="1" applyFont="1" applyFill="1" applyBorder="1" applyAlignment="1">
      <alignment horizontal="center" vertical="center" wrapText="1"/>
    </xf>
    <xf numFmtId="49" fontId="10" fillId="6" borderId="12" xfId="0" applyNumberFormat="1" applyFont="1" applyFill="1" applyBorder="1" applyAlignment="1">
      <alignment horizontal="center" vertical="center" wrapText="1"/>
    </xf>
    <xf numFmtId="0" fontId="68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right" vertical="center"/>
    </xf>
    <xf numFmtId="0" fontId="10" fillId="2" borderId="28" xfId="0" applyFont="1" applyFill="1" applyBorder="1" applyAlignment="1">
      <alignment horizontal="right" vertical="center"/>
    </xf>
    <xf numFmtId="0" fontId="26" fillId="2" borderId="3" xfId="0" applyFont="1" applyFill="1" applyBorder="1" applyAlignment="1">
      <alignment horizontal="center" vertical="center" wrapText="1"/>
    </xf>
    <xf numFmtId="0" fontId="26" fillId="2" borderId="12" xfId="0" applyFont="1" applyFill="1" applyBorder="1" applyAlignment="1">
      <alignment horizontal="center" vertical="center" wrapText="1"/>
    </xf>
    <xf numFmtId="0" fontId="30" fillId="0" borderId="28" xfId="0" applyFont="1" applyBorder="1"/>
    <xf numFmtId="0" fontId="30" fillId="0" borderId="3" xfId="0" applyFont="1" applyBorder="1" applyAlignment="1">
      <alignment horizontal="right" vertical="center" wrapText="1" indent="1"/>
    </xf>
    <xf numFmtId="0" fontId="30" fillId="0" borderId="28" xfId="0" applyFont="1" applyBorder="1" applyAlignment="1">
      <alignment horizontal="right" vertical="center" wrapText="1" indent="1"/>
    </xf>
    <xf numFmtId="0" fontId="30" fillId="0" borderId="12" xfId="0" applyFont="1" applyBorder="1" applyAlignment="1">
      <alignment horizontal="right" vertical="center" wrapText="1" indent="1"/>
    </xf>
    <xf numFmtId="49" fontId="61" fillId="6" borderId="24" xfId="0" applyNumberFormat="1" applyFont="1" applyFill="1" applyBorder="1" applyAlignment="1">
      <alignment horizontal="center" vertical="center" wrapText="1"/>
    </xf>
    <xf numFmtId="49" fontId="61" fillId="6" borderId="29" xfId="0" applyNumberFormat="1" applyFont="1" applyFill="1" applyBorder="1" applyAlignment="1">
      <alignment horizontal="center" vertical="center" wrapText="1"/>
    </xf>
    <xf numFmtId="49" fontId="30" fillId="6" borderId="3" xfId="0" applyNumberFormat="1" applyFont="1" applyFill="1" applyBorder="1" applyAlignment="1">
      <alignment horizontal="center" vertical="center" wrapText="1"/>
    </xf>
    <xf numFmtId="49" fontId="30" fillId="6" borderId="12" xfId="0" applyNumberFormat="1" applyFont="1" applyFill="1" applyBorder="1" applyAlignment="1">
      <alignment horizontal="center" vertical="center" wrapText="1"/>
    </xf>
    <xf numFmtId="0" fontId="11" fillId="6" borderId="24" xfId="0" applyFont="1" applyFill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30" xfId="0" applyFont="1" applyFill="1" applyBorder="1" applyAlignment="1">
      <alignment horizontal="center" vertical="center" wrapText="1"/>
    </xf>
    <xf numFmtId="2" fontId="26" fillId="4" borderId="3" xfId="0" applyNumberFormat="1" applyFont="1" applyFill="1" applyBorder="1" applyAlignment="1">
      <alignment horizontal="center" vertical="center"/>
    </xf>
    <xf numFmtId="2" fontId="26" fillId="4" borderId="1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" fontId="22" fillId="4" borderId="3" xfId="0" applyNumberFormat="1" applyFont="1" applyFill="1" applyBorder="1" applyAlignment="1">
      <alignment horizontal="center" vertical="center"/>
    </xf>
    <xf numFmtId="4" fontId="22" fillId="4" borderId="12" xfId="0" applyNumberFormat="1" applyFont="1" applyFill="1" applyBorder="1" applyAlignment="1">
      <alignment horizontal="center" vertical="center"/>
    </xf>
    <xf numFmtId="2" fontId="11" fillId="4" borderId="3" xfId="0" applyNumberFormat="1" applyFont="1" applyFill="1" applyBorder="1" applyAlignment="1">
      <alignment horizontal="center" vertical="center"/>
    </xf>
    <xf numFmtId="2" fontId="11" fillId="4" borderId="12" xfId="0" applyNumberFormat="1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 wrapText="1"/>
    </xf>
    <xf numFmtId="0" fontId="11" fillId="6" borderId="10" xfId="0" applyFont="1" applyFill="1" applyBorder="1"/>
    <xf numFmtId="0" fontId="62" fillId="6" borderId="24" xfId="0" applyFont="1" applyFill="1" applyBorder="1" applyAlignment="1">
      <alignment horizontal="center" vertical="center" wrapText="1"/>
    </xf>
    <xf numFmtId="0" fontId="62" fillId="6" borderId="29" xfId="0" applyFont="1" applyFill="1" applyBorder="1" applyAlignment="1">
      <alignment horizontal="center" vertical="center" wrapText="1"/>
    </xf>
    <xf numFmtId="0" fontId="62" fillId="6" borderId="21" xfId="0" applyFont="1" applyFill="1" applyBorder="1" applyAlignment="1">
      <alignment horizontal="center" vertical="center" wrapText="1"/>
    </xf>
    <xf numFmtId="0" fontId="62" fillId="6" borderId="30" xfId="0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center" vertical="center" wrapText="1"/>
    </xf>
    <xf numFmtId="0" fontId="19" fillId="6" borderId="12" xfId="0" applyFont="1" applyFill="1" applyBorder="1" applyAlignment="1">
      <alignment horizontal="center" vertical="center"/>
    </xf>
    <xf numFmtId="4" fontId="14" fillId="2" borderId="0" xfId="0" applyNumberFormat="1" applyFont="1" applyFill="1" applyBorder="1" applyAlignment="1">
      <alignment horizontal="right" vertical="center" wrapText="1"/>
    </xf>
    <xf numFmtId="4" fontId="54" fillId="2" borderId="0" xfId="0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right" vertical="center"/>
    </xf>
    <xf numFmtId="9" fontId="69" fillId="0" borderId="0" xfId="0" applyNumberFormat="1" applyFont="1" applyAlignment="1">
      <alignment vertical="center"/>
    </xf>
    <xf numFmtId="9" fontId="69" fillId="0" borderId="0" xfId="0" applyNumberFormat="1" applyFont="1" applyAlignment="1">
      <alignment horizontal="left" vertical="center"/>
    </xf>
    <xf numFmtId="2" fontId="11" fillId="2" borderId="41" xfId="0" applyNumberFormat="1" applyFont="1" applyFill="1" applyBorder="1" applyAlignment="1">
      <alignment horizontal="left" vertical="center" wrapText="1" readingOrder="1"/>
    </xf>
    <xf numFmtId="0" fontId="0" fillId="0" borderId="42" xfId="0" applyBorder="1" applyAlignment="1">
      <alignment horizontal="left" vertical="center" wrapText="1" readingOrder="1"/>
    </xf>
    <xf numFmtId="0" fontId="0" fillId="0" borderId="43" xfId="0" applyBorder="1" applyAlignment="1">
      <alignment horizontal="left" vertical="center" wrapText="1" readingOrder="1"/>
    </xf>
    <xf numFmtId="2" fontId="11" fillId="2" borderId="44" xfId="0" applyNumberFormat="1" applyFont="1" applyFill="1" applyBorder="1" applyAlignment="1">
      <alignment horizontal="left" vertical="center" wrapText="1" readingOrder="1"/>
    </xf>
    <xf numFmtId="0" fontId="0" fillId="0" borderId="45" xfId="0" applyBorder="1" applyAlignment="1">
      <alignment horizontal="left" vertical="center" wrapText="1" readingOrder="1"/>
    </xf>
    <xf numFmtId="0" fontId="0" fillId="0" borderId="46" xfId="0" applyBorder="1" applyAlignment="1">
      <alignment horizontal="left" vertical="center" wrapText="1" readingOrder="1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border>
        <bottom/>
      </border>
    </dxf>
    <dxf>
      <border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  <border>
        <top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2"/>
  <sheetViews>
    <sheetView showGridLines="0" tabSelected="1" topLeftCell="A2" workbookViewId="0"/>
  </sheetViews>
  <sheetFormatPr defaultRowHeight="12.75" x14ac:dyDescent="0.2"/>
  <cols>
    <col min="1" max="2" width="5.140625" customWidth="1"/>
    <col min="3" max="3" width="4.85546875" customWidth="1"/>
    <col min="4" max="4" width="45.7109375" customWidth="1"/>
    <col min="5" max="6" width="6.85546875" customWidth="1"/>
    <col min="7" max="7" width="11.85546875" customWidth="1"/>
    <col min="8" max="10" width="10.7109375" customWidth="1"/>
    <col min="11" max="11" width="9.85546875" customWidth="1"/>
    <col min="12" max="12" width="11.85546875" customWidth="1"/>
    <col min="13" max="13" width="5.85546875" hidden="1" customWidth="1"/>
    <col min="14" max="14" width="5" hidden="1" customWidth="1"/>
    <col min="15" max="15" width="5.140625" hidden="1" customWidth="1"/>
  </cols>
  <sheetData>
    <row r="1" spans="1:15" ht="15" x14ac:dyDescent="0.2">
      <c r="A1" s="1"/>
      <c r="B1" s="1"/>
      <c r="C1" s="1"/>
      <c r="D1" s="1"/>
      <c r="E1" s="1"/>
      <c r="F1" s="1"/>
      <c r="G1" s="1"/>
      <c r="H1" s="1"/>
      <c r="I1" s="280" t="s">
        <v>0</v>
      </c>
      <c r="J1" s="280"/>
      <c r="K1" s="280"/>
      <c r="L1" s="280"/>
      <c r="M1" s="169"/>
      <c r="N1" s="89"/>
      <c r="O1" s="170"/>
    </row>
    <row r="2" spans="1:15" ht="16.5" customHeight="1" x14ac:dyDescent="0.2">
      <c r="A2" s="1"/>
      <c r="B2" s="54" t="s">
        <v>1</v>
      </c>
      <c r="C2" s="3" t="s">
        <v>120</v>
      </c>
      <c r="D2" s="1"/>
      <c r="E2" s="4"/>
      <c r="F2" s="1"/>
      <c r="G2" s="1"/>
      <c r="H2" s="1"/>
      <c r="I2" s="268" t="str">
        <f>IF(L18&gt;0,"Сметную стоимость в сумме "&amp;FIXED(L18,2)&amp;" руб","")</f>
        <v/>
      </c>
      <c r="J2" s="268"/>
      <c r="K2" s="268"/>
      <c r="L2" s="268"/>
      <c r="M2" s="169"/>
      <c r="N2" s="89"/>
      <c r="O2" s="170"/>
    </row>
    <row r="3" spans="1:15" ht="14.25" x14ac:dyDescent="0.2">
      <c r="A3" s="1"/>
      <c r="B3" s="54" t="s">
        <v>3</v>
      </c>
      <c r="C3" s="3" t="s">
        <v>121</v>
      </c>
      <c r="D3" s="1"/>
      <c r="E3" s="42"/>
      <c r="F3" s="1"/>
      <c r="G3" s="1"/>
      <c r="H3" s="44"/>
      <c r="I3" s="2"/>
      <c r="J3" s="5" t="s">
        <v>2</v>
      </c>
      <c r="K3" s="5"/>
      <c r="L3" s="5"/>
      <c r="M3" s="169"/>
      <c r="N3" s="89"/>
      <c r="O3" s="170"/>
    </row>
    <row r="4" spans="1:15" ht="13.5" x14ac:dyDescent="0.2">
      <c r="A4" s="1"/>
      <c r="B4" s="54" t="s">
        <v>4</v>
      </c>
      <c r="C4" s="3" t="s">
        <v>120</v>
      </c>
      <c r="D4" s="1"/>
      <c r="E4" s="42"/>
      <c r="F4" s="1"/>
      <c r="G4" s="1"/>
      <c r="H4" s="44"/>
      <c r="I4" s="2"/>
      <c r="J4" s="4"/>
      <c r="K4" s="4"/>
      <c r="L4" s="4"/>
      <c r="M4" s="169"/>
      <c r="N4" s="89"/>
      <c r="O4" s="170"/>
    </row>
    <row r="5" spans="1:15" ht="13.5" x14ac:dyDescent="0.2">
      <c r="A5" s="1"/>
      <c r="B5" s="54" t="s">
        <v>5</v>
      </c>
      <c r="C5" s="3" t="s">
        <v>120</v>
      </c>
      <c r="D5" s="1"/>
      <c r="E5" s="42"/>
      <c r="F5" s="1"/>
      <c r="G5" s="1"/>
      <c r="H5" s="44"/>
      <c r="I5" s="6"/>
      <c r="J5" s="7"/>
      <c r="K5" s="7"/>
      <c r="L5" s="7"/>
      <c r="M5" s="169"/>
      <c r="N5" s="89"/>
      <c r="O5" s="170"/>
    </row>
    <row r="6" spans="1:15" ht="13.5" x14ac:dyDescent="0.2">
      <c r="A6" s="1"/>
      <c r="B6" s="54" t="s">
        <v>6</v>
      </c>
      <c r="C6" s="3" t="s">
        <v>124</v>
      </c>
      <c r="D6" s="1"/>
      <c r="E6" s="3"/>
      <c r="F6" s="1"/>
      <c r="G6" s="1"/>
      <c r="H6" s="44"/>
      <c r="I6" s="2"/>
      <c r="M6" s="169"/>
      <c r="N6" s="89"/>
      <c r="O6" s="170"/>
    </row>
    <row r="7" spans="1:15" ht="13.5" x14ac:dyDescent="0.2">
      <c r="A7" s="96"/>
      <c r="B7" s="96"/>
      <c r="C7" s="96"/>
      <c r="D7" s="96"/>
      <c r="E7" s="96"/>
      <c r="F7" s="96"/>
      <c r="G7" s="96"/>
      <c r="H7" s="45"/>
      <c r="I7" s="53" t="s">
        <v>7</v>
      </c>
      <c r="J7" s="6"/>
      <c r="K7" s="7"/>
      <c r="L7" s="156">
        <v>41225</v>
      </c>
      <c r="M7" s="169"/>
      <c r="N7" s="89"/>
      <c r="O7" s="170"/>
    </row>
    <row r="8" spans="1:15" x14ac:dyDescent="0.2">
      <c r="A8" s="277"/>
      <c r="B8" s="277"/>
      <c r="C8" s="277"/>
      <c r="D8" s="277"/>
      <c r="E8" s="277"/>
      <c r="F8" s="277"/>
      <c r="G8" s="277"/>
      <c r="H8" s="1"/>
      <c r="I8" s="1"/>
      <c r="J8" s="1"/>
      <c r="K8" s="1"/>
      <c r="L8" s="2"/>
      <c r="M8" s="169"/>
      <c r="N8" s="89"/>
      <c r="O8" s="170"/>
    </row>
    <row r="9" spans="1:15" ht="36.75" customHeight="1" x14ac:dyDescent="0.25">
      <c r="A9" s="278" t="s">
        <v>122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169"/>
      <c r="N9" s="89"/>
      <c r="O9" s="170"/>
    </row>
    <row r="10" spans="1:15" ht="21" customHeight="1" x14ac:dyDescent="0.2">
      <c r="A10" s="290" t="s">
        <v>120</v>
      </c>
      <c r="B10" s="290"/>
      <c r="C10" s="290"/>
      <c r="D10" s="290"/>
      <c r="E10" s="290"/>
      <c r="F10" s="290"/>
      <c r="G10" s="290"/>
      <c r="H10" s="290"/>
      <c r="I10" s="290"/>
      <c r="J10" s="290"/>
      <c r="K10" s="290"/>
      <c r="L10" s="290"/>
      <c r="M10" s="169"/>
      <c r="N10" s="89"/>
      <c r="O10" s="170"/>
    </row>
    <row r="11" spans="1:15" ht="6.75" customHeight="1" x14ac:dyDescent="0.2">
      <c r="A11" s="1"/>
      <c r="B11" s="24"/>
      <c r="C11" s="2"/>
      <c r="D11" s="2"/>
      <c r="E11" s="8"/>
      <c r="F11" s="1"/>
      <c r="G11" s="1"/>
      <c r="H11" s="1"/>
      <c r="I11" s="1"/>
      <c r="J11" s="1"/>
      <c r="K11" s="1"/>
      <c r="L11" s="2"/>
      <c r="M11" s="169"/>
      <c r="N11" s="89"/>
      <c r="O11" s="170"/>
    </row>
    <row r="12" spans="1:15" ht="15" customHeight="1" x14ac:dyDescent="0.25">
      <c r="A12" s="286" t="s">
        <v>17</v>
      </c>
      <c r="B12" s="286"/>
      <c r="C12" s="286"/>
      <c r="D12" s="286"/>
      <c r="E12" s="119"/>
      <c r="F12" s="145" t="str">
        <f>TRUNC((RIGHT(LEFT("23.10.2012",5),2)-1)/3,0)+1&amp;"кв. "&amp;RIGHT("23.10.2012",4)&amp;"г."</f>
        <v>4кв. 2012г.</v>
      </c>
      <c r="G12" s="48"/>
      <c r="H12" s="12"/>
      <c r="I12" s="9"/>
      <c r="J12" s="1"/>
      <c r="K12" s="12"/>
      <c r="L12" s="10" t="s">
        <v>125</v>
      </c>
      <c r="M12" s="169"/>
      <c r="N12" s="89"/>
      <c r="O12" s="170"/>
    </row>
    <row r="13" spans="1:15" ht="14.1" customHeight="1" x14ac:dyDescent="0.2">
      <c r="A13" s="269" t="s">
        <v>38</v>
      </c>
      <c r="B13" s="269"/>
      <c r="C13" s="269"/>
      <c r="D13" s="269"/>
      <c r="E13" s="123"/>
      <c r="F13" s="123"/>
      <c r="G13" s="123"/>
      <c r="H13" s="12"/>
      <c r="I13" s="12"/>
      <c r="J13" s="1"/>
      <c r="K13" s="51" t="str">
        <f>IF(M19=0,"Сметная стоимость в уровне цен на "&amp;F12&amp;"(руб) - ","Сметная стоимость в уровне цен на "&amp;F12&amp;" с  НДС = 0% (руб) - ")</f>
        <v xml:space="preserve">Сметная стоимость в уровне цен на 4кв. 2012г.(руб) - </v>
      </c>
      <c r="L13" s="38">
        <f>K90</f>
        <v>1678746.2</v>
      </c>
      <c r="M13" s="169"/>
      <c r="N13" s="89"/>
      <c r="O13" s="170"/>
    </row>
    <row r="14" spans="1:15" ht="14.1" customHeight="1" x14ac:dyDescent="0.2">
      <c r="A14" s="269" t="s">
        <v>63</v>
      </c>
      <c r="B14" s="270"/>
      <c r="C14" s="270"/>
      <c r="D14" s="270"/>
      <c r="E14" s="270"/>
      <c r="F14" s="270"/>
      <c r="G14" s="270"/>
      <c r="H14" s="12"/>
      <c r="I14" s="13"/>
      <c r="J14" s="12"/>
      <c r="K14" s="32" t="str">
        <f>IF(M19=0,"Стоимость оборудования  - ","Стоимость оборудования с НДС = 0% (руб) - ")</f>
        <v xml:space="preserve">Стоимость оборудования  - </v>
      </c>
      <c r="L14" s="38">
        <f>K87</f>
        <v>1007174</v>
      </c>
      <c r="M14" s="169"/>
      <c r="N14" s="89"/>
      <c r="O14" s="170"/>
    </row>
    <row r="15" spans="1:15" ht="14.1" customHeight="1" x14ac:dyDescent="0.2">
      <c r="A15" s="269" t="s">
        <v>39</v>
      </c>
      <c r="B15" s="270"/>
      <c r="C15" s="270"/>
      <c r="D15" s="270"/>
      <c r="E15" s="270"/>
      <c r="F15" s="270"/>
      <c r="G15" s="270"/>
      <c r="H15" s="12"/>
      <c r="I15" s="14"/>
      <c r="J15" s="12"/>
      <c r="K15" s="33" t="str">
        <f>IF(M19=0,"Стоимость  работ (руб) - ","Стоимость  работ с НДС = 0% (руб) - ")</f>
        <v xml:space="preserve">Стоимость  работ (руб) - </v>
      </c>
      <c r="L15" s="39">
        <f>K86</f>
        <v>639342.63</v>
      </c>
      <c r="M15" s="169"/>
      <c r="N15" s="89"/>
      <c r="O15" s="170"/>
    </row>
    <row r="16" spans="1:15" ht="14.1" customHeight="1" x14ac:dyDescent="0.2">
      <c r="A16" s="283" t="s">
        <v>49</v>
      </c>
      <c r="B16" s="284"/>
      <c r="C16" s="284"/>
      <c r="D16" s="284"/>
      <c r="E16" s="284"/>
      <c r="F16" s="284"/>
      <c r="G16" s="284"/>
      <c r="H16" s="12"/>
      <c r="I16" s="15"/>
      <c r="J16" s="12"/>
      <c r="K16" s="34" t="s">
        <v>9</v>
      </c>
      <c r="L16" s="40">
        <f>G67</f>
        <v>296447.76</v>
      </c>
      <c r="M16" s="169"/>
      <c r="N16" s="89"/>
      <c r="O16" s="170"/>
    </row>
    <row r="17" spans="1:15" ht="14.1" customHeight="1" x14ac:dyDescent="0.2">
      <c r="A17" s="285" t="s">
        <v>43</v>
      </c>
      <c r="B17" s="285"/>
      <c r="C17" s="285"/>
      <c r="D17" s="285"/>
      <c r="E17" s="285"/>
      <c r="F17" s="285"/>
      <c r="G17" s="285"/>
      <c r="H17" s="12"/>
      <c r="I17" s="11"/>
      <c r="J17" s="12"/>
      <c r="K17" s="32" t="s">
        <v>16</v>
      </c>
      <c r="L17" s="41">
        <f>L67</f>
        <v>2643.13</v>
      </c>
      <c r="M17" s="169"/>
      <c r="N17" s="89"/>
      <c r="O17" s="170"/>
    </row>
    <row r="18" spans="1:15" ht="14.1" hidden="1" customHeight="1" x14ac:dyDescent="0.2">
      <c r="A18" s="140" t="str">
        <f>IF(L18=0,"Отсутствует","")</f>
        <v>Отсутствует</v>
      </c>
      <c r="B18" s="140"/>
      <c r="C18" s="140"/>
      <c r="D18" s="140"/>
      <c r="E18" s="140"/>
      <c r="F18" s="140"/>
      <c r="G18" s="140"/>
      <c r="H18" s="12"/>
      <c r="I18" s="132"/>
      <c r="J18" s="158"/>
      <c r="K18" s="153" t="s">
        <v>61</v>
      </c>
      <c r="L18" s="168">
        <v>0</v>
      </c>
      <c r="M18" s="169"/>
      <c r="N18" s="89"/>
      <c r="O18" s="170"/>
    </row>
    <row r="19" spans="1:15" ht="14.1" hidden="1" customHeight="1" x14ac:dyDescent="0.2">
      <c r="A19" s="140" t="str">
        <f>IF(L18=0,"Отсутствует","")</f>
        <v>Отсутствует</v>
      </c>
      <c r="B19" s="140"/>
      <c r="C19" s="140"/>
      <c r="D19" s="140"/>
      <c r="E19" s="140"/>
      <c r="F19" s="140"/>
      <c r="G19" s="140"/>
      <c r="H19" s="12"/>
      <c r="I19" s="132"/>
      <c r="J19" s="133"/>
      <c r="K19" s="141" t="str">
        <f>IF(M19=0," НДС не облагается     ", "в т.ч.  НДС (0%) -  ")</f>
        <v xml:space="preserve"> НДС не облагается     </v>
      </c>
      <c r="L19" s="147" t="str">
        <f>IF(M19=0,"",L18/(1+M19)*M19)</f>
        <v/>
      </c>
      <c r="M19" s="329">
        <v>0</v>
      </c>
      <c r="N19" s="89"/>
      <c r="O19" s="170"/>
    </row>
    <row r="20" spans="1:15" ht="16.5" customHeight="1" x14ac:dyDescent="0.2">
      <c r="A20" s="59"/>
      <c r="B20" s="59"/>
      <c r="C20" s="59"/>
      <c r="D20" s="59"/>
      <c r="E20" s="59"/>
      <c r="F20" s="59"/>
      <c r="G20" s="59"/>
      <c r="H20" s="12"/>
      <c r="I20" s="11"/>
      <c r="J20" s="12"/>
      <c r="K20" s="12"/>
      <c r="L20" s="51" t="s">
        <v>123</v>
      </c>
      <c r="M20" s="169"/>
      <c r="N20" s="89"/>
      <c r="O20" s="170"/>
    </row>
    <row r="21" spans="1:15" ht="26.25" customHeight="1" x14ac:dyDescent="0.2">
      <c r="A21" s="161" t="s">
        <v>60</v>
      </c>
      <c r="B21" s="299" t="s">
        <v>53</v>
      </c>
      <c r="C21" s="300"/>
      <c r="D21" s="162" t="s">
        <v>10</v>
      </c>
      <c r="E21" s="301" t="s">
        <v>42</v>
      </c>
      <c r="F21" s="302"/>
      <c r="G21" s="287" t="s">
        <v>70</v>
      </c>
      <c r="H21" s="288"/>
      <c r="I21" s="288"/>
      <c r="J21" s="288"/>
      <c r="K21" s="288"/>
      <c r="L21" s="289"/>
      <c r="M21" s="169"/>
      <c r="N21" s="89"/>
      <c r="O21" s="170"/>
    </row>
    <row r="22" spans="1:15" ht="27.75" customHeight="1" x14ac:dyDescent="0.2">
      <c r="A22" s="163"/>
      <c r="B22" s="164" t="str">
        <f>IF(SUM($N$1:$N$1504)&gt;0,"k(d)","")</f>
        <v/>
      </c>
      <c r="C22" s="164" t="str">
        <f>IF(SUM($O$1:$O$1504)&gt;0,"k(h)","")</f>
        <v/>
      </c>
      <c r="D22" s="165" t="str">
        <f>IF(AND(SUM($N$1:$N$1504)&gt;0,SUM($O$1:$O$1504)&gt;0),"◄= k(d) -коэф. на демонтаж * k(h) - высотный коэф.",IF(AND(SUM($N$1:$N$1504)&gt;0,SUM($O$1:$O$1504)=0),"◄= k(d) -коэф. на демонтаж",IF(AND(SUM($N$1:$N$1504)=0,SUM($O$1:$O$1504)&gt;0),"◄= k(h) - высотный коэффициент","")))</f>
        <v/>
      </c>
      <c r="E22" s="271" t="s">
        <v>54</v>
      </c>
      <c r="F22" s="272"/>
      <c r="G22" s="166" t="s">
        <v>75</v>
      </c>
      <c r="H22" s="193" t="s">
        <v>64</v>
      </c>
      <c r="I22" s="190" t="s">
        <v>65</v>
      </c>
      <c r="J22" s="190" t="s">
        <v>67</v>
      </c>
      <c r="K22" s="191" t="s">
        <v>68</v>
      </c>
      <c r="L22" s="190" t="s">
        <v>73</v>
      </c>
      <c r="M22" s="169"/>
      <c r="N22" s="89"/>
      <c r="O22" s="170"/>
    </row>
    <row r="23" spans="1:15" ht="12.75" customHeight="1" x14ac:dyDescent="0.2">
      <c r="A23" s="35">
        <v>1</v>
      </c>
      <c r="B23" s="275">
        <v>2</v>
      </c>
      <c r="C23" s="276"/>
      <c r="D23" s="35">
        <v>3</v>
      </c>
      <c r="E23" s="275">
        <v>4</v>
      </c>
      <c r="F23" s="276"/>
      <c r="G23" s="35">
        <v>5</v>
      </c>
      <c r="H23" s="35">
        <v>6</v>
      </c>
      <c r="I23" s="35">
        <v>7</v>
      </c>
      <c r="J23" s="35">
        <v>8</v>
      </c>
      <c r="K23" s="35">
        <v>9</v>
      </c>
      <c r="L23" s="35">
        <v>10</v>
      </c>
      <c r="M23" s="171"/>
      <c r="N23" s="171"/>
      <c r="O23" s="171"/>
    </row>
    <row r="24" spans="1:15" ht="24" customHeight="1" x14ac:dyDescent="0.2">
      <c r="A24" s="281" t="s">
        <v>77</v>
      </c>
      <c r="B24" s="282"/>
      <c r="C24" s="282"/>
      <c r="D24" s="282"/>
      <c r="E24" s="282"/>
      <c r="F24" s="282"/>
      <c r="G24" s="282"/>
      <c r="H24" s="282"/>
      <c r="I24" s="282"/>
      <c r="J24" s="282"/>
      <c r="K24" s="282"/>
      <c r="L24" s="60"/>
      <c r="M24" s="171"/>
      <c r="N24" s="171"/>
      <c r="O24" s="171"/>
    </row>
    <row r="25" spans="1:15" ht="13.5" x14ac:dyDescent="0.2">
      <c r="A25" s="57">
        <v>1</v>
      </c>
      <c r="B25" s="293" t="s">
        <v>78</v>
      </c>
      <c r="C25" s="294"/>
      <c r="D25" s="71" t="s">
        <v>79</v>
      </c>
      <c r="E25" s="261" t="s">
        <v>80</v>
      </c>
      <c r="F25" s="262"/>
      <c r="G25" s="127">
        <v>300.64999999999998</v>
      </c>
      <c r="H25" s="130">
        <v>241.54</v>
      </c>
      <c r="I25" s="127">
        <v>2.7</v>
      </c>
      <c r="J25" s="127">
        <v>0.3</v>
      </c>
      <c r="K25" s="127">
        <v>56.42</v>
      </c>
      <c r="L25" s="127">
        <v>21.8</v>
      </c>
      <c r="M25" s="169"/>
      <c r="N25" s="89"/>
      <c r="O25" s="170"/>
    </row>
    <row r="26" spans="1:15" ht="14.25" customHeight="1" x14ac:dyDescent="0.2">
      <c r="A26" s="56" t="str">
        <f>IF(B26&lt;&gt;0,"k =",IF(C26&lt;&gt;0,"k =",""))</f>
        <v/>
      </c>
      <c r="B26" s="21">
        <v>0</v>
      </c>
      <c r="C26" s="20">
        <v>0</v>
      </c>
      <c r="D26" s="118" t="str">
        <f>IF(AND(0&lt;B26,B26&lt;1,C26=0),"                    Демонтаж с коэффициентом  = "&amp;M26,IF(AND(B26=0,C26&lt;&gt;0),"                       с высотным коэффициентом  = "&amp;M26,IF(AND(0&lt;B26,B26&lt;1,C26&gt;1),"            Демонтаж на высоте с коэф. = "&amp;M26,IF(AND(1&lt;B26,C26=0),"     Монтаж и демонтаж с коэффициентом  = "&amp;M26,IF(AND(B26&gt;1,C26&lt;&gt;0),"    Монтаж и демонтаж на высоте с коэф. = "&amp;M26,"")))))</f>
        <v/>
      </c>
      <c r="E26" s="273">
        <v>51</v>
      </c>
      <c r="F26" s="274"/>
      <c r="G26" s="73">
        <f>H26+I26+K26</f>
        <v>15333.660000000002</v>
      </c>
      <c r="H26" s="131">
        <f>ROUND(IF(M26=0,H25*E26,H25*E26*M26),2)</f>
        <v>12318.54</v>
      </c>
      <c r="I26" s="73">
        <f>ROUND(IF(M26=0,I25*E26,I25*E26*M26),2)</f>
        <v>137.69999999999999</v>
      </c>
      <c r="J26" s="73">
        <f>ROUND(IF(M26=0,J25*E26,J25*E26*M26),2)</f>
        <v>15.3</v>
      </c>
      <c r="K26" s="79">
        <f>ROUND(IF(AND(0&lt;B26,B26&lt;1),0,K25*E26),2)</f>
        <v>2877.42</v>
      </c>
      <c r="L26" s="73">
        <f>ROUND(IF(M26=0,L25*E26,L25*E26*M26),2)</f>
        <v>1111.8</v>
      </c>
      <c r="M26" s="172">
        <f>IF(B26*C26&lt;&gt;0, B26*C26,IF(B26+C26=0,0,IF(B26=0,C26,IF(C26=0,B26,))))</f>
        <v>0</v>
      </c>
      <c r="N26" s="173">
        <f>B26</f>
        <v>0</v>
      </c>
      <c r="O26" s="174">
        <f>C26</f>
        <v>0</v>
      </c>
    </row>
    <row r="27" spans="1:15" ht="13.5" x14ac:dyDescent="0.2">
      <c r="A27" s="57">
        <v>2</v>
      </c>
      <c r="B27" s="293" t="s">
        <v>81</v>
      </c>
      <c r="C27" s="294"/>
      <c r="D27" s="71" t="s">
        <v>82</v>
      </c>
      <c r="E27" s="261" t="s">
        <v>80</v>
      </c>
      <c r="F27" s="262"/>
      <c r="G27" s="127">
        <v>25.53</v>
      </c>
      <c r="H27" s="130">
        <v>24.18</v>
      </c>
      <c r="I27" s="127">
        <v>0.9</v>
      </c>
      <c r="J27" s="127">
        <v>0.1</v>
      </c>
      <c r="K27" s="127">
        <v>0.48</v>
      </c>
      <c r="L27" s="127">
        <v>2.1800000000000002</v>
      </c>
      <c r="M27" s="169"/>
      <c r="N27" s="89"/>
      <c r="O27" s="170"/>
    </row>
    <row r="28" spans="1:15" ht="14.25" customHeight="1" x14ac:dyDescent="0.2">
      <c r="A28" s="56" t="str">
        <f>IF(B28&lt;&gt;0,"k =",IF(C28&lt;&gt;0,"k =",""))</f>
        <v/>
      </c>
      <c r="B28" s="21">
        <v>0</v>
      </c>
      <c r="C28" s="20">
        <v>0</v>
      </c>
      <c r="D28" s="118" t="str">
        <f>IF(AND(0&lt;B28,B28&lt;1,C28=0),"                    Демонтаж с коэффициентом  = "&amp;M28,IF(AND(B28=0,C28&lt;&gt;0),"                       с высотным коэффициентом  = "&amp;M28,IF(AND(0&lt;B28,B28&lt;1,C28&gt;1),"            Демонтаж на высоте с коэф. = "&amp;M28,IF(AND(1&lt;B28,C28=0),"     Монтаж и демонтаж с коэффициентом  = "&amp;M28,IF(AND(B28&gt;1,C28&lt;&gt;0),"    Монтаж и демонтаж на высоте с коэф. = "&amp;M28,"")))))</f>
        <v/>
      </c>
      <c r="E28" s="273">
        <v>3</v>
      </c>
      <c r="F28" s="274"/>
      <c r="G28" s="73">
        <f>H28+I28+K28</f>
        <v>76.680000000000007</v>
      </c>
      <c r="H28" s="131">
        <f>ROUND(IF(M28=0,H27*E28,H27*E28*M28),2)</f>
        <v>72.540000000000006</v>
      </c>
      <c r="I28" s="73">
        <f>ROUND(IF(M28=0,I27*E28,I27*E28*M28),2)</f>
        <v>2.7</v>
      </c>
      <c r="J28" s="73">
        <f>ROUND(IF(M28=0,J27*E28,J27*E28*M28),2)</f>
        <v>0.3</v>
      </c>
      <c r="K28" s="79">
        <f>ROUND(IF(AND(0&lt;B28,B28&lt;1),0,K27*E28),2)</f>
        <v>1.44</v>
      </c>
      <c r="L28" s="73">
        <f>ROUND(IF(M28=0,L27*E28,L27*E28*M28),2)</f>
        <v>6.54</v>
      </c>
      <c r="M28" s="172">
        <f>IF(B28*C28&lt;&gt;0, B28*C28,IF(B28+C28=0,0,IF(B28=0,C28,IF(C28=0,B28,))))</f>
        <v>0</v>
      </c>
      <c r="N28" s="173">
        <f>B28</f>
        <v>0</v>
      </c>
      <c r="O28" s="174">
        <f>C28</f>
        <v>0</v>
      </c>
    </row>
    <row r="29" spans="1:15" ht="13.5" x14ac:dyDescent="0.2">
      <c r="A29" s="57">
        <v>3</v>
      </c>
      <c r="B29" s="293" t="s">
        <v>83</v>
      </c>
      <c r="C29" s="294"/>
      <c r="D29" s="71" t="s">
        <v>84</v>
      </c>
      <c r="E29" s="261" t="s">
        <v>85</v>
      </c>
      <c r="F29" s="262"/>
      <c r="G29" s="127">
        <v>138.27000000000001</v>
      </c>
      <c r="H29" s="130">
        <v>135.66</v>
      </c>
      <c r="I29" s="127">
        <v>0</v>
      </c>
      <c r="J29" s="127">
        <v>0</v>
      </c>
      <c r="K29" s="127">
        <v>2.71</v>
      </c>
      <c r="L29" s="127">
        <v>10.5</v>
      </c>
      <c r="M29" s="169"/>
      <c r="N29" s="89"/>
      <c r="O29" s="170"/>
    </row>
    <row r="30" spans="1:15" ht="14.25" customHeight="1" x14ac:dyDescent="0.2">
      <c r="A30" s="56" t="str">
        <f>IF(B30&lt;&gt;0,"k =",IF(C30&lt;&gt;0,"k =",""))</f>
        <v/>
      </c>
      <c r="B30" s="21">
        <v>0</v>
      </c>
      <c r="C30" s="20">
        <v>0</v>
      </c>
      <c r="D30" s="118" t="str">
        <f>IF(AND(0&lt;B30,B30&lt;1,C30=0),"                    Демонтаж с коэффициентом  = "&amp;M30,IF(AND(B30=0,C30&lt;&gt;0),"                       с высотным коэффициентом  = "&amp;M30,IF(AND(0&lt;B30,B30&lt;1,C30&gt;1),"            Демонтаж на высоте с коэф. = "&amp;M30,IF(AND(1&lt;B30,C30=0),"     Монтаж и демонтаж с коэффициентом  = "&amp;M30,IF(AND(B30&gt;1,C30&lt;&gt;0),"    Монтаж и демонтаж на высоте с коэф. = "&amp;M30,"")))))</f>
        <v/>
      </c>
      <c r="E30" s="273">
        <v>51</v>
      </c>
      <c r="F30" s="274"/>
      <c r="G30" s="73">
        <f>H30+I30+K30</f>
        <v>7056.87</v>
      </c>
      <c r="H30" s="131">
        <f>ROUND(IF(M30=0,H29*E30,H29*E30*M30),2)</f>
        <v>6918.66</v>
      </c>
      <c r="I30" s="73">
        <f>ROUND(IF(M30=0,I29*E30,I29*E30*M30),2)</f>
        <v>0</v>
      </c>
      <c r="J30" s="73">
        <f>ROUND(IF(M30=0,J29*E30,J29*E30*M30),2)</f>
        <v>0</v>
      </c>
      <c r="K30" s="79">
        <f>ROUND(IF(AND(0&lt;B30,B30&lt;1),0,K29*E30),2)</f>
        <v>138.21</v>
      </c>
      <c r="L30" s="73">
        <f>ROUND(IF(M30=0,L29*E30,L29*E30*M30),2)</f>
        <v>535.5</v>
      </c>
      <c r="M30" s="172">
        <f>IF(B30*C30&lt;&gt;0, B30*C30,IF(B30+C30=0,0,IF(B30=0,C30,IF(C30=0,B30,))))</f>
        <v>0</v>
      </c>
      <c r="N30" s="173">
        <f>B30</f>
        <v>0</v>
      </c>
      <c r="O30" s="174">
        <f>C30</f>
        <v>0</v>
      </c>
    </row>
    <row r="31" spans="1:15" ht="13.5" x14ac:dyDescent="0.2">
      <c r="A31" s="57">
        <v>4</v>
      </c>
      <c r="B31" s="293" t="s">
        <v>86</v>
      </c>
      <c r="C31" s="294"/>
      <c r="D31" s="71" t="s">
        <v>87</v>
      </c>
      <c r="E31" s="261" t="s">
        <v>80</v>
      </c>
      <c r="F31" s="262"/>
      <c r="G31" s="127">
        <v>41.35</v>
      </c>
      <c r="H31" s="130">
        <v>36.76</v>
      </c>
      <c r="I31" s="127">
        <v>0.25</v>
      </c>
      <c r="J31" s="127">
        <v>0</v>
      </c>
      <c r="K31" s="127">
        <v>4.34</v>
      </c>
      <c r="L31" s="127">
        <v>3.6</v>
      </c>
      <c r="M31" s="169"/>
      <c r="N31" s="89"/>
      <c r="O31" s="170"/>
    </row>
    <row r="32" spans="1:15" ht="14.25" customHeight="1" x14ac:dyDescent="0.2">
      <c r="A32" s="56" t="str">
        <f>IF(B32&lt;&gt;0,"k =",IF(C32&lt;&gt;0,"k =",""))</f>
        <v/>
      </c>
      <c r="B32" s="21">
        <v>0</v>
      </c>
      <c r="C32" s="20">
        <v>0</v>
      </c>
      <c r="D32" s="118" t="str">
        <f>IF(AND(0&lt;B32,B32&lt;1,C32=0),"                    Демонтаж с коэффициентом  = "&amp;M32,IF(AND(B32=0,C32&lt;&gt;0),"                       с высотным коэффициентом  = "&amp;M32,IF(AND(0&lt;B32,B32&lt;1,C32&gt;1),"            Демонтаж на высоте с коэф. = "&amp;M32,IF(AND(1&lt;B32,C32=0),"     Монтаж и демонтаж с коэффициентом  = "&amp;M32,IF(AND(B32&gt;1,C32&lt;&gt;0),"    Монтаж и демонтаж на высоте с коэф. = "&amp;M32,"")))))</f>
        <v/>
      </c>
      <c r="E32" s="273">
        <v>10</v>
      </c>
      <c r="F32" s="274"/>
      <c r="G32" s="73">
        <f>H32+I32+K32</f>
        <v>413.5</v>
      </c>
      <c r="H32" s="131">
        <f>ROUND(IF(M32=0,H31*E32,H31*E32*M32),2)</f>
        <v>367.6</v>
      </c>
      <c r="I32" s="73">
        <f>ROUND(IF(M32=0,I31*E32,I31*E32*M32),2)</f>
        <v>2.5</v>
      </c>
      <c r="J32" s="73">
        <f>ROUND(IF(M32=0,J31*E32,J31*E32*M32),2)</f>
        <v>0</v>
      </c>
      <c r="K32" s="79">
        <f>ROUND(IF(AND(0&lt;B32,B32&lt;1),0,K31*E32),2)</f>
        <v>43.4</v>
      </c>
      <c r="L32" s="73">
        <f>ROUND(IF(M32=0,L31*E32,L31*E32*M32),2)</f>
        <v>36</v>
      </c>
      <c r="M32" s="172">
        <f>IF(B32*C32&lt;&gt;0, B32*C32,IF(B32+C32=0,0,IF(B32=0,C32,IF(C32=0,B32,))))</f>
        <v>0</v>
      </c>
      <c r="N32" s="173">
        <f>B32</f>
        <v>0</v>
      </c>
      <c r="O32" s="174">
        <f>C32</f>
        <v>0</v>
      </c>
    </row>
    <row r="33" spans="1:15" ht="13.5" x14ac:dyDescent="0.2">
      <c r="A33" s="57">
        <v>5</v>
      </c>
      <c r="B33" s="293" t="s">
        <v>88</v>
      </c>
      <c r="C33" s="294"/>
      <c r="D33" s="71" t="s">
        <v>89</v>
      </c>
      <c r="E33" s="261" t="s">
        <v>90</v>
      </c>
      <c r="F33" s="262"/>
      <c r="G33" s="127">
        <v>1059.04</v>
      </c>
      <c r="H33" s="130">
        <v>385.48</v>
      </c>
      <c r="I33" s="127">
        <v>156.58000000000001</v>
      </c>
      <c r="J33" s="127">
        <v>17.5</v>
      </c>
      <c r="K33" s="127">
        <v>516.98</v>
      </c>
      <c r="L33" s="127">
        <v>42.5</v>
      </c>
      <c r="M33" s="169"/>
      <c r="N33" s="89"/>
      <c r="O33" s="170"/>
    </row>
    <row r="34" spans="1:15" ht="14.25" customHeight="1" x14ac:dyDescent="0.2">
      <c r="A34" s="56" t="str">
        <f>IF(B34&lt;&gt;0,"k =",IF(C34&lt;&gt;0,"k =",""))</f>
        <v/>
      </c>
      <c r="B34" s="21">
        <v>0</v>
      </c>
      <c r="C34" s="20">
        <v>0</v>
      </c>
      <c r="D34" s="118" t="str">
        <f>IF(AND(0&lt;B34,B34&lt;1,C34=0),"                    Демонтаж с коэффициентом  = "&amp;M34,IF(AND(B34=0,C34&lt;&gt;0),"                       с высотным коэффициентом  = "&amp;M34,IF(AND(0&lt;B34,B34&lt;1,C34&gt;1),"            Демонтаж на высоте с коэф. = "&amp;M34,IF(AND(1&lt;B34,C34=0),"     Монтаж и демонтаж с коэффициентом  = "&amp;M34,IF(AND(B34&gt;1,C34&lt;&gt;0),"    Монтаж и демонтаж на высоте с коэф. = "&amp;M34,"")))))</f>
        <v/>
      </c>
      <c r="E34" s="273">
        <v>4.8</v>
      </c>
      <c r="F34" s="274"/>
      <c r="G34" s="73">
        <f>H34+I34+K34</f>
        <v>5083.38</v>
      </c>
      <c r="H34" s="131">
        <f>ROUND(IF(M34=0,H33*E34,H33*E34*M34),2)</f>
        <v>1850.3</v>
      </c>
      <c r="I34" s="73">
        <f>ROUND(IF(M34=0,I33*E34,I33*E34*M34),2)</f>
        <v>751.58</v>
      </c>
      <c r="J34" s="73">
        <f>ROUND(IF(M34=0,J33*E34,J33*E34*M34),2)</f>
        <v>84</v>
      </c>
      <c r="K34" s="79">
        <f>ROUND(IF(AND(0&lt;B34,B34&lt;1),0,K33*E34),2)</f>
        <v>2481.5</v>
      </c>
      <c r="L34" s="73">
        <f>ROUND(IF(M34=0,L33*E34,L33*E34*M34),2)</f>
        <v>204</v>
      </c>
      <c r="M34" s="172">
        <f>IF(B34*C34&lt;&gt;0, B34*C34,IF(B34+C34=0,0,IF(B34=0,C34,IF(C34=0,B34,))))</f>
        <v>0</v>
      </c>
      <c r="N34" s="173">
        <f>B34</f>
        <v>0</v>
      </c>
      <c r="O34" s="174">
        <f>C34</f>
        <v>0</v>
      </c>
    </row>
    <row r="35" spans="1:15" ht="14.45" customHeight="1" x14ac:dyDescent="0.2">
      <c r="A35" s="325" t="s">
        <v>58</v>
      </c>
      <c r="B35" s="326"/>
      <c r="C35" s="326"/>
      <c r="D35" s="326"/>
      <c r="E35" s="326"/>
      <c r="F35" s="327"/>
      <c r="G35" s="74">
        <f>H35+I35+K35</f>
        <v>27964.09</v>
      </c>
      <c r="H35" s="74">
        <f>H26+H28+H30+H32+H34</f>
        <v>21527.64</v>
      </c>
      <c r="I35" s="74">
        <f t="shared" ref="I35:L35" si="0">I26+I28+I30+I32+I34</f>
        <v>894.48</v>
      </c>
      <c r="J35" s="74">
        <f t="shared" si="0"/>
        <v>99.6</v>
      </c>
      <c r="K35" s="74">
        <f t="shared" si="0"/>
        <v>5541.97</v>
      </c>
      <c r="L35" s="74">
        <f t="shared" si="0"/>
        <v>1893.84</v>
      </c>
      <c r="M35" s="169"/>
      <c r="N35" s="89"/>
      <c r="O35" s="170"/>
    </row>
    <row r="36" spans="1:15" ht="14.45" hidden="1" customHeight="1" x14ac:dyDescent="0.2">
      <c r="A36" s="253" t="s">
        <v>55</v>
      </c>
      <c r="B36" s="254"/>
      <c r="C36" s="254"/>
      <c r="D36" s="254"/>
      <c r="E36" s="254"/>
      <c r="F36" s="157">
        <v>1</v>
      </c>
      <c r="G36" s="93">
        <f>ROUND(H36+I36+K36,2)</f>
        <v>27964.09</v>
      </c>
      <c r="H36" s="93">
        <f>H35*F36</f>
        <v>21527.64</v>
      </c>
      <c r="I36" s="93">
        <f>I35+J36-J35</f>
        <v>894.48</v>
      </c>
      <c r="J36" s="93">
        <f>J35*F36</f>
        <v>99.6</v>
      </c>
      <c r="K36" s="93">
        <f>K35</f>
        <v>5541.97</v>
      </c>
      <c r="L36" s="93">
        <f>L35*F36</f>
        <v>1893.84</v>
      </c>
      <c r="M36" s="169"/>
      <c r="N36" s="89"/>
      <c r="O36" s="170"/>
    </row>
    <row r="37" spans="1:15" ht="14.45" hidden="1" customHeight="1" x14ac:dyDescent="0.2">
      <c r="A37" s="291" t="s">
        <v>45</v>
      </c>
      <c r="B37" s="292"/>
      <c r="C37" s="292"/>
      <c r="D37" s="292"/>
      <c r="E37" s="292"/>
      <c r="F37" s="72">
        <v>1</v>
      </c>
      <c r="G37" s="55">
        <f>ROUND(H37+I37+K37,2)</f>
        <v>27964.09</v>
      </c>
      <c r="H37" s="80">
        <f>H36*F37</f>
        <v>21527.64</v>
      </c>
      <c r="I37" s="94">
        <f>I36+J37-J36</f>
        <v>894.48</v>
      </c>
      <c r="J37" s="75">
        <f>J36*F37</f>
        <v>99.6</v>
      </c>
      <c r="K37" s="75">
        <f>K36</f>
        <v>5541.97</v>
      </c>
      <c r="L37" s="75">
        <f>L36*F37</f>
        <v>1893.84</v>
      </c>
      <c r="M37" s="169"/>
      <c r="N37" s="89"/>
      <c r="O37" s="170"/>
    </row>
    <row r="38" spans="1:15" ht="14.45" hidden="1" customHeight="1" x14ac:dyDescent="0.2">
      <c r="A38" s="291" t="s">
        <v>44</v>
      </c>
      <c r="B38" s="292"/>
      <c r="C38" s="292"/>
      <c r="D38" s="292"/>
      <c r="E38" s="292"/>
      <c r="F38" s="72">
        <v>1</v>
      </c>
      <c r="G38" s="55">
        <f>ROUND(H38+I38+K38,2)</f>
        <v>27964.09</v>
      </c>
      <c r="H38" s="80">
        <f>H37*F38</f>
        <v>21527.64</v>
      </c>
      <c r="I38" s="94">
        <f>I37+J38-J37</f>
        <v>894.48</v>
      </c>
      <c r="J38" s="75">
        <f>J37*F38</f>
        <v>99.6</v>
      </c>
      <c r="K38" s="94">
        <f>K37</f>
        <v>5541.97</v>
      </c>
      <c r="L38" s="75">
        <f>L37*F38</f>
        <v>1893.84</v>
      </c>
      <c r="M38" s="169"/>
      <c r="N38" s="89"/>
      <c r="O38" s="170"/>
    </row>
    <row r="39" spans="1:15" ht="14.45" hidden="1" customHeight="1" x14ac:dyDescent="0.2">
      <c r="A39" s="122">
        <f>1+F39</f>
        <v>1</v>
      </c>
      <c r="B39" s="292" t="str">
        <f>"С учетом зимних условий работ = "&amp;G38&amp;" +"</f>
        <v>С учетом зимних условий работ = 27964,09 +</v>
      </c>
      <c r="C39" s="292"/>
      <c r="D39" s="292"/>
      <c r="E39" s="292"/>
      <c r="F39" s="175">
        <v>0</v>
      </c>
      <c r="G39" s="55">
        <f>ROUND(H39+I39+K39,2)</f>
        <v>27964.09</v>
      </c>
      <c r="H39" s="80">
        <f>H38*A39</f>
        <v>21527.64</v>
      </c>
      <c r="I39" s="75">
        <f>I38*A39</f>
        <v>894.48</v>
      </c>
      <c r="J39" s="75">
        <f>J38*A39</f>
        <v>99.6</v>
      </c>
      <c r="K39" s="75">
        <f>K38*A39</f>
        <v>5541.97</v>
      </c>
      <c r="L39" s="75">
        <f>ROUND(L38*A39,2)</f>
        <v>1893.84</v>
      </c>
      <c r="M39" s="169"/>
      <c r="N39" s="89"/>
      <c r="O39" s="170"/>
    </row>
    <row r="40" spans="1:15" ht="14.25" customHeight="1" x14ac:dyDescent="0.2">
      <c r="A40" s="296" t="str">
        <f>"Пересчет в текущие цены на "&amp;E41&amp;" (ОЗП*"&amp;H41&amp;"; ЗПМ*"&amp;J41&amp;"; ЭМ*"&amp;I41&amp;"; МАТ*"&amp;K41&amp;")"</f>
        <v>Пересчет в текущие цены на 4кв. 2012г. (ОЗП*12,48; ЗПМ*7,54; ЭМ*5,45; МАТ*3,99)</v>
      </c>
      <c r="B40" s="297"/>
      <c r="C40" s="297"/>
      <c r="D40" s="297"/>
      <c r="E40" s="297"/>
      <c r="F40" s="298"/>
      <c r="G40" s="94">
        <f>H40+I40+K40</f>
        <v>295652.33</v>
      </c>
      <c r="H40" s="94">
        <f>ROUND(H39*H41,2)</f>
        <v>268664.95</v>
      </c>
      <c r="I40" s="94">
        <f>ROUND(I39*I41,2)</f>
        <v>4874.92</v>
      </c>
      <c r="J40" s="94">
        <f>ROUND(J39*J41,2)</f>
        <v>750.98</v>
      </c>
      <c r="K40" s="94">
        <f>ROUND(K39*K41,2)</f>
        <v>22112.46</v>
      </c>
      <c r="L40" s="94">
        <f>L39</f>
        <v>1893.84</v>
      </c>
      <c r="M40" s="169"/>
      <c r="N40" s="89"/>
      <c r="O40" s="170"/>
    </row>
    <row r="41" spans="1:15" ht="16.5" hidden="1" customHeight="1" x14ac:dyDescent="0.2">
      <c r="A41" s="259" t="s">
        <v>47</v>
      </c>
      <c r="B41" s="260"/>
      <c r="C41" s="260"/>
      <c r="D41" s="260"/>
      <c r="E41" s="267" t="str">
        <f>TRUNC((RIGHT(LEFT("23.10.2012",5),2)-1)/3,0)+1&amp;"кв. "&amp;RIGHT("23.10.2012",4)&amp;"г."</f>
        <v>4кв. 2012г.</v>
      </c>
      <c r="F41" s="267"/>
      <c r="G41" s="154" t="s">
        <v>34</v>
      </c>
      <c r="H41" s="189">
        <v>12.48</v>
      </c>
      <c r="I41" s="189">
        <v>5.45</v>
      </c>
      <c r="J41" s="189">
        <v>7.54</v>
      </c>
      <c r="K41" s="189">
        <v>3.99</v>
      </c>
      <c r="L41" s="155"/>
      <c r="M41" s="169"/>
      <c r="N41" s="89"/>
      <c r="O41" s="170"/>
    </row>
    <row r="42" spans="1:15" s="89" customFormat="1" ht="14.45" customHeight="1" x14ac:dyDescent="0.2">
      <c r="A42" s="291" t="s">
        <v>62</v>
      </c>
      <c r="B42" s="292"/>
      <c r="C42" s="292"/>
      <c r="D42" s="292"/>
      <c r="E42" s="292"/>
      <c r="F42" s="328"/>
      <c r="G42" s="94">
        <f>ROUND(H40+J40,2)</f>
        <v>269415.93</v>
      </c>
      <c r="H42" s="146"/>
      <c r="I42" s="146"/>
      <c r="J42" s="146"/>
      <c r="K42" s="146"/>
      <c r="L42" s="137"/>
      <c r="M42" s="169"/>
      <c r="O42" s="170"/>
    </row>
    <row r="43" spans="1:15" ht="14.45" customHeight="1" x14ac:dyDescent="0.2">
      <c r="A43" s="263" t="str">
        <f>"Накладные расходы (НР) на ФОТ (письмо №3757-КК/08 Минрегиона РФ) = "&amp;G42&amp;" х"</f>
        <v>Накладные расходы (НР) на ФОТ (письмо №3757-КК/08 Минрегиона РФ) = 269415,93 х</v>
      </c>
      <c r="B43" s="264"/>
      <c r="C43" s="264"/>
      <c r="D43" s="264"/>
      <c r="E43" s="264"/>
      <c r="F43" s="178">
        <v>0.64</v>
      </c>
      <c r="G43" s="149">
        <f>ROUND(F43*G42,2)</f>
        <v>172426.2</v>
      </c>
      <c r="H43" s="187">
        <f>IF(I43=0%,F43/0.9*0.8,F43)</f>
        <v>0.56888888888888889</v>
      </c>
      <c r="I43" s="195">
        <v>0</v>
      </c>
      <c r="J43" s="28"/>
      <c r="K43" s="28"/>
      <c r="L43" s="138" t="s">
        <v>46</v>
      </c>
      <c r="M43" s="169"/>
      <c r="N43" s="89"/>
      <c r="O43" s="170"/>
    </row>
    <row r="44" spans="1:15" ht="14.45" customHeight="1" x14ac:dyDescent="0.2">
      <c r="A44" s="263" t="str">
        <f>"Сметная прибыль (СП) на ФОТ (письмо №3757-КК/08 Минрегиона РФ) = "&amp;G42&amp;" х"</f>
        <v>Сметная прибыль (СП) на ФОТ (письмо №3757-КК/08 Минрегиона РФ) = 269415,93 х</v>
      </c>
      <c r="B44" s="295"/>
      <c r="C44" s="295"/>
      <c r="D44" s="295"/>
      <c r="E44" s="295"/>
      <c r="F44" s="178">
        <v>0.43</v>
      </c>
      <c r="G44" s="149">
        <f>ROUND(G42*F44,2)</f>
        <v>115848.85</v>
      </c>
      <c r="H44" s="186">
        <f>IF(I43=0%,F44/0.8,0)</f>
        <v>0.53749999999999998</v>
      </c>
      <c r="I44" s="134"/>
      <c r="J44" s="136"/>
      <c r="K44" s="136"/>
      <c r="L44" s="139"/>
      <c r="M44" s="121"/>
      <c r="N44" s="12"/>
      <c r="O44" s="120"/>
    </row>
    <row r="45" spans="1:15" ht="18.75" customHeight="1" thickBot="1" x14ac:dyDescent="0.25">
      <c r="A45" s="265" t="str">
        <f>"Итого по разделу = ПЗ + НР+ СП = "&amp;G40&amp;" + "&amp;G43&amp;" + "&amp;G44&amp;" = "</f>
        <v xml:space="preserve">Итого по разделу = ПЗ + НР+ СП = 295652,33 + 172426,2 + 115848,85 = </v>
      </c>
      <c r="B45" s="265"/>
      <c r="C45" s="265"/>
      <c r="D45" s="265"/>
      <c r="E45" s="265"/>
      <c r="F45" s="266"/>
      <c r="G45" s="148">
        <f>G40+G43+G44</f>
        <v>583927.38</v>
      </c>
      <c r="H45" s="84"/>
      <c r="I45" s="323"/>
      <c r="J45" s="324"/>
      <c r="K45" s="324"/>
      <c r="L45" s="91"/>
      <c r="M45" s="169"/>
      <c r="N45" s="89"/>
      <c r="O45" s="170"/>
    </row>
    <row r="46" spans="1:15" ht="8.25" customHeight="1" x14ac:dyDescent="0.2">
      <c r="A46" s="90"/>
      <c r="B46" s="90"/>
      <c r="C46" s="90"/>
      <c r="D46" s="90"/>
      <c r="E46" s="91"/>
      <c r="F46" s="91"/>
      <c r="G46" s="91"/>
      <c r="H46" s="92"/>
      <c r="I46" s="92"/>
      <c r="J46" s="91"/>
      <c r="K46" s="91"/>
      <c r="L46" s="91"/>
      <c r="M46" s="169"/>
      <c r="N46" s="89"/>
      <c r="O46" s="170"/>
    </row>
    <row r="47" spans="1:15" ht="17.25" customHeight="1" x14ac:dyDescent="0.2">
      <c r="A47" s="249" t="s">
        <v>60</v>
      </c>
      <c r="B47" s="317" t="s">
        <v>53</v>
      </c>
      <c r="C47" s="318"/>
      <c r="D47" s="249" t="s">
        <v>10</v>
      </c>
      <c r="E47" s="303" t="s">
        <v>42</v>
      </c>
      <c r="F47" s="304"/>
      <c r="G47" s="315" t="s">
        <v>11</v>
      </c>
      <c r="H47" s="247" t="s">
        <v>74</v>
      </c>
      <c r="I47" s="248"/>
      <c r="J47" s="247" t="s">
        <v>72</v>
      </c>
      <c r="K47" s="258"/>
      <c r="L47" s="248"/>
      <c r="M47" s="171"/>
      <c r="N47" s="171"/>
      <c r="O47" s="171"/>
    </row>
    <row r="48" spans="1:15" ht="56.25" customHeight="1" x14ac:dyDescent="0.2">
      <c r="A48" s="250"/>
      <c r="B48" s="319"/>
      <c r="C48" s="320"/>
      <c r="D48" s="250"/>
      <c r="E48" s="305"/>
      <c r="F48" s="306"/>
      <c r="G48" s="316"/>
      <c r="H48" s="160" t="s">
        <v>69</v>
      </c>
      <c r="I48" s="167" t="s">
        <v>66</v>
      </c>
      <c r="J48" s="321" t="s">
        <v>76</v>
      </c>
      <c r="K48" s="322"/>
      <c r="L48" s="192" t="s">
        <v>71</v>
      </c>
      <c r="M48" s="171"/>
      <c r="N48" s="171"/>
      <c r="O48" s="171"/>
    </row>
    <row r="49" spans="1:15" x14ac:dyDescent="0.2">
      <c r="A49" s="16">
        <v>1</v>
      </c>
      <c r="B49" s="202">
        <v>2</v>
      </c>
      <c r="C49" s="203"/>
      <c r="D49" s="17">
        <v>3</v>
      </c>
      <c r="E49" s="202">
        <v>4</v>
      </c>
      <c r="F49" s="203"/>
      <c r="G49" s="16">
        <v>5</v>
      </c>
      <c r="H49" s="16">
        <v>6</v>
      </c>
      <c r="I49" s="16">
        <v>7</v>
      </c>
      <c r="J49" s="202">
        <v>8</v>
      </c>
      <c r="K49" s="203"/>
      <c r="L49" s="16">
        <v>9</v>
      </c>
      <c r="M49" s="171"/>
      <c r="N49" s="171"/>
      <c r="O49" s="171"/>
    </row>
    <row r="50" spans="1:15" ht="27" customHeight="1" x14ac:dyDescent="0.2">
      <c r="A50" s="309" t="s">
        <v>91</v>
      </c>
      <c r="B50" s="310"/>
      <c r="C50" s="310"/>
      <c r="D50" s="310"/>
      <c r="E50" s="310"/>
      <c r="F50" s="310"/>
      <c r="G50" s="310"/>
      <c r="H50" s="310"/>
      <c r="I50" s="310"/>
      <c r="J50" s="310"/>
      <c r="K50" s="310"/>
      <c r="L50" s="58"/>
      <c r="M50" s="169"/>
      <c r="N50" s="89"/>
      <c r="O50" s="170"/>
    </row>
    <row r="51" spans="1:15" ht="13.5" x14ac:dyDescent="0.2">
      <c r="A51" s="19">
        <v>1</v>
      </c>
      <c r="B51" s="307" t="s">
        <v>92</v>
      </c>
      <c r="C51" s="308"/>
      <c r="D51" s="159" t="s">
        <v>93</v>
      </c>
      <c r="E51" s="313" t="s">
        <v>12</v>
      </c>
      <c r="F51" s="314"/>
      <c r="G51" s="70">
        <v>1</v>
      </c>
      <c r="H51" s="36">
        <v>1257.83</v>
      </c>
      <c r="I51" s="37">
        <v>85</v>
      </c>
      <c r="J51" s="311">
        <f>ROUND(G51*H51,2)</f>
        <v>1257.83</v>
      </c>
      <c r="K51" s="312"/>
      <c r="L51" s="76">
        <f>ROUND(G51*I51,2)</f>
        <v>85</v>
      </c>
      <c r="M51" s="169"/>
      <c r="N51" s="89"/>
      <c r="O51" s="170"/>
    </row>
    <row r="52" spans="1:15" ht="13.5" x14ac:dyDescent="0.2">
      <c r="A52" s="19">
        <v>2</v>
      </c>
      <c r="B52" s="307" t="s">
        <v>94</v>
      </c>
      <c r="C52" s="308"/>
      <c r="D52" s="159" t="s">
        <v>95</v>
      </c>
      <c r="E52" s="313" t="s">
        <v>96</v>
      </c>
      <c r="F52" s="314"/>
      <c r="G52" s="70">
        <v>7</v>
      </c>
      <c r="H52" s="36">
        <v>125.34</v>
      </c>
      <c r="I52" s="37">
        <v>8.4700000000000006</v>
      </c>
      <c r="J52" s="311">
        <f>ROUND(G52*H52,2)</f>
        <v>877.38</v>
      </c>
      <c r="K52" s="312"/>
      <c r="L52" s="76">
        <f>ROUND(G52*I52,2)</f>
        <v>59.29</v>
      </c>
      <c r="M52" s="169"/>
      <c r="N52" s="89"/>
      <c r="O52" s="170"/>
    </row>
    <row r="53" spans="1:15" ht="13.5" x14ac:dyDescent="0.2">
      <c r="A53" s="19">
        <v>3</v>
      </c>
      <c r="B53" s="307" t="s">
        <v>97</v>
      </c>
      <c r="C53" s="308"/>
      <c r="D53" s="159" t="s">
        <v>98</v>
      </c>
      <c r="E53" s="313" t="s">
        <v>99</v>
      </c>
      <c r="F53" s="314"/>
      <c r="G53" s="70">
        <v>8</v>
      </c>
      <c r="H53" s="36">
        <v>473.28</v>
      </c>
      <c r="I53" s="37">
        <v>32</v>
      </c>
      <c r="J53" s="311">
        <f>ROUND(G53*H53,2)</f>
        <v>3786.24</v>
      </c>
      <c r="K53" s="312"/>
      <c r="L53" s="76">
        <f>ROUND(G53*I53,2)</f>
        <v>256</v>
      </c>
      <c r="M53" s="169"/>
      <c r="N53" s="89"/>
      <c r="O53" s="170"/>
    </row>
    <row r="54" spans="1:15" ht="24" x14ac:dyDescent="0.2">
      <c r="A54" s="19">
        <v>4</v>
      </c>
      <c r="B54" s="307" t="s">
        <v>100</v>
      </c>
      <c r="C54" s="308"/>
      <c r="D54" s="159" t="s">
        <v>101</v>
      </c>
      <c r="E54" s="313" t="s">
        <v>102</v>
      </c>
      <c r="F54" s="314"/>
      <c r="G54" s="70">
        <v>3</v>
      </c>
      <c r="H54" s="36">
        <v>295.8</v>
      </c>
      <c r="I54" s="37">
        <v>20</v>
      </c>
      <c r="J54" s="311">
        <f>ROUND(G54*H54,2)</f>
        <v>887.4</v>
      </c>
      <c r="K54" s="312"/>
      <c r="L54" s="76">
        <f>ROUND(G54*I54,2)</f>
        <v>60</v>
      </c>
      <c r="M54" s="169"/>
      <c r="N54" s="89"/>
      <c r="O54" s="170"/>
    </row>
    <row r="55" spans="1:15" ht="24" x14ac:dyDescent="0.2">
      <c r="A55" s="19">
        <v>5</v>
      </c>
      <c r="B55" s="307" t="s">
        <v>103</v>
      </c>
      <c r="C55" s="308"/>
      <c r="D55" s="159" t="s">
        <v>104</v>
      </c>
      <c r="E55" s="313" t="s">
        <v>105</v>
      </c>
      <c r="F55" s="314"/>
      <c r="G55" s="70">
        <v>1</v>
      </c>
      <c r="H55" s="36">
        <v>4274.3100000000004</v>
      </c>
      <c r="I55" s="37">
        <v>289</v>
      </c>
      <c r="J55" s="311">
        <f>ROUND(G55*H55,2)</f>
        <v>4274.3100000000004</v>
      </c>
      <c r="K55" s="312"/>
      <c r="L55" s="76">
        <f>ROUND(G55*I55,2)</f>
        <v>289</v>
      </c>
      <c r="M55" s="169"/>
      <c r="N55" s="89"/>
      <c r="O55" s="170"/>
    </row>
    <row r="56" spans="1:15" s="89" customFormat="1" ht="15" customHeight="1" x14ac:dyDescent="0.2">
      <c r="A56" s="255" t="s">
        <v>56</v>
      </c>
      <c r="B56" s="256"/>
      <c r="C56" s="256"/>
      <c r="D56" s="256"/>
      <c r="E56" s="256"/>
      <c r="F56" s="256"/>
      <c r="G56" s="256"/>
      <c r="H56" s="256"/>
      <c r="I56" s="257"/>
      <c r="J56" s="245">
        <f>SUM(J51:J55)</f>
        <v>11083.16</v>
      </c>
      <c r="K56" s="246"/>
      <c r="L56" s="77">
        <f>SUM(L51:L55)</f>
        <v>749.29</v>
      </c>
      <c r="M56" s="169"/>
      <c r="O56" s="170"/>
    </row>
    <row r="57" spans="1:15" s="89" customFormat="1" ht="15" hidden="1" customHeight="1" x14ac:dyDescent="0.2">
      <c r="A57" s="251" t="s">
        <v>36</v>
      </c>
      <c r="B57" s="252"/>
      <c r="C57" s="252"/>
      <c r="D57" s="252"/>
      <c r="E57" s="252"/>
      <c r="F57" s="252"/>
      <c r="G57" s="252"/>
      <c r="H57" s="252"/>
      <c r="I57" s="142">
        <v>1</v>
      </c>
      <c r="J57" s="208">
        <f>ROUND(J56*I57,2)</f>
        <v>11083.16</v>
      </c>
      <c r="K57" s="209"/>
      <c r="L57" s="95">
        <f>L56*I57</f>
        <v>749.29</v>
      </c>
      <c r="M57" s="169"/>
      <c r="O57" s="170"/>
    </row>
    <row r="58" spans="1:15" s="89" customFormat="1" ht="15" hidden="1" customHeight="1" x14ac:dyDescent="0.2">
      <c r="A58" s="253" t="str">
        <f>"С учетом стесненных условий производства работ на действующем предприятии =  "&amp;J57&amp;"  х "</f>
        <v xml:space="preserve">С учетом стесненных условий производства работ на действующем предприятии =  11083,16  х </v>
      </c>
      <c r="B58" s="254"/>
      <c r="C58" s="254"/>
      <c r="D58" s="254"/>
      <c r="E58" s="254"/>
      <c r="F58" s="254"/>
      <c r="G58" s="254"/>
      <c r="H58" s="254"/>
      <c r="I58" s="72">
        <v>1</v>
      </c>
      <c r="J58" s="245">
        <f>ROUND(J57*I58,2)</f>
        <v>11083.16</v>
      </c>
      <c r="K58" s="246"/>
      <c r="L58" s="77">
        <f>L57*I58</f>
        <v>749.29</v>
      </c>
      <c r="M58" s="169"/>
      <c r="O58" s="170"/>
    </row>
    <row r="59" spans="1:15" s="89" customFormat="1" ht="15" hidden="1" customHeight="1" x14ac:dyDescent="0.2">
      <c r="A59" s="253" t="str">
        <f>"С учетом особых условий производства = "&amp;J58&amp;"  х "</f>
        <v xml:space="preserve">С учетом особых условий производства = 11083,16  х </v>
      </c>
      <c r="B59" s="254"/>
      <c r="C59" s="254"/>
      <c r="D59" s="254"/>
      <c r="E59" s="254"/>
      <c r="F59" s="254"/>
      <c r="G59" s="254"/>
      <c r="H59" s="254"/>
      <c r="I59" s="72">
        <v>1</v>
      </c>
      <c r="J59" s="245">
        <f>ROUND(J58*I59,2)</f>
        <v>11083.16</v>
      </c>
      <c r="K59" s="246"/>
      <c r="L59" s="77">
        <f>L58*I59</f>
        <v>749.29</v>
      </c>
      <c r="M59" s="169"/>
      <c r="O59" s="170"/>
    </row>
    <row r="60" spans="1:15" s="89" customFormat="1" ht="15" hidden="1" customHeight="1" x14ac:dyDescent="0.2">
      <c r="A60" s="143">
        <f>1+I60</f>
        <v>1</v>
      </c>
      <c r="B60" s="254" t="str">
        <f>"С учетом зимних условий работ = "&amp;J59&amp;"  + "</f>
        <v xml:space="preserve">С учетом зимних условий работ = 11083,16  + </v>
      </c>
      <c r="C60" s="254"/>
      <c r="D60" s="254"/>
      <c r="E60" s="254"/>
      <c r="F60" s="254"/>
      <c r="G60" s="254"/>
      <c r="H60" s="254"/>
      <c r="I60" s="175">
        <v>0</v>
      </c>
      <c r="J60" s="245">
        <f>ROUND(J59*A60,2)</f>
        <v>11083.16</v>
      </c>
      <c r="K60" s="246"/>
      <c r="L60" s="81">
        <f>ROUND(L59*A60,2)</f>
        <v>749.29</v>
      </c>
      <c r="M60" s="169"/>
      <c r="O60" s="170"/>
    </row>
    <row r="61" spans="1:15" s="89" customFormat="1" ht="15" customHeight="1" x14ac:dyDescent="0.2">
      <c r="A61" s="253" t="str">
        <f>"Фонд оплаты труда (ФОТ) в текущих ценах с учетом коэф.инфляции на "&amp;L61&amp;" = "&amp;J60&amp;"  х "</f>
        <v xml:space="preserve">Фонд оплаты труда (ФОТ) в текущих ценах с учетом коэф.инфляции на 4кв. 2012г. = 11083,16  х </v>
      </c>
      <c r="B61" s="254"/>
      <c r="C61" s="254"/>
      <c r="D61" s="254"/>
      <c r="E61" s="254"/>
      <c r="F61" s="254"/>
      <c r="G61" s="254"/>
      <c r="H61" s="254"/>
      <c r="I61" s="177">
        <v>2.4390000000000001</v>
      </c>
      <c r="J61" s="208">
        <f>ROUND(J60*I61,2)</f>
        <v>27031.83</v>
      </c>
      <c r="K61" s="209"/>
      <c r="L61" s="144" t="str">
        <f>TRUNC((RIGHT(LEFT("23.10.2012",5),2)-1)/3,0)+1&amp;"кв. "&amp;RIGHT("23.10.2012",4)&amp;"г."</f>
        <v>4кв. 2012г.</v>
      </c>
      <c r="M61" s="169"/>
      <c r="O61" s="170"/>
    </row>
    <row r="62" spans="1:15" s="89" customFormat="1" ht="15" customHeight="1" x14ac:dyDescent="0.2">
      <c r="A62" s="253" t="str">
        <f>"Накладные расходы (НР) на ФОТ  (письмо №3757-КК/08 Минрегиона РФ) = "&amp;J61&amp;" х"</f>
        <v>Накладные расходы (НР) на ФОТ  (письмо №3757-КК/08 Минрегиона РФ) = 27031,83 х</v>
      </c>
      <c r="B62" s="254"/>
      <c r="C62" s="254"/>
      <c r="D62" s="254"/>
      <c r="E62" s="254"/>
      <c r="F62" s="254"/>
      <c r="G62" s="254"/>
      <c r="H62" s="254"/>
      <c r="I62" s="175">
        <v>0.65</v>
      </c>
      <c r="J62" s="245">
        <f>ROUND(J61*I62,2)</f>
        <v>17570.689999999999</v>
      </c>
      <c r="K62" s="246"/>
      <c r="L62" s="184">
        <f>IF(M62=0,I62/0.7,I62)</f>
        <v>0.92857142857142871</v>
      </c>
      <c r="M62" s="330">
        <v>0</v>
      </c>
      <c r="N62" s="12"/>
      <c r="O62" s="120"/>
    </row>
    <row r="63" spans="1:15" s="89" customFormat="1" ht="15" customHeight="1" thickBot="1" x14ac:dyDescent="0.25">
      <c r="A63" s="216" t="str">
        <f>"Сметная прибыль (СП) на ФОТ  (письмо №3757-КК/08 Минрегиона РФ) = "&amp;J61&amp;" х"</f>
        <v>Сметная прибыль (СП) на ФОТ  (письмо №3757-КК/08 Минрегиона РФ) = 27031,83 х</v>
      </c>
      <c r="B63" s="217"/>
      <c r="C63" s="217"/>
      <c r="D63" s="217"/>
      <c r="E63" s="217"/>
      <c r="F63" s="217"/>
      <c r="G63" s="217"/>
      <c r="H63" s="217"/>
      <c r="I63" s="176">
        <v>0.4</v>
      </c>
      <c r="J63" s="210">
        <f>ROUND(J61*I63,2)</f>
        <v>10812.73</v>
      </c>
      <c r="K63" s="211"/>
      <c r="L63" s="185">
        <f>IF(M62=0%,I63/0.9,0)</f>
        <v>0.44444444444444448</v>
      </c>
      <c r="M63" s="121"/>
      <c r="N63" s="12"/>
      <c r="O63" s="120"/>
    </row>
    <row r="64" spans="1:15" s="89" customFormat="1" ht="19.5" customHeight="1" thickTop="1" thickBot="1" x14ac:dyDescent="0.25">
      <c r="A64" s="212" t="str">
        <f>"Итого по разделу = ФОТ+ НР + СП = "&amp;J61&amp;" + "&amp;J62&amp;" + "&amp;J63&amp;" = "</f>
        <v xml:space="preserve">Итого по разделу = ФОТ+ НР + СП = 27031,83 + 17570,69 + 10812,73 = </v>
      </c>
      <c r="B64" s="212"/>
      <c r="C64" s="212"/>
      <c r="D64" s="212"/>
      <c r="E64" s="212"/>
      <c r="F64" s="212"/>
      <c r="G64" s="212"/>
      <c r="H64" s="212"/>
      <c r="I64" s="213"/>
      <c r="J64" s="206">
        <f>J61+J62+J63</f>
        <v>55415.25</v>
      </c>
      <c r="K64" s="207"/>
      <c r="L64" s="135"/>
      <c r="M64" s="169"/>
      <c r="O64" s="170"/>
    </row>
    <row r="65" spans="1:15" ht="11.25" customHeight="1" thickBot="1" x14ac:dyDescent="0.25">
      <c r="A65" s="49"/>
      <c r="B65" s="49"/>
      <c r="C65" s="49"/>
      <c r="D65" s="46"/>
      <c r="E65" s="47"/>
      <c r="F65" s="47"/>
      <c r="G65" s="47"/>
      <c r="H65" s="47"/>
      <c r="I65" s="47"/>
      <c r="J65" s="47"/>
      <c r="K65" s="47"/>
      <c r="L65" s="50"/>
      <c r="M65" s="169"/>
      <c r="N65" s="89"/>
      <c r="O65" s="170"/>
    </row>
    <row r="66" spans="1:15" ht="20.25" customHeight="1" thickTop="1" thickBot="1" x14ac:dyDescent="0.25">
      <c r="A66" s="218"/>
      <c r="B66" s="218"/>
      <c r="C66" s="218"/>
      <c r="D66" s="43" t="s">
        <v>33</v>
      </c>
      <c r="E66" s="219" t="s">
        <v>48</v>
      </c>
      <c r="F66" s="220"/>
      <c r="G66" s="194" t="s">
        <v>32</v>
      </c>
      <c r="H66" s="29" t="s">
        <v>30</v>
      </c>
      <c r="I66" s="25" t="s">
        <v>31</v>
      </c>
      <c r="J66" s="82" t="s">
        <v>8</v>
      </c>
      <c r="K66" s="97" t="s">
        <v>37</v>
      </c>
      <c r="L66" s="98" t="s">
        <v>41</v>
      </c>
      <c r="M66" s="169"/>
      <c r="N66" s="89"/>
      <c r="O66" s="170"/>
    </row>
    <row r="67" spans="1:15" ht="21.75" customHeight="1" thickTop="1" x14ac:dyDescent="0.2">
      <c r="A67" s="22"/>
      <c r="B67" s="18"/>
      <c r="C67" s="18"/>
      <c r="D67" s="30"/>
      <c r="E67" s="221">
        <f>ROUND(G45+J64+0,2)</f>
        <v>639342.63</v>
      </c>
      <c r="F67" s="222"/>
      <c r="G67" s="63">
        <f>G42+J61</f>
        <v>296447.76</v>
      </c>
      <c r="H67" s="64">
        <f>G43+J62</f>
        <v>189996.89</v>
      </c>
      <c r="I67" s="64">
        <f>G44+J63</f>
        <v>126661.58</v>
      </c>
      <c r="J67" s="64">
        <f>I40</f>
        <v>4874.92</v>
      </c>
      <c r="K67" s="64">
        <f>K40</f>
        <v>22112.46</v>
      </c>
      <c r="L67" s="52">
        <f>L40+L60</f>
        <v>2643.13</v>
      </c>
      <c r="M67" s="169"/>
      <c r="N67" s="89"/>
      <c r="O67" s="170"/>
    </row>
    <row r="68" spans="1:15" ht="8.25" customHeight="1" x14ac:dyDescent="0.2">
      <c r="A68" s="22"/>
      <c r="B68" s="18"/>
      <c r="C68" s="18"/>
      <c r="D68" s="23"/>
      <c r="E68" s="65"/>
      <c r="F68" s="65"/>
      <c r="G68" s="65"/>
      <c r="H68" s="65"/>
      <c r="I68" s="65"/>
      <c r="J68" s="65"/>
      <c r="K68" s="65"/>
      <c r="L68" s="61"/>
      <c r="M68" s="169"/>
      <c r="N68" s="89"/>
      <c r="O68" s="170"/>
    </row>
    <row r="69" spans="1:15" ht="31.5" customHeight="1" x14ac:dyDescent="0.2">
      <c r="A69" s="215" t="s">
        <v>50</v>
      </c>
      <c r="B69" s="215"/>
      <c r="C69" s="215"/>
      <c r="D69" s="215"/>
      <c r="E69" s="215"/>
      <c r="F69" s="215"/>
      <c r="G69" s="215"/>
      <c r="H69" s="215"/>
      <c r="I69" s="215"/>
      <c r="J69" s="215"/>
      <c r="K69" s="215"/>
      <c r="L69" s="62"/>
      <c r="M69" s="169"/>
      <c r="N69" s="89"/>
      <c r="O69" s="170"/>
    </row>
    <row r="70" spans="1:15" ht="24.75" customHeight="1" x14ac:dyDescent="0.2">
      <c r="A70" s="66" t="s">
        <v>13</v>
      </c>
      <c r="B70" s="242" t="s">
        <v>59</v>
      </c>
      <c r="C70" s="243"/>
      <c r="D70" s="243"/>
      <c r="E70" s="243"/>
      <c r="F70" s="243"/>
      <c r="G70" s="244"/>
      <c r="H70" s="67" t="s">
        <v>14</v>
      </c>
      <c r="I70" s="68" t="s">
        <v>11</v>
      </c>
      <c r="J70" s="69" t="s">
        <v>22</v>
      </c>
      <c r="K70" s="238" t="s">
        <v>28</v>
      </c>
      <c r="L70" s="239"/>
      <c r="M70" s="169"/>
      <c r="N70" s="89"/>
      <c r="O70" s="170"/>
    </row>
    <row r="71" spans="1:15" s="89" customFormat="1" ht="14.25" customHeight="1" x14ac:dyDescent="0.2">
      <c r="A71" s="180">
        <v>1</v>
      </c>
      <c r="B71" s="331" t="s">
        <v>106</v>
      </c>
      <c r="C71" s="332"/>
      <c r="D71" s="332"/>
      <c r="E71" s="332"/>
      <c r="F71" s="332"/>
      <c r="G71" s="333"/>
      <c r="H71" s="181" t="s">
        <v>15</v>
      </c>
      <c r="I71" s="182">
        <v>3</v>
      </c>
      <c r="J71" s="183">
        <v>40510</v>
      </c>
      <c r="K71" s="241">
        <f>ROUND(I71*J71,2)</f>
        <v>121530</v>
      </c>
      <c r="L71" s="241"/>
      <c r="M71" s="169"/>
      <c r="O71" s="170"/>
    </row>
    <row r="72" spans="1:15" s="89" customFormat="1" ht="14.25" customHeight="1" x14ac:dyDescent="0.2">
      <c r="A72" s="180">
        <v>2</v>
      </c>
      <c r="B72" s="334" t="s">
        <v>107</v>
      </c>
      <c r="C72" s="335"/>
      <c r="D72" s="335"/>
      <c r="E72" s="335"/>
      <c r="F72" s="335"/>
      <c r="G72" s="336"/>
      <c r="H72" s="181" t="s">
        <v>15</v>
      </c>
      <c r="I72" s="182">
        <v>17</v>
      </c>
      <c r="J72" s="183">
        <v>2200</v>
      </c>
      <c r="K72" s="241">
        <f>ROUND(I72*J72,2)</f>
        <v>37400</v>
      </c>
      <c r="L72" s="241"/>
      <c r="M72" s="169"/>
      <c r="O72" s="170"/>
    </row>
    <row r="73" spans="1:15" s="89" customFormat="1" ht="14.25" customHeight="1" x14ac:dyDescent="0.2">
      <c r="A73" s="180">
        <v>3</v>
      </c>
      <c r="B73" s="334" t="s">
        <v>108</v>
      </c>
      <c r="C73" s="335"/>
      <c r="D73" s="335"/>
      <c r="E73" s="335"/>
      <c r="F73" s="335"/>
      <c r="G73" s="336"/>
      <c r="H73" s="181" t="s">
        <v>15</v>
      </c>
      <c r="I73" s="182">
        <v>4</v>
      </c>
      <c r="J73" s="183">
        <v>7725</v>
      </c>
      <c r="K73" s="241">
        <f>ROUND(I73*J73,2)</f>
        <v>30900</v>
      </c>
      <c r="L73" s="241"/>
      <c r="M73" s="169"/>
      <c r="O73" s="170"/>
    </row>
    <row r="74" spans="1:15" s="89" customFormat="1" ht="14.25" customHeight="1" x14ac:dyDescent="0.2">
      <c r="A74" s="180">
        <v>4</v>
      </c>
      <c r="B74" s="334" t="s">
        <v>109</v>
      </c>
      <c r="C74" s="335"/>
      <c r="D74" s="335"/>
      <c r="E74" s="335"/>
      <c r="F74" s="335"/>
      <c r="G74" s="336"/>
      <c r="H74" s="181" t="s">
        <v>15</v>
      </c>
      <c r="I74" s="182">
        <v>2</v>
      </c>
      <c r="J74" s="183">
        <v>5200</v>
      </c>
      <c r="K74" s="241">
        <f>ROUND(I74*J74,2)</f>
        <v>10400</v>
      </c>
      <c r="L74" s="241"/>
      <c r="M74" s="169"/>
      <c r="O74" s="170"/>
    </row>
    <row r="75" spans="1:15" s="89" customFormat="1" ht="14.25" customHeight="1" x14ac:dyDescent="0.2">
      <c r="A75" s="180">
        <v>5</v>
      </c>
      <c r="B75" s="334" t="s">
        <v>110</v>
      </c>
      <c r="C75" s="335"/>
      <c r="D75" s="335"/>
      <c r="E75" s="335"/>
      <c r="F75" s="335"/>
      <c r="G75" s="336"/>
      <c r="H75" s="181" t="s">
        <v>15</v>
      </c>
      <c r="I75" s="182">
        <v>16</v>
      </c>
      <c r="J75" s="183">
        <v>8976</v>
      </c>
      <c r="K75" s="241">
        <f>ROUND(I75*J75,2)</f>
        <v>143616</v>
      </c>
      <c r="L75" s="241"/>
      <c r="M75" s="169"/>
      <c r="O75" s="170"/>
    </row>
    <row r="76" spans="1:15" s="89" customFormat="1" ht="14.25" customHeight="1" x14ac:dyDescent="0.2">
      <c r="A76" s="180">
        <v>6</v>
      </c>
      <c r="B76" s="334" t="s">
        <v>111</v>
      </c>
      <c r="C76" s="335"/>
      <c r="D76" s="335"/>
      <c r="E76" s="335"/>
      <c r="F76" s="335"/>
      <c r="G76" s="336"/>
      <c r="H76" s="181" t="s">
        <v>15</v>
      </c>
      <c r="I76" s="182">
        <v>35</v>
      </c>
      <c r="J76" s="183">
        <v>12460.8</v>
      </c>
      <c r="K76" s="241">
        <f>ROUND(I76*J76,2)</f>
        <v>436128</v>
      </c>
      <c r="L76" s="241"/>
      <c r="M76" s="169"/>
      <c r="O76" s="170"/>
    </row>
    <row r="77" spans="1:15" s="89" customFormat="1" ht="14.25" customHeight="1" x14ac:dyDescent="0.2">
      <c r="A77" s="180">
        <v>7</v>
      </c>
      <c r="B77" s="334" t="s">
        <v>112</v>
      </c>
      <c r="C77" s="335"/>
      <c r="D77" s="335"/>
      <c r="E77" s="335"/>
      <c r="F77" s="335"/>
      <c r="G77" s="336"/>
      <c r="H77" s="181" t="s">
        <v>15</v>
      </c>
      <c r="I77" s="182">
        <v>6</v>
      </c>
      <c r="J77" s="183">
        <v>7500</v>
      </c>
      <c r="K77" s="241">
        <f>ROUND(I77*J77,2)</f>
        <v>45000</v>
      </c>
      <c r="L77" s="241"/>
      <c r="M77" s="169"/>
      <c r="O77" s="170"/>
    </row>
    <row r="78" spans="1:15" s="89" customFormat="1" ht="14.25" customHeight="1" x14ac:dyDescent="0.2">
      <c r="A78" s="180">
        <v>8</v>
      </c>
      <c r="B78" s="334" t="s">
        <v>113</v>
      </c>
      <c r="C78" s="335"/>
      <c r="D78" s="335"/>
      <c r="E78" s="335"/>
      <c r="F78" s="335"/>
      <c r="G78" s="336"/>
      <c r="H78" s="181" t="s">
        <v>15</v>
      </c>
      <c r="I78" s="182">
        <v>8</v>
      </c>
      <c r="J78" s="183">
        <v>1100</v>
      </c>
      <c r="K78" s="241">
        <f>ROUND(I78*J78,2)</f>
        <v>8800</v>
      </c>
      <c r="L78" s="241"/>
      <c r="M78" s="169"/>
      <c r="O78" s="170"/>
    </row>
    <row r="79" spans="1:15" s="89" customFormat="1" ht="14.25" customHeight="1" x14ac:dyDescent="0.2">
      <c r="A79" s="180">
        <v>9</v>
      </c>
      <c r="B79" s="334" t="s">
        <v>114</v>
      </c>
      <c r="C79" s="335"/>
      <c r="D79" s="335"/>
      <c r="E79" s="335"/>
      <c r="F79" s="335"/>
      <c r="G79" s="336"/>
      <c r="H79" s="181" t="s">
        <v>115</v>
      </c>
      <c r="I79" s="182">
        <v>2400</v>
      </c>
      <c r="J79" s="183">
        <v>21</v>
      </c>
      <c r="K79" s="241">
        <f>ROUND(I79*J79,2)</f>
        <v>50400</v>
      </c>
      <c r="L79" s="241"/>
      <c r="M79" s="169"/>
      <c r="O79" s="170"/>
    </row>
    <row r="80" spans="1:15" s="89" customFormat="1" ht="14.25" customHeight="1" x14ac:dyDescent="0.2">
      <c r="A80" s="180">
        <v>10</v>
      </c>
      <c r="B80" s="334" t="s">
        <v>116</v>
      </c>
      <c r="C80" s="335"/>
      <c r="D80" s="335"/>
      <c r="E80" s="335"/>
      <c r="F80" s="335"/>
      <c r="G80" s="336"/>
      <c r="H80" s="181" t="s">
        <v>115</v>
      </c>
      <c r="I80" s="182">
        <v>2400</v>
      </c>
      <c r="J80" s="183">
        <v>39</v>
      </c>
      <c r="K80" s="241">
        <f>ROUND(I80*J80,2)</f>
        <v>93600</v>
      </c>
      <c r="L80" s="241"/>
      <c r="M80" s="169"/>
      <c r="O80" s="170"/>
    </row>
    <row r="81" spans="1:15" s="89" customFormat="1" ht="14.25" customHeight="1" x14ac:dyDescent="0.2">
      <c r="A81" s="180">
        <v>11</v>
      </c>
      <c r="B81" s="334" t="s">
        <v>117</v>
      </c>
      <c r="C81" s="335"/>
      <c r="D81" s="335"/>
      <c r="E81" s="335"/>
      <c r="F81" s="335"/>
      <c r="G81" s="336"/>
      <c r="H81" s="181" t="s">
        <v>15</v>
      </c>
      <c r="I81" s="182">
        <v>10</v>
      </c>
      <c r="J81" s="183">
        <v>900</v>
      </c>
      <c r="K81" s="241">
        <f>ROUND(I81*J81,2)</f>
        <v>9000</v>
      </c>
      <c r="L81" s="241"/>
      <c r="M81" s="169"/>
      <c r="O81" s="170"/>
    </row>
    <row r="82" spans="1:15" s="89" customFormat="1" ht="14.25" customHeight="1" x14ac:dyDescent="0.2">
      <c r="A82" s="180">
        <v>12</v>
      </c>
      <c r="B82" s="334" t="s">
        <v>118</v>
      </c>
      <c r="C82" s="335"/>
      <c r="D82" s="335"/>
      <c r="E82" s="335"/>
      <c r="F82" s="335"/>
      <c r="G82" s="336"/>
      <c r="H82" s="181" t="s">
        <v>119</v>
      </c>
      <c r="I82" s="182">
        <v>17</v>
      </c>
      <c r="J82" s="183">
        <v>1200</v>
      </c>
      <c r="K82" s="241">
        <f>ROUND(I82*J82,2)</f>
        <v>20400</v>
      </c>
      <c r="L82" s="241"/>
      <c r="M82" s="169"/>
      <c r="O82" s="170"/>
    </row>
    <row r="83" spans="1:15" s="89" customFormat="1" x14ac:dyDescent="0.2">
      <c r="A83" s="110"/>
      <c r="B83" s="111" t="s">
        <v>19</v>
      </c>
      <c r="C83" s="111"/>
      <c r="D83" s="112"/>
      <c r="E83" s="113"/>
      <c r="F83" s="114"/>
      <c r="G83" s="115"/>
      <c r="H83" s="115"/>
      <c r="I83" s="113"/>
      <c r="J83" s="116" t="s">
        <v>29</v>
      </c>
      <c r="K83" s="240">
        <f>SUM(K71:K82)</f>
        <v>1007174</v>
      </c>
      <c r="L83" s="240"/>
      <c r="M83" s="169"/>
      <c r="O83" s="170"/>
    </row>
    <row r="84" spans="1:15" s="89" customFormat="1" x14ac:dyDescent="0.2">
      <c r="A84" s="103" t="s">
        <v>20</v>
      </c>
      <c r="B84" s="104" t="s">
        <v>21</v>
      </c>
      <c r="C84" s="104"/>
      <c r="D84" s="105"/>
      <c r="E84" s="106"/>
      <c r="F84" s="107"/>
      <c r="G84" s="108"/>
      <c r="H84" s="108"/>
      <c r="I84" s="106"/>
      <c r="J84" s="106"/>
      <c r="K84" s="78"/>
      <c r="L84" s="109"/>
      <c r="M84" s="169"/>
      <c r="O84" s="170"/>
    </row>
    <row r="85" spans="1:15" ht="22.5" customHeight="1" thickBot="1" x14ac:dyDescent="0.25">
      <c r="A85" s="128"/>
      <c r="B85" s="129"/>
      <c r="C85" s="129"/>
      <c r="D85" s="199" t="s">
        <v>27</v>
      </c>
      <c r="E85" s="200"/>
      <c r="F85" s="196" t="s">
        <v>26</v>
      </c>
      <c r="G85" s="201"/>
      <c r="H85" s="126"/>
      <c r="I85" s="124"/>
      <c r="J85" s="124"/>
      <c r="K85" s="228"/>
      <c r="L85" s="228"/>
      <c r="M85" s="169"/>
      <c r="N85" s="89"/>
      <c r="O85" s="170"/>
    </row>
    <row r="86" spans="1:15" s="89" customFormat="1" ht="15.95" customHeight="1" thickTop="1" x14ac:dyDescent="0.2">
      <c r="A86" s="214"/>
      <c r="B86" s="214"/>
      <c r="C86" s="125"/>
      <c r="D86" s="117"/>
      <c r="E86" s="150" t="s">
        <v>51</v>
      </c>
      <c r="F86" s="223">
        <f>ROUND(G45+J64+0,2)</f>
        <v>639342.63</v>
      </c>
      <c r="G86" s="224"/>
      <c r="H86" s="86">
        <v>0</v>
      </c>
      <c r="I86" s="225">
        <f>F86*H86</f>
        <v>0</v>
      </c>
      <c r="J86" s="225"/>
      <c r="K86" s="226">
        <f>F86+I86</f>
        <v>639342.63</v>
      </c>
      <c r="L86" s="226"/>
      <c r="M86" s="169"/>
      <c r="O86" s="170"/>
    </row>
    <row r="87" spans="1:15" s="89" customFormat="1" ht="15.95" customHeight="1" x14ac:dyDescent="0.2">
      <c r="A87" s="99"/>
      <c r="B87" s="99"/>
      <c r="C87" s="100"/>
      <c r="D87" s="101"/>
      <c r="E87" s="151" t="s">
        <v>57</v>
      </c>
      <c r="F87" s="229">
        <f>ROUND(K83,2)</f>
        <v>1007174</v>
      </c>
      <c r="G87" s="230"/>
      <c r="H87" s="87">
        <v>0</v>
      </c>
      <c r="I87" s="226">
        <f>F87*H87</f>
        <v>0</v>
      </c>
      <c r="J87" s="226"/>
      <c r="K87" s="232">
        <f>F87+I87</f>
        <v>1007174</v>
      </c>
      <c r="L87" s="232"/>
      <c r="M87" s="169"/>
      <c r="O87" s="170"/>
    </row>
    <row r="88" spans="1:15" s="89" customFormat="1" ht="15.95" customHeight="1" x14ac:dyDescent="0.2">
      <c r="A88" s="188"/>
      <c r="B88" s="99"/>
      <c r="C88" s="100"/>
      <c r="D88" s="102" t="str">
        <f>IF(E88=0,"Заготовительно-складские расходы = ","Заготовительно-складские расходы = "&amp;FIXED(F87,2)&amp;" х")</f>
        <v>Заготовительно-складские расходы = 1 007 174,00 х</v>
      </c>
      <c r="E88" s="179">
        <v>1.2E-2</v>
      </c>
      <c r="F88" s="204">
        <f>ROUND(F87*E88,2)</f>
        <v>12086.09</v>
      </c>
      <c r="G88" s="205"/>
      <c r="H88" s="88"/>
      <c r="I88" s="227"/>
      <c r="J88" s="227"/>
      <c r="K88" s="231"/>
      <c r="L88" s="231"/>
      <c r="M88" s="169"/>
      <c r="O88" s="170"/>
    </row>
    <row r="89" spans="1:15" s="89" customFormat="1" ht="15.95" customHeight="1" x14ac:dyDescent="0.2">
      <c r="A89" s="101"/>
      <c r="B89" s="101"/>
      <c r="C89" s="101"/>
      <c r="D89" s="102" t="str">
        <f>IF(E89=0,"Транспортные расходы = ","Транспортные расходы = "&amp;FIXED(F87,2)&amp;" х")</f>
        <v>Транспортные расходы = 1 007 174,00 х</v>
      </c>
      <c r="E89" s="179">
        <v>0.02</v>
      </c>
      <c r="F89" s="233">
        <f>ROUND(F87*E89,2)</f>
        <v>20143.48</v>
      </c>
      <c r="G89" s="234"/>
      <c r="H89" s="83" t="s">
        <v>24</v>
      </c>
      <c r="I89" s="196" t="s">
        <v>25</v>
      </c>
      <c r="J89" s="201"/>
      <c r="K89" s="196" t="s">
        <v>35</v>
      </c>
      <c r="L89" s="201"/>
      <c r="M89" s="169"/>
      <c r="O89" s="170"/>
    </row>
    <row r="90" spans="1:15" s="89" customFormat="1" ht="18.75" customHeight="1" x14ac:dyDescent="0.2">
      <c r="A90" s="31"/>
      <c r="B90" s="31"/>
      <c r="C90" s="31"/>
      <c r="D90" s="22"/>
      <c r="E90" s="152" t="s">
        <v>52</v>
      </c>
      <c r="F90" s="197">
        <f>SUM(F86:F89)</f>
        <v>1678746.2</v>
      </c>
      <c r="G90" s="198"/>
      <c r="H90" s="85">
        <f>H87</f>
        <v>0</v>
      </c>
      <c r="I90" s="197">
        <f>ROUND(F90*H90,2)</f>
        <v>0</v>
      </c>
      <c r="J90" s="198"/>
      <c r="K90" s="197">
        <f>F90+I90</f>
        <v>1678746.2</v>
      </c>
      <c r="L90" s="198"/>
      <c r="M90" s="169"/>
      <c r="O90" s="170"/>
    </row>
    <row r="91" spans="1:15" ht="66.75" customHeight="1" x14ac:dyDescent="0.2">
      <c r="A91" s="236" t="s">
        <v>18</v>
      </c>
      <c r="B91" s="236"/>
      <c r="C91" s="236"/>
      <c r="D91" s="237"/>
      <c r="E91" s="237"/>
      <c r="F91" s="237"/>
      <c r="G91" s="237"/>
      <c r="H91" s="237"/>
      <c r="I91" s="237"/>
      <c r="J91" s="237"/>
      <c r="K91" s="237"/>
      <c r="L91" s="237"/>
      <c r="M91" s="169"/>
      <c r="N91" s="89"/>
      <c r="O91" s="170"/>
    </row>
    <row r="92" spans="1:15" x14ac:dyDescent="0.2">
      <c r="A92" s="26"/>
      <c r="B92" s="26"/>
      <c r="C92" s="26"/>
      <c r="D92" s="235" t="s">
        <v>40</v>
      </c>
      <c r="E92" s="235"/>
      <c r="F92" s="235"/>
      <c r="G92" s="235"/>
      <c r="H92" s="27"/>
      <c r="I92" s="27"/>
      <c r="J92" s="27"/>
      <c r="K92" s="27"/>
      <c r="L92" s="27"/>
      <c r="M92" s="169"/>
      <c r="N92" s="89"/>
      <c r="O92" s="170"/>
    </row>
    <row r="93" spans="1:15" ht="65.25" customHeight="1" x14ac:dyDescent="0.2">
      <c r="A93" s="236" t="s">
        <v>23</v>
      </c>
      <c r="B93" s="236"/>
      <c r="C93" s="236"/>
      <c r="D93" s="237" t="s">
        <v>126</v>
      </c>
      <c r="E93" s="237"/>
      <c r="F93" s="237"/>
      <c r="G93" s="237"/>
      <c r="H93" s="237"/>
      <c r="I93" s="237"/>
      <c r="J93" s="237"/>
      <c r="K93" s="237"/>
      <c r="L93" s="237"/>
      <c r="M93" s="169"/>
      <c r="N93" s="89"/>
      <c r="O93" s="170"/>
    </row>
    <row r="94" spans="1:15" x14ac:dyDescent="0.2">
      <c r="A94" s="28"/>
      <c r="B94" s="28"/>
      <c r="C94" s="28"/>
      <c r="D94" s="235" t="s">
        <v>40</v>
      </c>
      <c r="E94" s="235"/>
      <c r="F94" s="235"/>
      <c r="G94" s="235"/>
      <c r="H94" s="27"/>
      <c r="I94" s="27"/>
      <c r="J94" s="27"/>
      <c r="K94" s="27"/>
      <c r="L94" s="27"/>
      <c r="M94" s="169"/>
      <c r="N94" s="89"/>
      <c r="O94" s="170"/>
    </row>
    <row r="95" spans="1:15" ht="15.95" customHeight="1" x14ac:dyDescent="0.2"/>
    <row r="96" spans="1:15" ht="15.95" customHeight="1" x14ac:dyDescent="0.2"/>
    <row r="97" ht="21.95" customHeight="1" x14ac:dyDescent="0.2"/>
    <row r="98" ht="15.75" customHeight="1" x14ac:dyDescent="0.2"/>
    <row r="99" ht="22.5" customHeight="1" x14ac:dyDescent="0.2"/>
    <row r="100" ht="15.95" customHeight="1" x14ac:dyDescent="0.2"/>
    <row r="101" ht="15.95" customHeight="1" x14ac:dyDescent="0.2"/>
    <row r="102" ht="15.95" customHeight="1" x14ac:dyDescent="0.2"/>
    <row r="103" ht="15.95" customHeight="1" x14ac:dyDescent="0.2"/>
    <row r="104" ht="18.75" customHeight="1" x14ac:dyDescent="0.2"/>
    <row r="105" ht="18" customHeight="1" x14ac:dyDescent="0.2"/>
    <row r="106" ht="18" customHeight="1" x14ac:dyDescent="0.2"/>
    <row r="107" ht="21.95" customHeight="1" x14ac:dyDescent="0.2"/>
    <row r="108" ht="12" customHeight="1" x14ac:dyDescent="0.2"/>
    <row r="110" ht="66.75" customHeight="1" x14ac:dyDescent="0.2"/>
    <row r="112" ht="65.25" customHeight="1" x14ac:dyDescent="0.2"/>
  </sheetData>
  <mergeCells count="147">
    <mergeCell ref="D92:G92"/>
    <mergeCell ref="A93:C93"/>
    <mergeCell ref="D93:L93"/>
    <mergeCell ref="D94:G94"/>
    <mergeCell ref="I89:J89"/>
    <mergeCell ref="F90:G90"/>
    <mergeCell ref="I90:J90"/>
    <mergeCell ref="K90:L90"/>
    <mergeCell ref="A91:C91"/>
    <mergeCell ref="D91:L91"/>
    <mergeCell ref="F86:G86"/>
    <mergeCell ref="I86:J86"/>
    <mergeCell ref="F87:G87"/>
    <mergeCell ref="I87:J87"/>
    <mergeCell ref="F88:G88"/>
    <mergeCell ref="I88:J88"/>
    <mergeCell ref="B80:G80"/>
    <mergeCell ref="K80:L80"/>
    <mergeCell ref="B81:G81"/>
    <mergeCell ref="K81:L81"/>
    <mergeCell ref="B82:G82"/>
    <mergeCell ref="K82:L82"/>
    <mergeCell ref="B75:G75"/>
    <mergeCell ref="K75:L75"/>
    <mergeCell ref="B76:G76"/>
    <mergeCell ref="K76:L76"/>
    <mergeCell ref="B77:G77"/>
    <mergeCell ref="K77:L77"/>
    <mergeCell ref="A69:K69"/>
    <mergeCell ref="B70:G70"/>
    <mergeCell ref="K70:L70"/>
    <mergeCell ref="B71:G71"/>
    <mergeCell ref="K71:L71"/>
    <mergeCell ref="B72:G72"/>
    <mergeCell ref="K72:L72"/>
    <mergeCell ref="B60:H60"/>
    <mergeCell ref="J60:K60"/>
    <mergeCell ref="A61:H61"/>
    <mergeCell ref="J61:K61"/>
    <mergeCell ref="A62:H62"/>
    <mergeCell ref="J62:K62"/>
    <mergeCell ref="A57:H57"/>
    <mergeCell ref="J57:K57"/>
    <mergeCell ref="A58:H58"/>
    <mergeCell ref="J58:K58"/>
    <mergeCell ref="A59:H59"/>
    <mergeCell ref="J59:K59"/>
    <mergeCell ref="E54:F54"/>
    <mergeCell ref="J54:K54"/>
    <mergeCell ref="B55:C55"/>
    <mergeCell ref="E55:F55"/>
    <mergeCell ref="J55:K55"/>
    <mergeCell ref="A56:I56"/>
    <mergeCell ref="J56:K56"/>
    <mergeCell ref="J51:K51"/>
    <mergeCell ref="B52:C52"/>
    <mergeCell ref="E52:F52"/>
    <mergeCell ref="J52:K52"/>
    <mergeCell ref="B53:C53"/>
    <mergeCell ref="E53:F53"/>
    <mergeCell ref="J53:K53"/>
    <mergeCell ref="A45:F45"/>
    <mergeCell ref="I45:K45"/>
    <mergeCell ref="A47:A48"/>
    <mergeCell ref="B47:C48"/>
    <mergeCell ref="D47:D48"/>
    <mergeCell ref="E47:F48"/>
    <mergeCell ref="G47:G48"/>
    <mergeCell ref="H47:I47"/>
    <mergeCell ref="J47:L47"/>
    <mergeCell ref="J48:K48"/>
    <mergeCell ref="A37:E37"/>
    <mergeCell ref="A38:E38"/>
    <mergeCell ref="B39:E39"/>
    <mergeCell ref="A40:F40"/>
    <mergeCell ref="A41:D41"/>
    <mergeCell ref="E41:F41"/>
    <mergeCell ref="E32:F32"/>
    <mergeCell ref="B33:C33"/>
    <mergeCell ref="E33:F33"/>
    <mergeCell ref="E34:F34"/>
    <mergeCell ref="A35:F35"/>
    <mergeCell ref="A36:E36"/>
    <mergeCell ref="E27:F27"/>
    <mergeCell ref="E28:F28"/>
    <mergeCell ref="B29:C29"/>
    <mergeCell ref="E29:F29"/>
    <mergeCell ref="E30:F30"/>
    <mergeCell ref="B31:C31"/>
    <mergeCell ref="E31:F31"/>
    <mergeCell ref="I1:L1"/>
    <mergeCell ref="A8:G8"/>
    <mergeCell ref="A9:L9"/>
    <mergeCell ref="A12:D12"/>
    <mergeCell ref="A14:G14"/>
    <mergeCell ref="B21:C21"/>
    <mergeCell ref="E21:F21"/>
    <mergeCell ref="G21:L21"/>
    <mergeCell ref="E22:F22"/>
    <mergeCell ref="K87:L87"/>
    <mergeCell ref="K89:L89"/>
    <mergeCell ref="K88:L88"/>
    <mergeCell ref="F89:G89"/>
    <mergeCell ref="K85:L85"/>
    <mergeCell ref="K86:L86"/>
    <mergeCell ref="K83:L83"/>
    <mergeCell ref="D85:E85"/>
    <mergeCell ref="F85:G85"/>
    <mergeCell ref="A86:B86"/>
    <mergeCell ref="B78:G78"/>
    <mergeCell ref="K78:L78"/>
    <mergeCell ref="B79:G79"/>
    <mergeCell ref="K79:L79"/>
    <mergeCell ref="B73:G73"/>
    <mergeCell ref="K73:L73"/>
    <mergeCell ref="B74:G74"/>
    <mergeCell ref="K74:L74"/>
    <mergeCell ref="A66:C66"/>
    <mergeCell ref="E66:F66"/>
    <mergeCell ref="E67:F67"/>
    <mergeCell ref="J64:K64"/>
    <mergeCell ref="A63:H63"/>
    <mergeCell ref="J63:K63"/>
    <mergeCell ref="A64:I64"/>
    <mergeCell ref="B51:C51"/>
    <mergeCell ref="E51:F51"/>
    <mergeCell ref="B54:C54"/>
    <mergeCell ref="E49:F49"/>
    <mergeCell ref="B49:C49"/>
    <mergeCell ref="J49:K49"/>
    <mergeCell ref="A50:K50"/>
    <mergeCell ref="A42:F42"/>
    <mergeCell ref="A43:E43"/>
    <mergeCell ref="A44:E44"/>
    <mergeCell ref="B25:C25"/>
    <mergeCell ref="E25:F25"/>
    <mergeCell ref="E26:F26"/>
    <mergeCell ref="B27:C27"/>
    <mergeCell ref="A15:G15"/>
    <mergeCell ref="A16:G16"/>
    <mergeCell ref="A17:G17"/>
    <mergeCell ref="B23:C23"/>
    <mergeCell ref="E23:F23"/>
    <mergeCell ref="A24:K24"/>
    <mergeCell ref="I2:L2"/>
    <mergeCell ref="A10:L10"/>
    <mergeCell ref="A13:D13"/>
  </mergeCells>
  <conditionalFormatting sqref="J25:K25 J27:K27 J29:K29 J31:K31 J33:K33 B26:C26 B28:C28 B30:C30 B32:C32 B34:C34">
    <cfRule type="cellIs" dxfId="1" priority="2" stopIfTrue="1" operator="equal">
      <formula>0</formula>
    </cfRule>
  </conditionalFormatting>
  <conditionalFormatting sqref="J37:J39">
    <cfRule type="cellIs" dxfId="0" priority="1" stopIfTrue="1" operator="equal">
      <formula>0</formula>
    </cfRule>
  </conditionalFormatting>
  <dataValidations count="1">
    <dataValidation type="list" allowBlank="1" showInputMessage="1" showErrorMessage="1" sqref="F37">
      <formula1>"1,1,1,15,1,2,"</formula1>
    </dataValidation>
  </dataValidations>
  <pageMargins left="0.75" right="0.25" top="1" bottom="1" header="0.5" footer="0.5"/>
  <pageSetup paperSize="9" scale="94" fitToHeight="10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</vt:lpstr>
    </vt:vector>
  </TitlesOfParts>
  <Company>ООО "Орбита-Союз"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Артём</dc:creator>
  <cp:lastModifiedBy>Артём</cp:lastModifiedBy>
  <cp:lastPrinted>2011-03-21T19:54:21Z</cp:lastPrinted>
  <dcterms:created xsi:type="dcterms:W3CDTF">2004-04-18T13:15:50Z</dcterms:created>
  <dcterms:modified xsi:type="dcterms:W3CDTF">2012-11-14T07:10:08Z</dcterms:modified>
</cp:coreProperties>
</file>