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80" windowHeight="1215" firstSheet="1" activeTab="1"/>
  </bookViews>
  <sheets>
    <sheet name="RV_Data" sheetId="7" state="hidden" r:id="rId1"/>
    <sheet name="Акт КС-2 по ТСН-2001" sheetId="6" r:id="rId2"/>
    <sheet name="Смета по ТСН-2001" sheetId="5" r:id="rId3"/>
    <sheet name="Source" sheetId="1" r:id="rId4"/>
    <sheet name="SmtRes" sheetId="2" r:id="rId5"/>
    <sheet name="EtalonRes" sheetId="3" r:id="rId6"/>
    <sheet name="ClcRes" sheetId="4" r:id="rId7"/>
  </sheets>
  <definedNames>
    <definedName name="_xlnm.Print_Titles" localSheetId="1">'Акт КС-2 по ТСН-2001'!$32:$32</definedName>
    <definedName name="_xlnm.Print_Titles" localSheetId="2">'Смета по ТСН-2001'!$39:$39</definedName>
    <definedName name="_xlnm.Print_Area" localSheetId="1">'Акт КС-2 по ТСН-2001'!$A$1:$L$124</definedName>
    <definedName name="_xlnm.Print_Area" localSheetId="2">'Смета по ТСН-2001'!$A$1:$K$109</definedName>
  </definedNames>
  <calcPr calcId="125725" fullCalcOnLoad="1"/>
</workbook>
</file>

<file path=xl/calcChain.xml><?xml version="1.0" encoding="utf-8"?>
<calcChain xmlns="http://schemas.openxmlformats.org/spreadsheetml/2006/main">
  <c r="B76" i="6"/>
  <c r="B66"/>
  <c r="B60"/>
  <c r="B59"/>
  <c r="B54"/>
  <c r="B48"/>
  <c r="B43"/>
  <c r="B33"/>
  <c r="I122"/>
  <c r="D122"/>
  <c r="I119"/>
  <c r="D119"/>
  <c r="H114"/>
  <c r="G114"/>
  <c r="E114"/>
  <c r="D114"/>
  <c r="C114"/>
  <c r="F113"/>
  <c r="G113"/>
  <c r="E113"/>
  <c r="D113"/>
  <c r="C113"/>
  <c r="H112"/>
  <c r="G112"/>
  <c r="E112"/>
  <c r="D112"/>
  <c r="C112"/>
  <c r="F111"/>
  <c r="G111"/>
  <c r="E111"/>
  <c r="D111"/>
  <c r="C111"/>
  <c r="G110"/>
  <c r="E110"/>
  <c r="D110"/>
  <c r="C110"/>
  <c r="G109"/>
  <c r="E109"/>
  <c r="D109"/>
  <c r="C109"/>
  <c r="G108"/>
  <c r="E108"/>
  <c r="D108"/>
  <c r="C108"/>
  <c r="G107"/>
  <c r="E107"/>
  <c r="D107"/>
  <c r="C107"/>
  <c r="G104"/>
  <c r="E104"/>
  <c r="D104"/>
  <c r="C104"/>
  <c r="F103"/>
  <c r="G103"/>
  <c r="E103"/>
  <c r="D103"/>
  <c r="C103"/>
  <c r="G102"/>
  <c r="E102"/>
  <c r="D102"/>
  <c r="C102"/>
  <c r="G99"/>
  <c r="E99"/>
  <c r="D99"/>
  <c r="C99"/>
  <c r="AA13" i="7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H113" i="6" s="1"/>
  <c r="G13" i="7"/>
  <c r="F13"/>
  <c r="E13"/>
  <c r="D13"/>
  <c r="C13"/>
  <c r="B13"/>
  <c r="A13"/>
  <c r="AA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F112" i="6" s="1"/>
  <c r="E12" i="7"/>
  <c r="D12"/>
  <c r="C12"/>
  <c r="B12"/>
  <c r="A12"/>
  <c r="AA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H110" i="6" s="1"/>
  <c r="G10" i="7"/>
  <c r="F10"/>
  <c r="F110" i="6" s="1"/>
  <c r="E10" i="7"/>
  <c r="D10"/>
  <c r="C10"/>
  <c r="B10"/>
  <c r="A10"/>
  <c r="H6"/>
  <c r="H104" i="6" s="1"/>
  <c r="G6" i="7"/>
  <c r="F6"/>
  <c r="F104" i="6" s="1"/>
  <c r="E6" i="7"/>
  <c r="D6"/>
  <c r="C6"/>
  <c r="B6"/>
  <c r="A6"/>
  <c r="H5"/>
  <c r="H103" i="6" s="1"/>
  <c r="G5" i="7"/>
  <c r="F5"/>
  <c r="E5"/>
  <c r="D5"/>
  <c r="C5"/>
  <c r="B5"/>
  <c r="A5"/>
  <c r="H4"/>
  <c r="H102" i="6" s="1"/>
  <c r="G105" s="1"/>
  <c r="G4" i="7"/>
  <c r="F4"/>
  <c r="F102" i="6" s="1"/>
  <c r="E4" i="7"/>
  <c r="D4"/>
  <c r="C4"/>
  <c r="B4"/>
  <c r="A4"/>
  <c r="H3"/>
  <c r="G3"/>
  <c r="F3"/>
  <c r="E3"/>
  <c r="D3"/>
  <c r="C3"/>
  <c r="B3"/>
  <c r="A3"/>
  <c r="AA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F114" i="6" s="1"/>
  <c r="E14" i="7"/>
  <c r="D14"/>
  <c r="C14"/>
  <c r="B14"/>
  <c r="A14"/>
  <c r="AA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H111" i="6" s="1"/>
  <c r="G11" i="7"/>
  <c r="F11"/>
  <c r="E11"/>
  <c r="D11"/>
  <c r="C11"/>
  <c r="B11"/>
  <c r="A11"/>
  <c r="AA9"/>
  <c r="Y9"/>
  <c r="X9"/>
  <c r="W9"/>
  <c r="V9"/>
  <c r="U9"/>
  <c r="T9"/>
  <c r="S9"/>
  <c r="R9"/>
  <c r="Q9"/>
  <c r="P9"/>
  <c r="O9"/>
  <c r="N9"/>
  <c r="M9"/>
  <c r="L9"/>
  <c r="K9"/>
  <c r="J9"/>
  <c r="I9"/>
  <c r="H9"/>
  <c r="H109" i="6" s="1"/>
  <c r="G9" i="7"/>
  <c r="F9"/>
  <c r="F109" i="6" s="1"/>
  <c r="E9" i="7"/>
  <c r="D9"/>
  <c r="C9"/>
  <c r="B9"/>
  <c r="A9"/>
  <c r="AA8"/>
  <c r="Y8"/>
  <c r="X8"/>
  <c r="W8"/>
  <c r="V8"/>
  <c r="U8"/>
  <c r="T8"/>
  <c r="S8"/>
  <c r="R8"/>
  <c r="Q8"/>
  <c r="P8"/>
  <c r="O8"/>
  <c r="N8"/>
  <c r="M8"/>
  <c r="L8"/>
  <c r="K8"/>
  <c r="J8"/>
  <c r="I8"/>
  <c r="H8"/>
  <c r="H108" i="6" s="1"/>
  <c r="G8" i="7"/>
  <c r="F8"/>
  <c r="F108" i="6" s="1"/>
  <c r="E8" i="7"/>
  <c r="D8"/>
  <c r="C8"/>
  <c r="B8"/>
  <c r="A8"/>
  <c r="H2"/>
  <c r="H99" i="6" s="1"/>
  <c r="G100" s="1"/>
  <c r="G2" i="7"/>
  <c r="F2"/>
  <c r="E2"/>
  <c r="D2"/>
  <c r="C2"/>
  <c r="B2"/>
  <c r="A2"/>
  <c r="AA7"/>
  <c r="Y7"/>
  <c r="X7"/>
  <c r="W7"/>
  <c r="V7"/>
  <c r="U7"/>
  <c r="T7"/>
  <c r="S7"/>
  <c r="R7"/>
  <c r="Q7"/>
  <c r="P7"/>
  <c r="O7"/>
  <c r="N7"/>
  <c r="M7"/>
  <c r="L7"/>
  <c r="K7"/>
  <c r="J7"/>
  <c r="I7"/>
  <c r="H7"/>
  <c r="H107" i="6" s="1"/>
  <c r="G7" i="7"/>
  <c r="F7"/>
  <c r="F107" i="6" s="1"/>
  <c r="E7" i="7"/>
  <c r="D7"/>
  <c r="C7"/>
  <c r="B7"/>
  <c r="A7"/>
  <c r="H1"/>
  <c r="G1"/>
  <c r="F1"/>
  <c r="F99" i="6" s="1"/>
  <c r="E1" i="7"/>
  <c r="D1"/>
  <c r="C1"/>
  <c r="B1"/>
  <c r="A1"/>
  <c r="H24" i="6"/>
  <c r="D92"/>
  <c r="D91"/>
  <c r="D90"/>
  <c r="E89"/>
  <c r="Y85"/>
  <c r="X85"/>
  <c r="W85"/>
  <c r="V85"/>
  <c r="S85"/>
  <c r="R85"/>
  <c r="Q85"/>
  <c r="P85"/>
  <c r="M85"/>
  <c r="J84"/>
  <c r="I84"/>
  <c r="H84"/>
  <c r="F84"/>
  <c r="L83"/>
  <c r="J83"/>
  <c r="K82"/>
  <c r="L82"/>
  <c r="F82"/>
  <c r="J82" s="1"/>
  <c r="K81"/>
  <c r="L81"/>
  <c r="F81"/>
  <c r="J81" s="1"/>
  <c r="J80"/>
  <c r="L80"/>
  <c r="L85" s="1"/>
  <c r="O85" s="1"/>
  <c r="K80"/>
  <c r="I80"/>
  <c r="H80"/>
  <c r="G80"/>
  <c r="L79"/>
  <c r="K79"/>
  <c r="J79" s="1"/>
  <c r="I79"/>
  <c r="H79"/>
  <c r="G79"/>
  <c r="L78"/>
  <c r="K78"/>
  <c r="J78"/>
  <c r="I78"/>
  <c r="H78"/>
  <c r="G78"/>
  <c r="L77"/>
  <c r="K77"/>
  <c r="J77"/>
  <c r="I77"/>
  <c r="H77"/>
  <c r="G77"/>
  <c r="F76"/>
  <c r="E76"/>
  <c r="D76"/>
  <c r="C76"/>
  <c r="Y75"/>
  <c r="X75"/>
  <c r="W75"/>
  <c r="V75"/>
  <c r="S75"/>
  <c r="R75"/>
  <c r="Q75"/>
  <c r="P75"/>
  <c r="M75"/>
  <c r="J74"/>
  <c r="I74"/>
  <c r="H74"/>
  <c r="F74"/>
  <c r="L73"/>
  <c r="J73"/>
  <c r="K72"/>
  <c r="L72"/>
  <c r="F72"/>
  <c r="J72" s="1"/>
  <c r="K71"/>
  <c r="L71"/>
  <c r="F71"/>
  <c r="J71" s="1"/>
  <c r="J70"/>
  <c r="L70"/>
  <c r="L75" s="1"/>
  <c r="O75" s="1"/>
  <c r="K70"/>
  <c r="I70"/>
  <c r="H70"/>
  <c r="G70"/>
  <c r="J69"/>
  <c r="L69"/>
  <c r="K69"/>
  <c r="M69" s="1"/>
  <c r="I69"/>
  <c r="H69"/>
  <c r="G69"/>
  <c r="L68"/>
  <c r="K68"/>
  <c r="J68"/>
  <c r="I68"/>
  <c r="H68"/>
  <c r="G68"/>
  <c r="L67"/>
  <c r="K67"/>
  <c r="J67"/>
  <c r="I67"/>
  <c r="H67"/>
  <c r="G67"/>
  <c r="F66"/>
  <c r="E66"/>
  <c r="D66"/>
  <c r="C66"/>
  <c r="Y65"/>
  <c r="X65"/>
  <c r="W65"/>
  <c r="V65"/>
  <c r="S65"/>
  <c r="R65"/>
  <c r="Q65"/>
  <c r="P65"/>
  <c r="M65"/>
  <c r="J64"/>
  <c r="I64"/>
  <c r="H64"/>
  <c r="F64"/>
  <c r="L63"/>
  <c r="J63"/>
  <c r="K62"/>
  <c r="L62"/>
  <c r="F62"/>
  <c r="J62" s="1"/>
  <c r="K61"/>
  <c r="L61"/>
  <c r="F61"/>
  <c r="J61" s="1"/>
  <c r="Y60"/>
  <c r="X60"/>
  <c r="W60"/>
  <c r="V60"/>
  <c r="S60"/>
  <c r="R60"/>
  <c r="Q60"/>
  <c r="P60"/>
  <c r="L60"/>
  <c r="K60"/>
  <c r="J60"/>
  <c r="I60"/>
  <c r="H60"/>
  <c r="G60"/>
  <c r="F60"/>
  <c r="E60"/>
  <c r="D60"/>
  <c r="C60"/>
  <c r="Y59"/>
  <c r="X59"/>
  <c r="W59"/>
  <c r="V59"/>
  <c r="S59"/>
  <c r="R59"/>
  <c r="Q59"/>
  <c r="P59"/>
  <c r="L59"/>
  <c r="K59"/>
  <c r="J59"/>
  <c r="I59"/>
  <c r="H59"/>
  <c r="G59"/>
  <c r="F59"/>
  <c r="E59"/>
  <c r="D59"/>
  <c r="C59"/>
  <c r="J58"/>
  <c r="L58"/>
  <c r="L65" s="1"/>
  <c r="O65" s="1"/>
  <c r="K58"/>
  <c r="I58"/>
  <c r="H58"/>
  <c r="G58"/>
  <c r="L57"/>
  <c r="K57"/>
  <c r="J57" s="1"/>
  <c r="I57"/>
  <c r="H57"/>
  <c r="G57"/>
  <c r="L56"/>
  <c r="K56"/>
  <c r="J56"/>
  <c r="I56"/>
  <c r="H56"/>
  <c r="G56"/>
  <c r="L55"/>
  <c r="K55"/>
  <c r="J55"/>
  <c r="I55"/>
  <c r="H55"/>
  <c r="G55"/>
  <c r="F54"/>
  <c r="E54"/>
  <c r="D54"/>
  <c r="C54"/>
  <c r="Y53"/>
  <c r="X53"/>
  <c r="W53"/>
  <c r="V53"/>
  <c r="S53"/>
  <c r="R53"/>
  <c r="Q53"/>
  <c r="P53"/>
  <c r="M53"/>
  <c r="J52"/>
  <c r="I52"/>
  <c r="H52"/>
  <c r="F52"/>
  <c r="L51"/>
  <c r="J51"/>
  <c r="K50"/>
  <c r="L50"/>
  <c r="F50"/>
  <c r="J50" s="1"/>
  <c r="K49"/>
  <c r="L49"/>
  <c r="F49"/>
  <c r="J49" s="1"/>
  <c r="Y48"/>
  <c r="X48"/>
  <c r="W48"/>
  <c r="V48"/>
  <c r="S48"/>
  <c r="R48"/>
  <c r="Q48"/>
  <c r="P48"/>
  <c r="L48"/>
  <c r="K48"/>
  <c r="J48"/>
  <c r="I48"/>
  <c r="H48"/>
  <c r="G48"/>
  <c r="F48"/>
  <c r="E48"/>
  <c r="D48"/>
  <c r="C48"/>
  <c r="J47"/>
  <c r="L47"/>
  <c r="L53" s="1"/>
  <c r="O53" s="1"/>
  <c r="K47"/>
  <c r="I47"/>
  <c r="H47"/>
  <c r="G47"/>
  <c r="L46"/>
  <c r="K46"/>
  <c r="J46" s="1"/>
  <c r="I46"/>
  <c r="H46"/>
  <c r="G46"/>
  <c r="L45"/>
  <c r="K45"/>
  <c r="J45"/>
  <c r="I45"/>
  <c r="H45"/>
  <c r="G45"/>
  <c r="L44"/>
  <c r="K44"/>
  <c r="J44"/>
  <c r="I44"/>
  <c r="H44"/>
  <c r="G44"/>
  <c r="F43"/>
  <c r="E43"/>
  <c r="D43"/>
  <c r="C43"/>
  <c r="Y42"/>
  <c r="X42"/>
  <c r="W42"/>
  <c r="V42"/>
  <c r="S42"/>
  <c r="R42"/>
  <c r="Q42"/>
  <c r="P42"/>
  <c r="M42"/>
  <c r="J41"/>
  <c r="I41"/>
  <c r="H41"/>
  <c r="F41"/>
  <c r="L40"/>
  <c r="J40"/>
  <c r="K39"/>
  <c r="L39"/>
  <c r="F39"/>
  <c r="J39" s="1"/>
  <c r="K38"/>
  <c r="L38"/>
  <c r="F38"/>
  <c r="J38" s="1"/>
  <c r="J37"/>
  <c r="L37"/>
  <c r="L42" s="1"/>
  <c r="O42" s="1"/>
  <c r="K37"/>
  <c r="I37"/>
  <c r="H37"/>
  <c r="G37"/>
  <c r="J36"/>
  <c r="L36"/>
  <c r="K36"/>
  <c r="M36" s="1"/>
  <c r="I36"/>
  <c r="H36"/>
  <c r="G36"/>
  <c r="L35"/>
  <c r="K35"/>
  <c r="J35"/>
  <c r="I35"/>
  <c r="H35"/>
  <c r="G35"/>
  <c r="L34"/>
  <c r="K34"/>
  <c r="J34"/>
  <c r="I34"/>
  <c r="H34"/>
  <c r="G34"/>
  <c r="F33"/>
  <c r="E33"/>
  <c r="D33"/>
  <c r="C33"/>
  <c r="F25"/>
  <c r="E25"/>
  <c r="AB11"/>
  <c r="D11"/>
  <c r="AB10"/>
  <c r="D10"/>
  <c r="AB9"/>
  <c r="D9"/>
  <c r="AB8"/>
  <c r="D8"/>
  <c r="A1"/>
  <c r="H107" i="5"/>
  <c r="C107"/>
  <c r="H104"/>
  <c r="C104"/>
  <c r="J27"/>
  <c r="C99"/>
  <c r="C98"/>
  <c r="C97"/>
  <c r="D96"/>
  <c r="X92"/>
  <c r="W92"/>
  <c r="V92"/>
  <c r="U92"/>
  <c r="R92"/>
  <c r="Q92"/>
  <c r="P92"/>
  <c r="O92"/>
  <c r="L92"/>
  <c r="I91"/>
  <c r="H91"/>
  <c r="G91"/>
  <c r="E91"/>
  <c r="K90"/>
  <c r="I90"/>
  <c r="I89"/>
  <c r="J89"/>
  <c r="K89"/>
  <c r="E89"/>
  <c r="I88"/>
  <c r="J88"/>
  <c r="K88"/>
  <c r="E88"/>
  <c r="I87"/>
  <c r="I92" s="1"/>
  <c r="M92" s="1"/>
  <c r="K87"/>
  <c r="K92" s="1"/>
  <c r="N92" s="1"/>
  <c r="J87"/>
  <c r="H87"/>
  <c r="G87"/>
  <c r="F87"/>
  <c r="K86"/>
  <c r="J86"/>
  <c r="I86" s="1"/>
  <c r="H86"/>
  <c r="G86"/>
  <c r="F86"/>
  <c r="K85"/>
  <c r="J85"/>
  <c r="I85"/>
  <c r="H85"/>
  <c r="G85"/>
  <c r="F85"/>
  <c r="K84"/>
  <c r="J84"/>
  <c r="I84"/>
  <c r="H84"/>
  <c r="G84"/>
  <c r="F84"/>
  <c r="E83"/>
  <c r="D83"/>
  <c r="C83"/>
  <c r="B83"/>
  <c r="A83"/>
  <c r="X82"/>
  <c r="W82"/>
  <c r="V82"/>
  <c r="U82"/>
  <c r="R82"/>
  <c r="Q82"/>
  <c r="P82"/>
  <c r="O82"/>
  <c r="L82"/>
  <c r="I81"/>
  <c r="H81"/>
  <c r="G81"/>
  <c r="E81"/>
  <c r="K80"/>
  <c r="I80"/>
  <c r="J79"/>
  <c r="K79"/>
  <c r="E79"/>
  <c r="I79" s="1"/>
  <c r="J78"/>
  <c r="K78"/>
  <c r="E78"/>
  <c r="I78" s="1"/>
  <c r="I77"/>
  <c r="K77"/>
  <c r="K82" s="1"/>
  <c r="N82" s="1"/>
  <c r="J77"/>
  <c r="H77"/>
  <c r="G77"/>
  <c r="F77"/>
  <c r="I76"/>
  <c r="K76"/>
  <c r="J76"/>
  <c r="L76" s="1"/>
  <c r="H76"/>
  <c r="G76"/>
  <c r="F76"/>
  <c r="K75"/>
  <c r="J75"/>
  <c r="I75"/>
  <c r="H75"/>
  <c r="G75"/>
  <c r="F75"/>
  <c r="K74"/>
  <c r="J74"/>
  <c r="I74"/>
  <c r="H74"/>
  <c r="G74"/>
  <c r="F74"/>
  <c r="E73"/>
  <c r="D73"/>
  <c r="C73"/>
  <c r="B73"/>
  <c r="A73"/>
  <c r="X72"/>
  <c r="W72"/>
  <c r="V72"/>
  <c r="U72"/>
  <c r="R72"/>
  <c r="Q72"/>
  <c r="P72"/>
  <c r="O72"/>
  <c r="L72"/>
  <c r="I71"/>
  <c r="H71"/>
  <c r="G71"/>
  <c r="E71"/>
  <c r="K70"/>
  <c r="I70"/>
  <c r="J69"/>
  <c r="K69"/>
  <c r="E69"/>
  <c r="I69" s="1"/>
  <c r="J68"/>
  <c r="K68"/>
  <c r="E68"/>
  <c r="I68" s="1"/>
  <c r="X67"/>
  <c r="W67"/>
  <c r="V67"/>
  <c r="U67"/>
  <c r="R67"/>
  <c r="Q67"/>
  <c r="P67"/>
  <c r="O67"/>
  <c r="K67"/>
  <c r="J67"/>
  <c r="I67"/>
  <c r="H67"/>
  <c r="G67"/>
  <c r="F67"/>
  <c r="E67"/>
  <c r="D67"/>
  <c r="C67"/>
  <c r="B67"/>
  <c r="A67"/>
  <c r="X66"/>
  <c r="W66"/>
  <c r="V66"/>
  <c r="U66"/>
  <c r="R66"/>
  <c r="Q66"/>
  <c r="P66"/>
  <c r="O66"/>
  <c r="K66"/>
  <c r="J66"/>
  <c r="I66"/>
  <c r="H66"/>
  <c r="G66"/>
  <c r="F66"/>
  <c r="E66"/>
  <c r="D66"/>
  <c r="C66"/>
  <c r="B66"/>
  <c r="A66"/>
  <c r="I65"/>
  <c r="K65"/>
  <c r="K72" s="1"/>
  <c r="N72" s="1"/>
  <c r="J65"/>
  <c r="H65"/>
  <c r="G65"/>
  <c r="F65"/>
  <c r="K64"/>
  <c r="J64"/>
  <c r="I64" s="1"/>
  <c r="H64"/>
  <c r="G64"/>
  <c r="F64"/>
  <c r="K63"/>
  <c r="J63"/>
  <c r="I63"/>
  <c r="H63"/>
  <c r="G63"/>
  <c r="F63"/>
  <c r="K62"/>
  <c r="J62"/>
  <c r="I62"/>
  <c r="H62"/>
  <c r="G62"/>
  <c r="F62"/>
  <c r="E61"/>
  <c r="D61"/>
  <c r="C61"/>
  <c r="B61"/>
  <c r="A61"/>
  <c r="X60"/>
  <c r="W60"/>
  <c r="V60"/>
  <c r="U60"/>
  <c r="R60"/>
  <c r="Q60"/>
  <c r="P60"/>
  <c r="O60"/>
  <c r="L60"/>
  <c r="I59"/>
  <c r="H59"/>
  <c r="G59"/>
  <c r="E59"/>
  <c r="K58"/>
  <c r="I58"/>
  <c r="J57"/>
  <c r="K57"/>
  <c r="E57"/>
  <c r="I57" s="1"/>
  <c r="J56"/>
  <c r="K56"/>
  <c r="E56"/>
  <c r="I56" s="1"/>
  <c r="X55"/>
  <c r="J31" s="1"/>
  <c r="W55"/>
  <c r="V55"/>
  <c r="U55"/>
  <c r="J28" s="1"/>
  <c r="R55"/>
  <c r="I31" s="1"/>
  <c r="Q55"/>
  <c r="P55"/>
  <c r="O55"/>
  <c r="I28" s="1"/>
  <c r="K55"/>
  <c r="J55"/>
  <c r="I55"/>
  <c r="H55"/>
  <c r="G55"/>
  <c r="F55"/>
  <c r="E55"/>
  <c r="D55"/>
  <c r="C55"/>
  <c r="B55"/>
  <c r="A55"/>
  <c r="I54"/>
  <c r="I60" s="1"/>
  <c r="M60" s="1"/>
  <c r="K54"/>
  <c r="K60" s="1"/>
  <c r="N60" s="1"/>
  <c r="J54"/>
  <c r="H54"/>
  <c r="G54"/>
  <c r="F54"/>
  <c r="K53"/>
  <c r="J53"/>
  <c r="I53" s="1"/>
  <c r="H53"/>
  <c r="G53"/>
  <c r="F53"/>
  <c r="K52"/>
  <c r="J52"/>
  <c r="I52"/>
  <c r="H52"/>
  <c r="G52"/>
  <c r="F52"/>
  <c r="K51"/>
  <c r="J51"/>
  <c r="I51"/>
  <c r="H51"/>
  <c r="G51"/>
  <c r="F51"/>
  <c r="E50"/>
  <c r="D50"/>
  <c r="C50"/>
  <c r="B50"/>
  <c r="A50"/>
  <c r="X49"/>
  <c r="W49"/>
  <c r="J30" s="1"/>
  <c r="V49"/>
  <c r="J29" s="1"/>
  <c r="U49"/>
  <c r="R49"/>
  <c r="Q49"/>
  <c r="I30" s="1"/>
  <c r="P49"/>
  <c r="I29" s="1"/>
  <c r="O49"/>
  <c r="L49"/>
  <c r="I48"/>
  <c r="H48"/>
  <c r="G48"/>
  <c r="E48"/>
  <c r="K47"/>
  <c r="I47"/>
  <c r="J46"/>
  <c r="K46"/>
  <c r="E46"/>
  <c r="I46" s="1"/>
  <c r="J45"/>
  <c r="K45"/>
  <c r="E45"/>
  <c r="I45" s="1"/>
  <c r="I49" s="1"/>
  <c r="M49" s="1"/>
  <c r="I44"/>
  <c r="K44"/>
  <c r="K49" s="1"/>
  <c r="N49" s="1"/>
  <c r="J94" s="1"/>
  <c r="J100" s="1"/>
  <c r="J44"/>
  <c r="H44"/>
  <c r="G44"/>
  <c r="F44"/>
  <c r="L43"/>
  <c r="I43"/>
  <c r="K43"/>
  <c r="J43"/>
  <c r="H43"/>
  <c r="G43"/>
  <c r="F43"/>
  <c r="K42"/>
  <c r="J42"/>
  <c r="I42"/>
  <c r="H42"/>
  <c r="G42"/>
  <c r="F42"/>
  <c r="K41"/>
  <c r="J41"/>
  <c r="I41"/>
  <c r="H41"/>
  <c r="G41"/>
  <c r="F41"/>
  <c r="E40"/>
  <c r="D40"/>
  <c r="C40"/>
  <c r="B40"/>
  <c r="A40"/>
  <c r="E33"/>
  <c r="D33"/>
  <c r="AA23"/>
  <c r="A23"/>
  <c r="AA20"/>
  <c r="B20"/>
  <c r="AA18"/>
  <c r="A18"/>
  <c r="AA15"/>
  <c r="A15"/>
  <c r="AA12"/>
  <c r="A12"/>
  <c r="C7"/>
  <c r="H7"/>
  <c r="I5"/>
  <c r="C5"/>
  <c r="F5"/>
  <c r="A5"/>
  <c r="A1"/>
  <c r="CX31" i="1"/>
  <c r="W31"/>
  <c r="CW31"/>
  <c r="V31"/>
  <c r="CT31"/>
  <c r="S31"/>
  <c r="CS31"/>
  <c r="AJ31"/>
  <c r="AI31"/>
  <c r="AH31"/>
  <c r="CV31"/>
  <c r="U31"/>
  <c r="AG31"/>
  <c r="CU31"/>
  <c r="T31"/>
  <c r="AF31"/>
  <c r="AE31"/>
  <c r="AD31"/>
  <c r="CR31"/>
  <c r="Q31"/>
  <c r="AC31"/>
  <c r="CQ31"/>
  <c r="P31"/>
  <c r="CV30"/>
  <c r="U30"/>
  <c r="CU30"/>
  <c r="CR30"/>
  <c r="Q30"/>
  <c r="CQ30"/>
  <c r="P30"/>
  <c r="AJ30"/>
  <c r="CX30"/>
  <c r="W30"/>
  <c r="AI30"/>
  <c r="CW30"/>
  <c r="V30"/>
  <c r="AH30"/>
  <c r="AG30"/>
  <c r="AF30"/>
  <c r="CT30"/>
  <c r="S30"/>
  <c r="AE30"/>
  <c r="CS30"/>
  <c r="R30"/>
  <c r="AD30"/>
  <c r="AB30"/>
  <c r="AC30"/>
  <c r="CX29"/>
  <c r="W29"/>
  <c r="CW29"/>
  <c r="CV29"/>
  <c r="CU29"/>
  <c r="CT29"/>
  <c r="S29"/>
  <c r="CP29"/>
  <c r="CS29"/>
  <c r="CR29"/>
  <c r="CQ29"/>
  <c r="AB29"/>
  <c r="CX28"/>
  <c r="CW28"/>
  <c r="CV28"/>
  <c r="U28"/>
  <c r="CU28"/>
  <c r="T28"/>
  <c r="CT28"/>
  <c r="CS28"/>
  <c r="CR28"/>
  <c r="Q28"/>
  <c r="CQ28"/>
  <c r="AB28"/>
  <c r="CX27"/>
  <c r="W27"/>
  <c r="CW27"/>
  <c r="CT27"/>
  <c r="S27"/>
  <c r="CS27"/>
  <c r="R27"/>
  <c r="AJ27"/>
  <c r="AI27"/>
  <c r="AH27"/>
  <c r="CV27"/>
  <c r="U27"/>
  <c r="AG27"/>
  <c r="CU27"/>
  <c r="T27"/>
  <c r="AF27"/>
  <c r="AE27"/>
  <c r="AD27"/>
  <c r="CR27"/>
  <c r="Q27"/>
  <c r="AC27"/>
  <c r="CQ27"/>
  <c r="P27"/>
  <c r="CX26"/>
  <c r="CW26"/>
  <c r="CV26"/>
  <c r="CU26"/>
  <c r="CT26"/>
  <c r="CS26"/>
  <c r="CR26"/>
  <c r="CQ26"/>
  <c r="P26"/>
  <c r="AB26"/>
  <c r="CX25"/>
  <c r="CW25"/>
  <c r="V25"/>
  <c r="CT25"/>
  <c r="CS25"/>
  <c r="R25"/>
  <c r="AJ25"/>
  <c r="AI25"/>
  <c r="AH25"/>
  <c r="CV25"/>
  <c r="U25"/>
  <c r="AG25"/>
  <c r="CU25"/>
  <c r="T25"/>
  <c r="AF25"/>
  <c r="AE25"/>
  <c r="AD25"/>
  <c r="CR25"/>
  <c r="Q25"/>
  <c r="AC25"/>
  <c r="CQ25"/>
  <c r="P25"/>
  <c r="CV24"/>
  <c r="U24"/>
  <c r="CU24"/>
  <c r="CR24"/>
  <c r="CQ24"/>
  <c r="AJ24"/>
  <c r="CX24"/>
  <c r="W24"/>
  <c r="AI24"/>
  <c r="CW24"/>
  <c r="V24"/>
  <c r="AH24"/>
  <c r="AG24"/>
  <c r="AF24"/>
  <c r="CT24"/>
  <c r="S24"/>
  <c r="AE24"/>
  <c r="CS24"/>
  <c r="R24"/>
  <c r="AD24"/>
  <c r="AB24"/>
  <c r="AC24"/>
  <c r="A1" i="3"/>
  <c r="A2"/>
  <c r="A3"/>
  <c r="A4"/>
  <c r="A5"/>
  <c r="A6"/>
  <c r="A7"/>
  <c r="A8"/>
  <c r="A9"/>
  <c r="A10"/>
  <c r="A11"/>
  <c r="A12"/>
  <c r="A13"/>
  <c r="A14"/>
  <c r="A1" i="2"/>
  <c r="A2"/>
  <c r="A3"/>
  <c r="A4"/>
  <c r="A5"/>
  <c r="A6"/>
  <c r="A7"/>
  <c r="A8"/>
  <c r="A9"/>
  <c r="A10"/>
  <c r="A11"/>
  <c r="A12"/>
  <c r="A13"/>
  <c r="A14"/>
  <c r="D12" i="1"/>
  <c r="B18"/>
  <c r="E18"/>
  <c r="F18"/>
  <c r="H18"/>
  <c r="I18"/>
  <c r="J18"/>
  <c r="K18"/>
  <c r="L18"/>
  <c r="M18"/>
  <c r="N18"/>
  <c r="Z18"/>
  <c r="AA18"/>
  <c r="AB18"/>
  <c r="AC18"/>
  <c r="AD18"/>
  <c r="AE18"/>
  <c r="AF18"/>
  <c r="AG18"/>
  <c r="AH18"/>
  <c r="AI18"/>
  <c r="AJ18"/>
  <c r="AK18"/>
  <c r="AL18"/>
  <c r="AM18"/>
  <c r="AO18"/>
  <c r="AQ18"/>
  <c r="D20"/>
  <c r="B22"/>
  <c r="E22"/>
  <c r="F22"/>
  <c r="G22"/>
  <c r="H22"/>
  <c r="I22"/>
  <c r="J22"/>
  <c r="K22"/>
  <c r="L22"/>
  <c r="M22"/>
  <c r="N22"/>
  <c r="Z22"/>
  <c r="AA22"/>
  <c r="AM22"/>
  <c r="C24"/>
  <c r="D24"/>
  <c r="Q24"/>
  <c r="T24"/>
  <c r="FR24"/>
  <c r="C25"/>
  <c r="D25"/>
  <c r="W25"/>
  <c r="FR25"/>
  <c r="I26"/>
  <c r="AC26"/>
  <c r="AD26"/>
  <c r="Q26"/>
  <c r="AE26"/>
  <c r="R26"/>
  <c r="AF26"/>
  <c r="AG26"/>
  <c r="AH26"/>
  <c r="U26"/>
  <c r="AI26"/>
  <c r="V26"/>
  <c r="AJ26"/>
  <c r="S26"/>
  <c r="T26"/>
  <c r="W26"/>
  <c r="FR26"/>
  <c r="C27"/>
  <c r="D27"/>
  <c r="V27"/>
  <c r="FR27"/>
  <c r="I28"/>
  <c r="AC28"/>
  <c r="AD28"/>
  <c r="AE28"/>
  <c r="R28"/>
  <c r="AF28"/>
  <c r="S28"/>
  <c r="AG28"/>
  <c r="AH28"/>
  <c r="AI28"/>
  <c r="V28"/>
  <c r="AJ28"/>
  <c r="W28"/>
  <c r="P28"/>
  <c r="CP28"/>
  <c r="FR28"/>
  <c r="I29"/>
  <c r="AC29"/>
  <c r="AD29"/>
  <c r="Q29"/>
  <c r="AE29"/>
  <c r="R29"/>
  <c r="AF29"/>
  <c r="AG29"/>
  <c r="AH29"/>
  <c r="U29"/>
  <c r="AI29"/>
  <c r="V29"/>
  <c r="AJ29"/>
  <c r="P29"/>
  <c r="T29"/>
  <c r="FR29"/>
  <c r="T30"/>
  <c r="FR30"/>
  <c r="R31"/>
  <c r="FR31"/>
  <c r="B33"/>
  <c r="C33"/>
  <c r="C22"/>
  <c r="D33"/>
  <c r="D22"/>
  <c r="F33"/>
  <c r="G33"/>
  <c r="AO33"/>
  <c r="AO22"/>
  <c r="B53"/>
  <c r="C53"/>
  <c r="C18"/>
  <c r="D53"/>
  <c r="D18"/>
  <c r="F53"/>
  <c r="G53"/>
  <c r="G18"/>
  <c r="O26"/>
  <c r="CP26"/>
  <c r="CP27"/>
  <c r="O27"/>
  <c r="CP30"/>
  <c r="O30"/>
  <c r="CP31"/>
  <c r="O31"/>
  <c r="AB25"/>
  <c r="AB27"/>
  <c r="AB31"/>
  <c r="O29"/>
  <c r="AQ33"/>
  <c r="CY31"/>
  <c r="X31"/>
  <c r="CZ31"/>
  <c r="Y31"/>
  <c r="AQ22"/>
  <c r="AP33"/>
  <c r="AF33"/>
  <c r="CY24"/>
  <c r="X24"/>
  <c r="CZ24"/>
  <c r="Y24"/>
  <c r="CZ29"/>
  <c r="Y29"/>
  <c r="CY29"/>
  <c r="X29"/>
  <c r="CY28"/>
  <c r="X28"/>
  <c r="CZ28"/>
  <c r="Y28"/>
  <c r="CZ26"/>
  <c r="Y26"/>
  <c r="CY26"/>
  <c r="X26"/>
  <c r="AG33"/>
  <c r="AD33"/>
  <c r="AI33"/>
  <c r="CZ30"/>
  <c r="Y30"/>
  <c r="CY30"/>
  <c r="X30"/>
  <c r="CZ27"/>
  <c r="Y27"/>
  <c r="CY27"/>
  <c r="X27"/>
  <c r="AE33"/>
  <c r="AH33"/>
  <c r="O28"/>
  <c r="AJ33"/>
  <c r="P24"/>
  <c r="CP24"/>
  <c r="AN33"/>
  <c r="S25"/>
  <c r="CP25"/>
  <c r="O25"/>
  <c r="O24"/>
  <c r="AB33"/>
  <c r="AC33"/>
  <c r="AF22"/>
  <c r="S33"/>
  <c r="AN53"/>
  <c r="AN22"/>
  <c r="F37"/>
  <c r="R33"/>
  <c r="AE22"/>
  <c r="AG22"/>
  <c r="T33"/>
  <c r="CY25"/>
  <c r="X25"/>
  <c r="CZ25"/>
  <c r="Y25"/>
  <c r="AL33"/>
  <c r="W33"/>
  <c r="AJ22"/>
  <c r="AH22"/>
  <c r="U33"/>
  <c r="AD22"/>
  <c r="Q33"/>
  <c r="V33"/>
  <c r="AI22"/>
  <c r="AP22"/>
  <c r="F38"/>
  <c r="AP53"/>
  <c r="AK33"/>
  <c r="AL22"/>
  <c r="Y33"/>
  <c r="O33"/>
  <c r="AB22"/>
  <c r="AK22"/>
  <c r="X33"/>
  <c r="W22"/>
  <c r="W53"/>
  <c r="F45"/>
  <c r="Q22"/>
  <c r="F39"/>
  <c r="Q53"/>
  <c r="T22"/>
  <c r="F42"/>
  <c r="T53"/>
  <c r="AP18"/>
  <c r="F58"/>
  <c r="F44"/>
  <c r="V53"/>
  <c r="V22"/>
  <c r="U22"/>
  <c r="F43"/>
  <c r="U53"/>
  <c r="AN18"/>
  <c r="F57"/>
  <c r="AC22"/>
  <c r="P33"/>
  <c r="F40"/>
  <c r="F48" s="1"/>
  <c r="R53"/>
  <c r="R22"/>
  <c r="S22"/>
  <c r="F41"/>
  <c r="S53"/>
  <c r="F61"/>
  <c r="S18"/>
  <c r="Y22"/>
  <c r="F47"/>
  <c r="Y53"/>
  <c r="F36"/>
  <c r="P22"/>
  <c r="P53"/>
  <c r="U18"/>
  <c r="F63"/>
  <c r="V18"/>
  <c r="F64"/>
  <c r="T18"/>
  <c r="F62"/>
  <c r="O22"/>
  <c r="O53"/>
  <c r="F35"/>
  <c r="F49" s="1"/>
  <c r="R18"/>
  <c r="F60"/>
  <c r="X22"/>
  <c r="F46"/>
  <c r="X53"/>
  <c r="F59"/>
  <c r="Q18"/>
  <c r="F65"/>
  <c r="W18"/>
  <c r="F67"/>
  <c r="Y18"/>
  <c r="X18"/>
  <c r="F66"/>
  <c r="F55"/>
  <c r="O18"/>
  <c r="P18"/>
  <c r="F56"/>
  <c r="K90" i="6" l="1"/>
  <c r="J97" i="5"/>
  <c r="F50" i="1"/>
  <c r="I82" i="5"/>
  <c r="M82" s="1"/>
  <c r="G115" i="6"/>
  <c r="I72" i="5"/>
  <c r="M72" s="1"/>
  <c r="H94" s="1"/>
  <c r="H100" s="1"/>
  <c r="I27" s="1"/>
  <c r="J32"/>
  <c r="J42" i="6"/>
  <c r="N42" s="1"/>
  <c r="L53" i="5"/>
  <c r="L64"/>
  <c r="L94" s="1"/>
  <c r="L100" s="1"/>
  <c r="I32" s="1"/>
  <c r="L86"/>
  <c r="J65" i="6"/>
  <c r="N65" s="1"/>
  <c r="J85"/>
  <c r="N85" s="1"/>
  <c r="J75"/>
  <c r="N75" s="1"/>
  <c r="I87" s="1"/>
  <c r="I93" s="1"/>
  <c r="J53"/>
  <c r="N53" s="1"/>
  <c r="K87"/>
  <c r="K93" s="1"/>
  <c r="M46"/>
  <c r="M87" s="1"/>
  <c r="M57"/>
  <c r="M79"/>
  <c r="K91" l="1"/>
  <c r="J98" i="5"/>
  <c r="F51" i="1"/>
  <c r="K92" i="6" l="1"/>
  <c r="J99" i="5"/>
</calcChain>
</file>

<file path=xl/sharedStrings.xml><?xml version="1.0" encoding="utf-8"?>
<sst xmlns="http://schemas.openxmlformats.org/spreadsheetml/2006/main" count="872" uniqueCount="237">
  <si>
    <t>Smeta.ru  (495) 974-1589</t>
  </si>
  <si>
    <t>_PS_</t>
  </si>
  <si>
    <t>Smeta.ru</t>
  </si>
  <si>
    <t/>
  </si>
  <si>
    <t>Новый объект</t>
  </si>
  <si>
    <t>ТСН-2001</t>
  </si>
  <si>
    <t>Сметные нормы списания</t>
  </si>
  <si>
    <t>Коды ОКП для ТСН-2001</t>
  </si>
  <si>
    <t>ТСН 2001- Новое строительство</t>
  </si>
  <si>
    <t>Типовой расчет для ТСН-2001 (Строительство)</t>
  </si>
  <si>
    <t>Поправки для ТСН-2001</t>
  </si>
  <si>
    <t>Новая локальная смета</t>
  </si>
  <si>
    <t>{CD8B0C77-C846-4BD0-B41E-04D59041A121}</t>
  </si>
  <si>
    <t>1</t>
  </si>
  <si>
    <t>6.65-3-2</t>
  </si>
  <si>
    <t>ДЕМОНТАЖ ВЕНТИЛЯ</t>
  </si>
  <si>
    <t>100 шт.</t>
  </si>
  <si>
    <t>ТСН-2001.6. База. Сб.65, т.3, поз.2</t>
  </si>
  <si>
    <t>Ремонтно-строительные работы</t>
  </si>
  <si>
    <t>ТСН-2001.6-65. 65-1...65-4</t>
  </si>
  <si>
    <t>ТСН-2001.6-65-1</t>
  </si>
  <si>
    <t>2</t>
  </si>
  <si>
    <t>6.65-10-1</t>
  </si>
  <si>
    <t>СМЕНА САНИТАРНО-ТЕХНИЧЕСКИХ ПРИБОРОВ РАКОВИН (УМЫВАЛЬНИКОВ)</t>
  </si>
  <si>
    <t>100 компл.</t>
  </si>
  <si>
    <t>ТСН-2001.6. База. Сб.65, т.10, поз.1</t>
  </si>
  <si>
    <t>ТСН-2001.6-65. 65-5...65-10</t>
  </si>
  <si>
    <t>ТСН-2001.6-65-2</t>
  </si>
  <si>
    <t>2,1</t>
  </si>
  <si>
    <t>4962130000</t>
  </si>
  <si>
    <t>УМЫВАЛЬНИКИ</t>
  </si>
  <si>
    <t>компл.</t>
  </si>
  <si>
    <t>3</t>
  </si>
  <si>
    <t>3.17-2-7</t>
  </si>
  <si>
    <t>УСТАНОВКА ПОЛОТЕНЦЕСУШИТЕЛЕЙ ИЗ НЕРЖАВЕЮЩЕЙ СТАЛИ ТИПА "ЛЕСЕНКА"</t>
  </si>
  <si>
    <t>шт.</t>
  </si>
  <si>
    <t>ТСН-2001.3. Д.2. Сб.17, т.2, поз.7</t>
  </si>
  <si>
    <t>*1,25</t>
  </si>
  <si>
    <t>)*1,15</t>
  </si>
  <si>
    <t>Строительные работы</t>
  </si>
  <si>
    <t>ТСН-2001.3-17. 17-2-6, 17-2-7 (доп. 2)</t>
  </si>
  <si>
    <t>ТСН-2001.3-17-4</t>
  </si>
  <si>
    <t>3,1</t>
  </si>
  <si>
    <t>4951511000</t>
  </si>
  <si>
    <t>ПОЛОТЕНЦЕСУШИТЕЛИ ИЗ НЕРЖАВЕЮЩЕЙ СТАЛИ</t>
  </si>
  <si>
    <t>3,2</t>
  </si>
  <si>
    <t>4951541000</t>
  </si>
  <si>
    <t>ДЕТАЛИ СОЕДИНИТЕЛЬНЫЕ ДЛЯ ПОЛОТЕНЦЕСУШИТЕЛЕЙ - МУФТЫ</t>
  </si>
  <si>
    <t>4</t>
  </si>
  <si>
    <t>4.8-243-8</t>
  </si>
  <si>
    <t>РОЗЕТКА ШТЕПСЕЛЬНАЯ НЕУТОПЛЕННОГО ТИПА ПРИ ОТКРЫТОЙ ПРОВОДКЕ</t>
  </si>
  <si>
    <t>ТСН-2001.4. База. Сб.8, т.243, поз.8</t>
  </si>
  <si>
    <t>Монтаж оборудования</t>
  </si>
  <si>
    <t>ТСН-2001.4-8. 8-188...8-272</t>
  </si>
  <si>
    <t>ТСН-2001.4-8-18</t>
  </si>
  <si>
    <t>5</t>
  </si>
  <si>
    <t>4.8-243-9</t>
  </si>
  <si>
    <t>РОЗЕТКА ШТЕПСЕЛЬНАЯ УТОПЛЕННОГО ТИПА ПРИ СКРЫТОЙ ПРОВОДКЕ</t>
  </si>
  <si>
    <t>ТСН-2001.4. База. Сб.8, т.243, поз.9</t>
  </si>
  <si>
    <t>ПЗ</t>
  </si>
  <si>
    <t>Прямые затраты</t>
  </si>
  <si>
    <t>СтМат</t>
  </si>
  <si>
    <t>Стоимость материальных ресурсов</t>
  </si>
  <si>
    <t>СтМатЗак</t>
  </si>
  <si>
    <t>Стоимость материалов заказчика</t>
  </si>
  <si>
    <t>Оборуд</t>
  </si>
  <si>
    <t>Стоимость оборудования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</si>
  <si>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</si>
  <si>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</si>
  <si>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</si>
  <si>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</si>
  <si>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</si>
  <si>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</si>
  <si>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</si>
  <si>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</si>
  <si>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</si>
  <si>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</si>
  <si>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</si>
  <si>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</si>
  <si>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</si>
  <si>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</si>
  <si>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</si>
  <si>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</si>
  <si>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</si>
  <si>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</si>
  <si>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нр и сп</t>
  </si>
  <si>
    <t>НР и СП от ЗПМ</t>
  </si>
  <si>
    <t>Итог</t>
  </si>
  <si>
    <t>Итого</t>
  </si>
  <si>
    <t>ндс</t>
  </si>
  <si>
    <t>НДС 18%</t>
  </si>
  <si>
    <t>Итог с  ндс</t>
  </si>
  <si>
    <t>Итого с НДС 18%</t>
  </si>
  <si>
    <t>9999990008</t>
  </si>
  <si>
    <t>ТРУДОЗАТРАТЫ РАБОЧИХ (ЭСН)</t>
  </si>
  <si>
    <t>чел.-ч.</t>
  </si>
  <si>
    <t>1.0-0-0</t>
  </si>
  <si>
    <t>МАССА МУСОРА</t>
  </si>
  <si>
    <t>т</t>
  </si>
  <si>
    <t>1.1-1-1338</t>
  </si>
  <si>
    <t>ТСН-2001.1. База. Р.1, о.1, поз.1338</t>
  </si>
  <si>
    <t>ЦЕМЕНТ ГИПСОГЛИНОЗЕМИСТЫЙ РАСШИРЯЮЩИЙСЯ</t>
  </si>
  <si>
    <t>1.1-1-1502</t>
  </si>
  <si>
    <t>ТСН-2001.1. База. Р.1, о.1, поз.1502</t>
  </si>
  <si>
    <t>ШУРУПЫ С ПОТАЙНОЙ ГОЛОВКОЙ, ЧЕРНЫЕ, РАЗМЕР 8,0Х100 ММ</t>
  </si>
  <si>
    <t>1.1-1-740</t>
  </si>
  <si>
    <t>ТСН-2001.1. База. Р.1, о.1, поз.740</t>
  </si>
  <si>
    <t>ПАКЛЯ ПРОПИТАННАЯ</t>
  </si>
  <si>
    <t>кг</t>
  </si>
  <si>
    <t>2.0-0-0</t>
  </si>
  <si>
    <t>СТОИМОСТЬ ПРОЧИХ МАШИН (ЭСН)</t>
  </si>
  <si>
    <t>руб.</t>
  </si>
  <si>
    <t>2.1-30-56</t>
  </si>
  <si>
    <t>ТСН-2001.2. База. п.1-30-56 (309101)</t>
  </si>
  <si>
    <t>ШУРУПОВЕРТЫ</t>
  </si>
  <si>
    <t>маш.-ч</t>
  </si>
  <si>
    <t>2.1-30-6</t>
  </si>
  <si>
    <t>ТСН-2001.2. База. п.1-30-6 (303701)</t>
  </si>
  <si>
    <t>ДРЕЛИ ЭЛЕКТРИЧЕСКИЕ</t>
  </si>
  <si>
    <t>1.1-1-513</t>
  </si>
  <si>
    <t>ТСН-2001.1. База. Р.1, о.1, поз.513</t>
  </si>
  <si>
    <t>ЛЕНТА ИЗ "ФТОРОПЛАСТ-4"</t>
  </si>
  <si>
    <t>Форма № 1а</t>
  </si>
  <si>
    <t>"СОГЛАСОВАНО"</t>
  </si>
  <si>
    <t>"УТВЕРЖДАЮ"</t>
  </si>
  <si>
    <t>"_____"________________200___ г.</t>
  </si>
  <si>
    <t>(Наименование стройки)</t>
  </si>
  <si>
    <t>(локальный сметный расчет)</t>
  </si>
  <si>
    <t xml:space="preserve">  на</t>
  </si>
  <si>
    <t>(наименование работ и затрат, наименование объекта)</t>
  </si>
  <si>
    <t>базовая</t>
  </si>
  <si>
    <t>текущая</t>
  </si>
  <si>
    <t>цена</t>
  </si>
  <si>
    <t>Сметная стоимость</t>
  </si>
  <si>
    <t>тыс.руб</t>
  </si>
  <si>
    <t>Монтажные работы</t>
  </si>
  <si>
    <t>Оборудование</t>
  </si>
  <si>
    <t>Прочие работы</t>
  </si>
  <si>
    <t>Средства на оплату труда</t>
  </si>
  <si>
    <t>Составлен(а) в уровне текущих (прогнозных) цен на</t>
  </si>
  <si>
    <t>г.</t>
  </si>
  <si>
    <t>№</t>
  </si>
  <si>
    <t>п/п</t>
  </si>
  <si>
    <t>Шифр</t>
  </si>
  <si>
    <t>расценки</t>
  </si>
  <si>
    <t>и коды</t>
  </si>
  <si>
    <t>ресурсов</t>
  </si>
  <si>
    <t>Наименование работ и затрат</t>
  </si>
  <si>
    <t>Единица</t>
  </si>
  <si>
    <t>изме-</t>
  </si>
  <si>
    <t>рения</t>
  </si>
  <si>
    <t>Кол-во</t>
  </si>
  <si>
    <t>единиц</t>
  </si>
  <si>
    <t>Цена</t>
  </si>
  <si>
    <t>на ед.</t>
  </si>
  <si>
    <t>изм.</t>
  </si>
  <si>
    <t>Коэффициенты</t>
  </si>
  <si>
    <t>попра-</t>
  </si>
  <si>
    <t>вочные</t>
  </si>
  <si>
    <t>зимних</t>
  </si>
  <si>
    <t>удоро-</t>
  </si>
  <si>
    <t>жаний</t>
  </si>
  <si>
    <t>ВСЕГО</t>
  </si>
  <si>
    <t>в базисных</t>
  </si>
  <si>
    <t>ценах,</t>
  </si>
  <si>
    <t>Коэфф.</t>
  </si>
  <si>
    <t>пере-</t>
  </si>
  <si>
    <t>счета</t>
  </si>
  <si>
    <t>и нормы</t>
  </si>
  <si>
    <t>НР и СП</t>
  </si>
  <si>
    <t>в текущих</t>
  </si>
  <si>
    <t>(прогнозных)</t>
  </si>
  <si>
    <t>ценах, руб.</t>
  </si>
  <si>
    <t>ЗП</t>
  </si>
  <si>
    <t>ЭМ</t>
  </si>
  <si>
    <t>в т.ч. ЗПМ</t>
  </si>
  <si>
    <t>МР</t>
  </si>
  <si>
    <t>НР от ЗП</t>
  </si>
  <si>
    <t>%</t>
  </si>
  <si>
    <t>СП от ЗП</t>
  </si>
  <si>
    <t>ЗТР</t>
  </si>
  <si>
    <t>чел-ч</t>
  </si>
  <si>
    <t>Итого по локальной смете</t>
  </si>
  <si>
    <t>Итого по смете</t>
  </si>
  <si>
    <t>Составил</t>
  </si>
  <si>
    <t>[должность,подпись(инициалы,фамилия)]</t>
  </si>
  <si>
    <t>Проверил: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</si>
  <si>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</si>
  <si>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</si>
  <si>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</si>
  <si>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</si>
  <si>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</si>
  <si>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Инвестор</t>
  </si>
  <si>
    <t>по ОКПО</t>
  </si>
  <si>
    <t>Заказчик</t>
  </si>
  <si>
    <t>Подрядчик</t>
  </si>
  <si>
    <t>Стройка</t>
  </si>
  <si>
    <t>Объект</t>
  </si>
  <si>
    <t>Вид деятельности по ОКДП</t>
  </si>
  <si>
    <t>Договор подряда</t>
  </si>
  <si>
    <t>номер</t>
  </si>
  <si>
    <t>дата</t>
  </si>
  <si>
    <t>Вид операции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</si>
  <si>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</si>
  <si>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</si>
  <si>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</si>
  <si>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</si>
  <si>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</si>
  <si>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</si>
  <si>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</si>
  <si>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</si>
  <si>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>19999990008ТРУДОЗАТРАТЫ РАБОЧИХ (ЭСН)чел.-ч.00</t>
  </si>
  <si>
    <t>31.0-0-0МАССА МУСОРАт00</t>
  </si>
  <si>
    <t>31.1-1-1338ЦЕМЕНТ ГИПСОГЛИНОЗЕМИСТЫЙ РАСШИРЯЮЩИЙСЯт483,860</t>
  </si>
  <si>
    <t>31.1-1-1502ШУРУПЫ С ПОТАЙНОЙ ГОЛОВКОЙ, ЧЕРНЫЕ, РАЗМЕР 8,0Х100 ММт17750,860</t>
  </si>
  <si>
    <t>31.1-1-740ПАКЛЯ ПРОПИТАННАЯкг9,860</t>
  </si>
  <si>
    <t>34962130000УМЫВАЛЬНИКИкомпл.00</t>
  </si>
  <si>
    <t>22.0-0-0СТОИМОСТЬ ПРОЧИХ МАШИН (ЭСН)руб.10</t>
  </si>
  <si>
    <t>22.1-30-56ШУРУПОВЕРТЫмаш.-ч0,640</t>
  </si>
  <si>
    <t>22.1-30-6ДРЕЛИ ЭЛЕКТРИЧЕСКИЕмаш.-ч2,360</t>
  </si>
  <si>
    <t>31.1-1-513ЛЕНТА ИЗ "ФТОРОПЛАСТ-4"кг148,680</t>
  </si>
  <si>
    <t>34951511000ПОЛОТЕНЦЕСУШИТЕЛИ ИЗ НЕРЖАВЕЮЩЕЙ СТАЛИшт.00</t>
  </si>
  <si>
    <t>34951541000ДЕТАЛИ СОЕДИНИТЕЛЬНЫЕ ДЛЯ ПОЛОТЕНЦЕСУШИТЕЛЕЙ - МУФТЫшт.00</t>
  </si>
  <si>
    <t>Ресурсная ведомость</t>
  </si>
  <si>
    <t>Обоснование</t>
  </si>
  <si>
    <t>Наименование</t>
  </si>
  <si>
    <t>Единица измерения</t>
  </si>
  <si>
    <t>Объем</t>
  </si>
  <si>
    <t>Стоимость</t>
  </si>
  <si>
    <t>Трудовые ресурсы:</t>
  </si>
  <si>
    <t xml:space="preserve">Итого: </t>
  </si>
  <si>
    <t>Машины и механизмы:</t>
  </si>
  <si>
    <t>Материальные ресурсы:</t>
  </si>
  <si>
    <t>Заказчик:</t>
  </si>
  <si>
    <t>Подрядчик:</t>
  </si>
  <si>
    <t>Номер</t>
  </si>
  <si>
    <t>поз. по смете</t>
  </si>
</sst>
</file>

<file path=xl/styles.xml><?xml version="1.0" encoding="utf-8"?>
<styleSheet xmlns="http://schemas.openxmlformats.org/spreadsheetml/2006/main">
  <numFmts count="2">
    <numFmt numFmtId="172" formatCode="#,##0.00;[Red]\-\ #,##0.00"/>
    <numFmt numFmtId="173" formatCode="mmmm"/>
  </numFmts>
  <fonts count="19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17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u/>
      <sz val="14"/>
      <name val="Times New Roman"/>
      <family val="1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Times New Roman Cyr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0" xfId="0" applyFont="1"/>
    <xf numFmtId="0" fontId="8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172" fontId="6" fillId="0" borderId="0" xfId="0" applyNumberFormat="1" applyFont="1"/>
    <xf numFmtId="172" fontId="0" fillId="0" borderId="0" xfId="0" applyNumberFormat="1"/>
    <xf numFmtId="173" fontId="4" fillId="0" borderId="0" xfId="0" applyNumberFormat="1" applyFont="1"/>
    <xf numFmtId="1" fontId="4" fillId="0" borderId="0" xfId="0" applyNumberFormat="1" applyFont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0" fontId="6" fillId="0" borderId="4" xfId="0" applyFont="1" applyBorder="1"/>
    <xf numFmtId="0" fontId="4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vertical="top" wrapText="1"/>
    </xf>
    <xf numFmtId="0" fontId="11" fillId="0" borderId="0" xfId="0" applyFont="1" applyAlignment="1">
      <alignment horizontal="right" wrapText="1"/>
    </xf>
    <xf numFmtId="0" fontId="6" fillId="0" borderId="0" xfId="0" applyFont="1" applyAlignment="1">
      <alignment wrapText="1"/>
    </xf>
    <xf numFmtId="172" fontId="6" fillId="0" borderId="0" xfId="0" applyNumberFormat="1" applyFont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172" fontId="6" fillId="0" borderId="1" xfId="0" applyNumberFormat="1" applyFont="1" applyBorder="1"/>
    <xf numFmtId="172" fontId="8" fillId="0" borderId="0" xfId="0" applyNumberFormat="1" applyFont="1"/>
    <xf numFmtId="0" fontId="12" fillId="0" borderId="0" xfId="0" applyFont="1"/>
    <xf numFmtId="0" fontId="0" fillId="0" borderId="1" xfId="0" applyBorder="1"/>
    <xf numFmtId="0" fontId="13" fillId="0" borderId="0" xfId="0" applyFont="1"/>
    <xf numFmtId="172" fontId="8" fillId="0" borderId="0" xfId="0" applyNumberFormat="1" applyFont="1" applyAlignment="1">
      <alignment horizontal="right"/>
    </xf>
    <xf numFmtId="172" fontId="12" fillId="0" borderId="0" xfId="0" applyNumberFormat="1" applyFont="1" applyAlignment="1">
      <alignment horizontal="right"/>
    </xf>
    <xf numFmtId="0" fontId="13" fillId="0" borderId="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172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2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 applyAlignment="1">
      <alignment horizontal="left"/>
    </xf>
    <xf numFmtId="0" fontId="14" fillId="0" borderId="0" xfId="0" applyFont="1"/>
    <xf numFmtId="0" fontId="16" fillId="0" borderId="0" xfId="0" applyFont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/>
    <xf numFmtId="172" fontId="14" fillId="0" borderId="1" xfId="0" applyNumberFormat="1" applyFont="1" applyBorder="1"/>
    <xf numFmtId="0" fontId="0" fillId="0" borderId="5" xfId="0" applyBorder="1" applyAlignment="1">
      <alignment horizontal="center"/>
    </xf>
    <xf numFmtId="172" fontId="0" fillId="0" borderId="0" xfId="0" applyNumberFormat="1" applyAlignment="1">
      <alignment horizontal="right"/>
    </xf>
    <xf numFmtId="0" fontId="5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6" fillId="0" borderId="2" xfId="0" applyFont="1" applyBorder="1"/>
    <xf numFmtId="0" fontId="12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/>
    <xf numFmtId="0" fontId="6" fillId="0" borderId="5" xfId="0" applyFont="1" applyBorder="1" applyAlignment="1">
      <alignment wrapText="1"/>
    </xf>
    <xf numFmtId="172" fontId="6" fillId="0" borderId="5" xfId="0" applyNumberFormat="1" applyFont="1" applyBorder="1"/>
    <xf numFmtId="0" fontId="8" fillId="0" borderId="8" xfId="0" applyFont="1" applyBorder="1" applyAlignment="1">
      <alignment horizontal="right" vertical="center" wrapText="1"/>
    </xf>
    <xf numFmtId="172" fontId="8" fillId="0" borderId="8" xfId="0" applyNumberFormat="1" applyFont="1" applyBorder="1" applyAlignment="1">
      <alignment horizontal="right" vertical="center" wrapText="1"/>
    </xf>
    <xf numFmtId="172" fontId="8" fillId="0" borderId="5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workbookViewId="0">
      <selection sqref="A1:IV14"/>
    </sheetView>
  </sheetViews>
  <sheetFormatPr defaultRowHeight="12.75"/>
  <sheetData>
    <row r="1" spans="1:27">
      <c r="A1">
        <f>SmtRes!H1</f>
        <v>1</v>
      </c>
      <c r="B1" t="str">
        <f>SmtRes!I1</f>
        <v>9999990008</v>
      </c>
      <c r="C1" t="str">
        <f>SmtRes!K1</f>
        <v>ТРУДОЗАТРАТЫ РАБОЧИХ (ЭСН)</v>
      </c>
      <c r="D1" t="str">
        <f>SmtRes!O1</f>
        <v>чел.-ч.</v>
      </c>
      <c r="E1">
        <f>SmtRes!Y1</f>
        <v>45.7</v>
      </c>
      <c r="F1">
        <f>SmtRes!Y1*Source!I24</f>
        <v>0.45700000000000002</v>
      </c>
      <c r="G1">
        <f>ROUND(SmtRes!AD1, 2)</f>
        <v>0</v>
      </c>
      <c r="H1">
        <f>ROUND(SmtRes!AD1*SmtRes!Y1*Source!I24, 2)</f>
        <v>0</v>
      </c>
      <c r="Z1" t="s">
        <v>211</v>
      </c>
    </row>
    <row r="2" spans="1:27">
      <c r="A2">
        <f>SmtRes!H3</f>
        <v>1</v>
      </c>
      <c r="B2" t="str">
        <f>SmtRes!I3</f>
        <v>9999990008</v>
      </c>
      <c r="C2" t="str">
        <f>SmtRes!K3</f>
        <v>ТРУДОЗАТРАТЫ РАБОЧИХ (ЭСН)</v>
      </c>
      <c r="D2" t="str">
        <f>SmtRes!O3</f>
        <v>чел.-ч.</v>
      </c>
      <c r="E2">
        <f>SmtRes!Y3</f>
        <v>212</v>
      </c>
      <c r="F2">
        <f>SmtRes!Y3*Source!I25</f>
        <v>2.12</v>
      </c>
      <c r="G2">
        <f>ROUND(SmtRes!AD3, 2)</f>
        <v>0</v>
      </c>
      <c r="H2">
        <f>ROUND(SmtRes!AD3*SmtRes!Y3*Source!I25, 2)</f>
        <v>0</v>
      </c>
      <c r="Z2" t="s">
        <v>211</v>
      </c>
    </row>
    <row r="3" spans="1:27">
      <c r="A3">
        <f>SmtRes!H8</f>
        <v>1</v>
      </c>
      <c r="B3" t="str">
        <f>SmtRes!I8</f>
        <v>9999990008</v>
      </c>
      <c r="C3" t="str">
        <f>SmtRes!K8</f>
        <v>ТРУДОЗАТРАТЫ РАБОЧИХ (ЭСН)</v>
      </c>
      <c r="D3" t="str">
        <f>SmtRes!O8</f>
        <v>чел.-ч.</v>
      </c>
      <c r="E3">
        <f>SmtRes!Y8</f>
        <v>3.1739999999999995</v>
      </c>
      <c r="F3">
        <f>SmtRes!Y8*Source!I27</f>
        <v>3.1739999999999995</v>
      </c>
      <c r="G3">
        <f>ROUND(SmtRes!AD8, 2)</f>
        <v>0</v>
      </c>
      <c r="H3">
        <f>ROUND(SmtRes!AD8*SmtRes!Y8*Source!I27, 2)</f>
        <v>0</v>
      </c>
      <c r="Z3" t="s">
        <v>211</v>
      </c>
    </row>
    <row r="4" spans="1:27">
      <c r="A4">
        <f>SmtRes!H9</f>
        <v>2</v>
      </c>
      <c r="B4" t="str">
        <f>SmtRes!I9</f>
        <v>2.0-0-0</v>
      </c>
      <c r="C4" t="str">
        <f>SmtRes!K9</f>
        <v>СТОИМОСТЬ ПРОЧИХ МАШИН (ЭСН)</v>
      </c>
      <c r="D4" t="str">
        <f>SmtRes!O9</f>
        <v>руб.</v>
      </c>
      <c r="E4">
        <f>SmtRes!Y9</f>
        <v>0.13750000000000001</v>
      </c>
      <c r="F4">
        <f>SmtRes!Y9*Source!I27</f>
        <v>0.13750000000000001</v>
      </c>
      <c r="G4">
        <f>ROUND(SmtRes!AB9, 2)</f>
        <v>1</v>
      </c>
      <c r="H4">
        <f>ROUND(SmtRes!AB9*SmtRes!Y9*Source!I27, 2)</f>
        <v>0.14000000000000001</v>
      </c>
      <c r="Z4" t="s">
        <v>217</v>
      </c>
    </row>
    <row r="5" spans="1:27">
      <c r="A5">
        <f>SmtRes!H10</f>
        <v>2</v>
      </c>
      <c r="B5" t="str">
        <f>SmtRes!I10</f>
        <v>2.1-30-56</v>
      </c>
      <c r="C5" t="str">
        <f>SmtRes!K10</f>
        <v>ШУРУПОВЕРТЫ</v>
      </c>
      <c r="D5" t="str">
        <f>SmtRes!O10</f>
        <v>маш.-ч</v>
      </c>
      <c r="E5">
        <f>SmtRes!Y10</f>
        <v>1.2500000000000001E-2</v>
      </c>
      <c r="F5">
        <f>SmtRes!Y10*Source!I27</f>
        <v>1.2500000000000001E-2</v>
      </c>
      <c r="G5">
        <f>ROUND(SmtRes!AB10, 2)</f>
        <v>0.64</v>
      </c>
      <c r="H5">
        <f>ROUND(SmtRes!AB10*SmtRes!Y10*Source!I27, 2)</f>
        <v>0.01</v>
      </c>
      <c r="Z5" t="s">
        <v>218</v>
      </c>
    </row>
    <row r="6" spans="1:27">
      <c r="A6">
        <f>SmtRes!H11</f>
        <v>2</v>
      </c>
      <c r="B6" t="str">
        <f>SmtRes!I11</f>
        <v>2.1-30-6</v>
      </c>
      <c r="C6" t="str">
        <f>SmtRes!K11</f>
        <v>ДРЕЛИ ЭЛЕКТРИЧЕСКИЕ</v>
      </c>
      <c r="D6" t="str">
        <f>SmtRes!O11</f>
        <v>маш.-ч</v>
      </c>
      <c r="E6">
        <f>SmtRes!Y11</f>
        <v>2.5000000000000001E-2</v>
      </c>
      <c r="F6">
        <f>SmtRes!Y11*Source!I27</f>
        <v>2.5000000000000001E-2</v>
      </c>
      <c r="G6">
        <f>ROUND(SmtRes!AB11, 2)</f>
        <v>2.36</v>
      </c>
      <c r="H6">
        <f>ROUND(SmtRes!AB11*SmtRes!Y11*Source!I27, 2)</f>
        <v>0.06</v>
      </c>
      <c r="Z6" t="s">
        <v>219</v>
      </c>
    </row>
    <row r="7" spans="1:27">
      <c r="A7">
        <f>SmtRes!H2</f>
        <v>3</v>
      </c>
      <c r="B7" t="str">
        <f>SmtRes!I2</f>
        <v>1.0-0-0</v>
      </c>
      <c r="C7" t="str">
        <f>SmtRes!K2</f>
        <v>МАССА МУСОРА</v>
      </c>
      <c r="D7" t="str">
        <f>SmtRes!O2</f>
        <v>т</v>
      </c>
      <c r="E7">
        <f>SmtRes!Y2</f>
        <v>0.09</v>
      </c>
      <c r="F7">
        <f>SmtRes!Y2*Source!I24</f>
        <v>8.9999999999999998E-4</v>
      </c>
      <c r="G7">
        <f>ROUND(SmtRes!AA2, 2)</f>
        <v>0</v>
      </c>
      <c r="H7">
        <f>ROUND(SmtRes!AA2*SmtRes!Y2*Source!I24, 2)</f>
        <v>0</v>
      </c>
      <c r="I7">
        <f>SmtRes!CC2</f>
        <v>0</v>
      </c>
      <c r="J7">
        <f>SmtRes!CD2</f>
        <v>0</v>
      </c>
      <c r="K7">
        <f>SmtRes!CE2</f>
        <v>0</v>
      </c>
      <c r="L7">
        <f>SmtRes!CF2</f>
        <v>0</v>
      </c>
      <c r="M7">
        <f>SmtRes!CG2</f>
        <v>0</v>
      </c>
      <c r="N7">
        <f>SmtRes!CH2</f>
        <v>0</v>
      </c>
      <c r="O7">
        <f>SmtRes!CI2</f>
        <v>0</v>
      </c>
      <c r="P7">
        <f>SmtRes!CJ2</f>
        <v>0</v>
      </c>
      <c r="Q7">
        <f>SmtRes!CK2</f>
        <v>0</v>
      </c>
      <c r="R7">
        <f>SmtRes!CL2</f>
        <v>0</v>
      </c>
      <c r="S7">
        <f>SmtRes!CM2</f>
        <v>0</v>
      </c>
      <c r="T7">
        <f>SmtRes!CN2</f>
        <v>0</v>
      </c>
      <c r="U7">
        <f>SmtRes!CO2</f>
        <v>0</v>
      </c>
      <c r="V7">
        <f>SmtRes!CP2</f>
        <v>0</v>
      </c>
      <c r="W7">
        <f>SmtRes!CQ2</f>
        <v>0</v>
      </c>
      <c r="X7">
        <f>SmtRes!CR2</f>
        <v>0</v>
      </c>
      <c r="Y7">
        <f>SmtRes!CB2</f>
        <v>0</v>
      </c>
      <c r="Z7" t="s">
        <v>212</v>
      </c>
      <c r="AA7">
        <f>SmtRes!CS2</f>
        <v>0</v>
      </c>
    </row>
    <row r="8" spans="1:27">
      <c r="A8">
        <f>SmtRes!H4</f>
        <v>3</v>
      </c>
      <c r="B8" t="str">
        <f>SmtRes!I4</f>
        <v>1.1-1-1338</v>
      </c>
      <c r="C8" t="str">
        <f>SmtRes!K4</f>
        <v>ЦЕМЕНТ ГИПСОГЛИНОЗЕМИСТЫЙ РАСШИРЯЮЩИЙСЯ</v>
      </c>
      <c r="D8" t="str">
        <f>SmtRes!O4</f>
        <v>т</v>
      </c>
      <c r="E8">
        <f>SmtRes!Y4</f>
        <v>7.9000000000000008E-3</v>
      </c>
      <c r="F8">
        <f>SmtRes!Y4*Source!I25</f>
        <v>7.9000000000000009E-5</v>
      </c>
      <c r="G8">
        <f>ROUND(SmtRes!AA4, 2)</f>
        <v>483.86</v>
      </c>
      <c r="H8">
        <f>ROUND(SmtRes!AA4*SmtRes!Y4*Source!I25, 2)</f>
        <v>0.04</v>
      </c>
      <c r="I8">
        <f>SmtRes!CC4</f>
        <v>0</v>
      </c>
      <c r="J8">
        <f>SmtRes!CD4</f>
        <v>0</v>
      </c>
      <c r="K8">
        <f>SmtRes!CE4</f>
        <v>0</v>
      </c>
      <c r="L8">
        <f>SmtRes!CF4</f>
        <v>0</v>
      </c>
      <c r="M8">
        <f>SmtRes!CG4</f>
        <v>0</v>
      </c>
      <c r="N8">
        <f>SmtRes!CH4</f>
        <v>0</v>
      </c>
      <c r="O8">
        <f>SmtRes!CI4</f>
        <v>0</v>
      </c>
      <c r="P8">
        <f>SmtRes!CJ4</f>
        <v>0</v>
      </c>
      <c r="Q8">
        <f>SmtRes!CK4</f>
        <v>0</v>
      </c>
      <c r="R8">
        <f>SmtRes!CL4</f>
        <v>0</v>
      </c>
      <c r="S8">
        <f>SmtRes!CM4</f>
        <v>0</v>
      </c>
      <c r="T8">
        <f>SmtRes!CN4</f>
        <v>0</v>
      </c>
      <c r="U8">
        <f>SmtRes!CO4</f>
        <v>0</v>
      </c>
      <c r="V8">
        <f>SmtRes!CP4</f>
        <v>0</v>
      </c>
      <c r="W8">
        <f>SmtRes!CQ4</f>
        <v>0</v>
      </c>
      <c r="X8">
        <f>SmtRes!CR4</f>
        <v>0</v>
      </c>
      <c r="Y8">
        <f>SmtRes!CB4</f>
        <v>0</v>
      </c>
      <c r="Z8" t="s">
        <v>213</v>
      </c>
      <c r="AA8">
        <f>SmtRes!CS4</f>
        <v>0</v>
      </c>
    </row>
    <row r="9" spans="1:27">
      <c r="A9">
        <f>SmtRes!H5</f>
        <v>3</v>
      </c>
      <c r="B9" t="str">
        <f>SmtRes!I5</f>
        <v>1.1-1-1502</v>
      </c>
      <c r="C9" t="str">
        <f>SmtRes!K5</f>
        <v>ШУРУПЫ С ПОТАЙНОЙ ГОЛОВКОЙ, ЧЕРНЫЕ, РАЗМЕР 8,0Х100 ММ</v>
      </c>
      <c r="D9" t="str">
        <f>SmtRes!O5</f>
        <v>т</v>
      </c>
      <c r="E9">
        <f>SmtRes!Y5</f>
        <v>1.0800000000000001E-2</v>
      </c>
      <c r="F9">
        <f>SmtRes!Y5*Source!I25</f>
        <v>1.0800000000000001E-4</v>
      </c>
      <c r="G9">
        <f>ROUND(SmtRes!AA5, 2)</f>
        <v>17750.86</v>
      </c>
      <c r="H9">
        <f>ROUND(SmtRes!AA5*SmtRes!Y5*Source!I25, 2)</f>
        <v>1.92</v>
      </c>
      <c r="I9">
        <f>SmtRes!CC5</f>
        <v>0</v>
      </c>
      <c r="J9">
        <f>SmtRes!CD5</f>
        <v>0</v>
      </c>
      <c r="K9">
        <f>SmtRes!CE5</f>
        <v>0</v>
      </c>
      <c r="L9">
        <f>SmtRes!CF5</f>
        <v>0</v>
      </c>
      <c r="M9">
        <f>SmtRes!CG5</f>
        <v>0</v>
      </c>
      <c r="N9">
        <f>SmtRes!CH5</f>
        <v>0</v>
      </c>
      <c r="O9">
        <f>SmtRes!CI5</f>
        <v>0</v>
      </c>
      <c r="P9">
        <f>SmtRes!CJ5</f>
        <v>0</v>
      </c>
      <c r="Q9">
        <f>SmtRes!CK5</f>
        <v>0</v>
      </c>
      <c r="R9">
        <f>SmtRes!CL5</f>
        <v>0</v>
      </c>
      <c r="S9">
        <f>SmtRes!CM5</f>
        <v>0</v>
      </c>
      <c r="T9">
        <f>SmtRes!CN5</f>
        <v>0</v>
      </c>
      <c r="U9">
        <f>SmtRes!CO5</f>
        <v>0</v>
      </c>
      <c r="V9">
        <f>SmtRes!CP5</f>
        <v>0</v>
      </c>
      <c r="W9">
        <f>SmtRes!CQ5</f>
        <v>0</v>
      </c>
      <c r="X9">
        <f>SmtRes!CR5</f>
        <v>0</v>
      </c>
      <c r="Y9">
        <f>SmtRes!CB5</f>
        <v>0</v>
      </c>
      <c r="Z9" t="s">
        <v>214</v>
      </c>
      <c r="AA9">
        <f>SmtRes!CS5</f>
        <v>0</v>
      </c>
    </row>
    <row r="10" spans="1:27">
      <c r="A10">
        <f>SmtRes!H12</f>
        <v>3</v>
      </c>
      <c r="B10" t="str">
        <f>SmtRes!I12</f>
        <v>1.1-1-513</v>
      </c>
      <c r="C10" t="str">
        <f>SmtRes!K12</f>
        <v>ЛЕНТА ИЗ "ФТОРОПЛАСТ-4"</v>
      </c>
      <c r="D10" t="str">
        <f>SmtRes!O12</f>
        <v>кг</v>
      </c>
      <c r="E10">
        <f>SmtRes!Y12</f>
        <v>0.02</v>
      </c>
      <c r="F10">
        <f>SmtRes!Y12*Source!I27</f>
        <v>0.02</v>
      </c>
      <c r="G10">
        <f>ROUND(SmtRes!AA12, 2)</f>
        <v>148.68</v>
      </c>
      <c r="H10">
        <f>ROUND(SmtRes!AA12*SmtRes!Y12*Source!I27, 2)</f>
        <v>2.97</v>
      </c>
      <c r="I10">
        <f>SmtRes!CC12</f>
        <v>0</v>
      </c>
      <c r="J10">
        <f>SmtRes!CD12</f>
        <v>0</v>
      </c>
      <c r="K10">
        <f>SmtRes!CE12</f>
        <v>0</v>
      </c>
      <c r="L10">
        <f>SmtRes!CF12</f>
        <v>0</v>
      </c>
      <c r="M10">
        <f>SmtRes!CG12</f>
        <v>0</v>
      </c>
      <c r="N10">
        <f>SmtRes!CH12</f>
        <v>0</v>
      </c>
      <c r="O10">
        <f>SmtRes!CI12</f>
        <v>0</v>
      </c>
      <c r="P10">
        <f>SmtRes!CJ12</f>
        <v>0</v>
      </c>
      <c r="Q10">
        <f>SmtRes!CK12</f>
        <v>0</v>
      </c>
      <c r="R10">
        <f>SmtRes!CL12</f>
        <v>0</v>
      </c>
      <c r="S10">
        <f>SmtRes!CM12</f>
        <v>0</v>
      </c>
      <c r="T10">
        <f>SmtRes!CN12</f>
        <v>0</v>
      </c>
      <c r="U10">
        <f>SmtRes!CO12</f>
        <v>0</v>
      </c>
      <c r="V10">
        <f>SmtRes!CP12</f>
        <v>0</v>
      </c>
      <c r="W10">
        <f>SmtRes!CQ12</f>
        <v>0</v>
      </c>
      <c r="X10">
        <f>SmtRes!CR12</f>
        <v>0</v>
      </c>
      <c r="Y10">
        <f>SmtRes!CB12</f>
        <v>0</v>
      </c>
      <c r="Z10" t="s">
        <v>220</v>
      </c>
      <c r="AA10">
        <f>SmtRes!CS12</f>
        <v>0</v>
      </c>
    </row>
    <row r="11" spans="1:27">
      <c r="A11">
        <f>SmtRes!H6</f>
        <v>3</v>
      </c>
      <c r="B11" t="str">
        <f>SmtRes!I6</f>
        <v>1.1-1-740</v>
      </c>
      <c r="C11" t="str">
        <f>SmtRes!K6</f>
        <v>ПАКЛЯ ПРОПИТАННАЯ</v>
      </c>
      <c r="D11" t="str">
        <f>SmtRes!O6</f>
        <v>кг</v>
      </c>
      <c r="E11">
        <f>SmtRes!Y6</f>
        <v>3.4</v>
      </c>
      <c r="F11">
        <f>SmtRes!Y6*Source!I25</f>
        <v>3.4000000000000002E-2</v>
      </c>
      <c r="G11">
        <f>ROUND(SmtRes!AA6, 2)</f>
        <v>9.86</v>
      </c>
      <c r="H11">
        <f>ROUND(SmtRes!AA6*SmtRes!Y6*Source!I25, 2)</f>
        <v>0.34</v>
      </c>
      <c r="I11">
        <f>SmtRes!CC6</f>
        <v>0</v>
      </c>
      <c r="J11">
        <f>SmtRes!CD6</f>
        <v>0</v>
      </c>
      <c r="K11">
        <f>SmtRes!CE6</f>
        <v>0</v>
      </c>
      <c r="L11">
        <f>SmtRes!CF6</f>
        <v>0</v>
      </c>
      <c r="M11">
        <f>SmtRes!CG6</f>
        <v>0</v>
      </c>
      <c r="N11">
        <f>SmtRes!CH6</f>
        <v>0</v>
      </c>
      <c r="O11">
        <f>SmtRes!CI6</f>
        <v>0</v>
      </c>
      <c r="P11">
        <f>SmtRes!CJ6</f>
        <v>0</v>
      </c>
      <c r="Q11">
        <f>SmtRes!CK6</f>
        <v>0</v>
      </c>
      <c r="R11">
        <f>SmtRes!CL6</f>
        <v>0</v>
      </c>
      <c r="S11">
        <f>SmtRes!CM6</f>
        <v>0</v>
      </c>
      <c r="T11">
        <f>SmtRes!CN6</f>
        <v>0</v>
      </c>
      <c r="U11">
        <f>SmtRes!CO6</f>
        <v>0</v>
      </c>
      <c r="V11">
        <f>SmtRes!CP6</f>
        <v>0</v>
      </c>
      <c r="W11">
        <f>SmtRes!CQ6</f>
        <v>0</v>
      </c>
      <c r="X11">
        <f>SmtRes!CR6</f>
        <v>0</v>
      </c>
      <c r="Y11">
        <f>SmtRes!CB6</f>
        <v>0</v>
      </c>
      <c r="Z11" t="s">
        <v>215</v>
      </c>
      <c r="AA11">
        <f>SmtRes!CS6</f>
        <v>0</v>
      </c>
    </row>
    <row r="12" spans="1:27">
      <c r="A12">
        <f>SmtRes!H13</f>
        <v>3</v>
      </c>
      <c r="B12" t="str">
        <f>SmtRes!I13</f>
        <v>4951511000</v>
      </c>
      <c r="C12" t="str">
        <f>SmtRes!K13</f>
        <v>ПОЛОТЕНЦЕСУШИТЕЛИ ИЗ НЕРЖАВЕЮЩЕЙ СТАЛИ</v>
      </c>
      <c r="D12" t="str">
        <f>SmtRes!O13</f>
        <v>шт.</v>
      </c>
      <c r="E12">
        <f>SmtRes!Y13</f>
        <v>1</v>
      </c>
      <c r="F12">
        <f>SmtRes!Y13*Source!I27</f>
        <v>1</v>
      </c>
      <c r="G12">
        <f>ROUND(SmtRes!AA13, 2)</f>
        <v>0</v>
      </c>
      <c r="H12">
        <f>ROUND(SmtRes!AA13*SmtRes!Y13*Source!I27, 2)</f>
        <v>0</v>
      </c>
      <c r="I12">
        <f>SmtRes!CC13</f>
        <v>0</v>
      </c>
      <c r="J12">
        <f>SmtRes!CD13</f>
        <v>0</v>
      </c>
      <c r="K12">
        <f>SmtRes!CE13</f>
        <v>0</v>
      </c>
      <c r="L12">
        <f>SmtRes!CF13</f>
        <v>0</v>
      </c>
      <c r="M12">
        <f>SmtRes!CG13</f>
        <v>0</v>
      </c>
      <c r="N12">
        <f>SmtRes!CH13</f>
        <v>0</v>
      </c>
      <c r="O12">
        <f>SmtRes!CI13</f>
        <v>0</v>
      </c>
      <c r="P12">
        <f>SmtRes!CJ13</f>
        <v>0</v>
      </c>
      <c r="Q12">
        <f>SmtRes!CK13</f>
        <v>0</v>
      </c>
      <c r="R12">
        <f>SmtRes!CL13</f>
        <v>0</v>
      </c>
      <c r="S12">
        <f>SmtRes!CM13</f>
        <v>0</v>
      </c>
      <c r="T12">
        <f>SmtRes!CN13</f>
        <v>0</v>
      </c>
      <c r="U12">
        <f>SmtRes!CO13</f>
        <v>0</v>
      </c>
      <c r="V12">
        <f>SmtRes!CP13</f>
        <v>0</v>
      </c>
      <c r="W12">
        <f>SmtRes!CQ13</f>
        <v>0</v>
      </c>
      <c r="X12">
        <f>SmtRes!CR13</f>
        <v>0</v>
      </c>
      <c r="Y12">
        <f>SmtRes!CB13</f>
        <v>0</v>
      </c>
      <c r="Z12" t="s">
        <v>221</v>
      </c>
      <c r="AA12">
        <f>SmtRes!CS13</f>
        <v>0</v>
      </c>
    </row>
    <row r="13" spans="1:27">
      <c r="A13">
        <f>SmtRes!H14</f>
        <v>3</v>
      </c>
      <c r="B13" t="str">
        <f>SmtRes!I14</f>
        <v>4951541000</v>
      </c>
      <c r="C13" t="str">
        <f>SmtRes!K14</f>
        <v>ДЕТАЛИ СОЕДИНИТЕЛЬНЫЕ ДЛЯ ПОЛОТЕНЦЕСУШИТЕЛЕЙ - МУФТЫ</v>
      </c>
      <c r="D13" t="str">
        <f>SmtRes!O14</f>
        <v>шт.</v>
      </c>
      <c r="E13">
        <f>SmtRes!Y14</f>
        <v>2</v>
      </c>
      <c r="F13">
        <f>SmtRes!Y14*Source!I27</f>
        <v>2</v>
      </c>
      <c r="G13">
        <f>ROUND(SmtRes!AA14, 2)</f>
        <v>0</v>
      </c>
      <c r="H13">
        <f>ROUND(SmtRes!AA14*SmtRes!Y14*Source!I27, 2)</f>
        <v>0</v>
      </c>
      <c r="I13">
        <f>SmtRes!CC14</f>
        <v>0</v>
      </c>
      <c r="J13">
        <f>SmtRes!CD14</f>
        <v>0</v>
      </c>
      <c r="K13">
        <f>SmtRes!CE14</f>
        <v>0</v>
      </c>
      <c r="L13">
        <f>SmtRes!CF14</f>
        <v>0</v>
      </c>
      <c r="M13">
        <f>SmtRes!CG14</f>
        <v>0</v>
      </c>
      <c r="N13">
        <f>SmtRes!CH14</f>
        <v>0</v>
      </c>
      <c r="O13">
        <f>SmtRes!CI14</f>
        <v>0</v>
      </c>
      <c r="P13">
        <f>SmtRes!CJ14</f>
        <v>0</v>
      </c>
      <c r="Q13">
        <f>SmtRes!CK14</f>
        <v>0</v>
      </c>
      <c r="R13">
        <f>SmtRes!CL14</f>
        <v>0</v>
      </c>
      <c r="S13">
        <f>SmtRes!CM14</f>
        <v>0</v>
      </c>
      <c r="T13">
        <f>SmtRes!CN14</f>
        <v>0</v>
      </c>
      <c r="U13">
        <f>SmtRes!CO14</f>
        <v>0</v>
      </c>
      <c r="V13">
        <f>SmtRes!CP14</f>
        <v>0</v>
      </c>
      <c r="W13">
        <f>SmtRes!CQ14</f>
        <v>0</v>
      </c>
      <c r="X13">
        <f>SmtRes!CR14</f>
        <v>0</v>
      </c>
      <c r="Y13">
        <f>SmtRes!CB14</f>
        <v>0</v>
      </c>
      <c r="Z13" t="s">
        <v>222</v>
      </c>
      <c r="AA13">
        <f>SmtRes!CS14</f>
        <v>0</v>
      </c>
    </row>
    <row r="14" spans="1:27">
      <c r="A14">
        <f>SmtRes!H7</f>
        <v>3</v>
      </c>
      <c r="B14" t="str">
        <f>SmtRes!I7</f>
        <v>4962130000</v>
      </c>
      <c r="C14" t="str">
        <f>SmtRes!K7</f>
        <v>УМЫВАЛЬНИКИ</v>
      </c>
      <c r="D14" t="str">
        <f>SmtRes!O7</f>
        <v>компл.</v>
      </c>
      <c r="E14">
        <f>SmtRes!Y7</f>
        <v>100</v>
      </c>
      <c r="F14">
        <f>SmtRes!Y7*Source!I25</f>
        <v>1</v>
      </c>
      <c r="G14">
        <f>ROUND(SmtRes!AA7, 2)</f>
        <v>0</v>
      </c>
      <c r="H14">
        <f>ROUND(SmtRes!AA7*SmtRes!Y7*Source!I25, 2)</f>
        <v>0</v>
      </c>
      <c r="I14">
        <f>SmtRes!CC7</f>
        <v>0</v>
      </c>
      <c r="J14">
        <f>SmtRes!CD7</f>
        <v>0</v>
      </c>
      <c r="K14">
        <f>SmtRes!CE7</f>
        <v>0</v>
      </c>
      <c r="L14">
        <f>SmtRes!CF7</f>
        <v>0</v>
      </c>
      <c r="M14">
        <f>SmtRes!CG7</f>
        <v>0</v>
      </c>
      <c r="N14">
        <f>SmtRes!CH7</f>
        <v>0</v>
      </c>
      <c r="O14">
        <f>SmtRes!CI7</f>
        <v>0</v>
      </c>
      <c r="P14">
        <f>SmtRes!CJ7</f>
        <v>0</v>
      </c>
      <c r="Q14">
        <f>SmtRes!CK7</f>
        <v>0</v>
      </c>
      <c r="R14">
        <f>SmtRes!CL7</f>
        <v>0</v>
      </c>
      <c r="S14">
        <f>SmtRes!CM7</f>
        <v>0</v>
      </c>
      <c r="T14">
        <f>SmtRes!CN7</f>
        <v>0</v>
      </c>
      <c r="U14">
        <f>SmtRes!CO7</f>
        <v>0</v>
      </c>
      <c r="V14">
        <f>SmtRes!CP7</f>
        <v>0</v>
      </c>
      <c r="W14">
        <f>SmtRes!CQ7</f>
        <v>0</v>
      </c>
      <c r="X14">
        <f>SmtRes!CR7</f>
        <v>0</v>
      </c>
      <c r="Y14">
        <f>SmtRes!CB7</f>
        <v>0</v>
      </c>
      <c r="Z14" t="s">
        <v>216</v>
      </c>
      <c r="AA14">
        <f>SmtRes!CS7</f>
        <v>0</v>
      </c>
    </row>
  </sheetData>
  <sortState caseSensitive="1" ref="A1:AA14">
    <sortCondition ref="Z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123"/>
  <sheetViews>
    <sheetView tabSelected="1" zoomScale="137" zoomScaleNormal="137" workbookViewId="0">
      <selection activeCell="E17" sqref="E17"/>
    </sheetView>
  </sheetViews>
  <sheetFormatPr defaultRowHeight="12.75"/>
  <cols>
    <col min="1" max="1" width="4.7109375" customWidth="1"/>
    <col min="2" max="2" width="5.7109375" customWidth="1"/>
    <col min="3" max="3" width="12.28515625" customWidth="1"/>
    <col min="4" max="4" width="30.7109375" customWidth="1"/>
    <col min="5" max="5" width="10.7109375" customWidth="1"/>
    <col min="6" max="7" width="9.28515625" bestFit="1" customWidth="1"/>
    <col min="8" max="9" width="9.7109375" customWidth="1"/>
    <col min="10" max="10" width="10.7109375" customWidth="1"/>
    <col min="11" max="11" width="9.7109375" customWidth="1"/>
    <col min="12" max="12" width="10.7109375" customWidth="1"/>
    <col min="13" max="27" width="0" hidden="1" customWidth="1"/>
    <col min="28" max="28" width="57.5703125" hidden="1" customWidth="1"/>
    <col min="29" max="29" width="0" hidden="1" customWidth="1"/>
  </cols>
  <sheetData>
    <row r="1" spans="1:28" s="4" customFormat="1" ht="11.25">
      <c r="A1" s="59" t="str">
        <f>CONCATENATE(Source!B1, "     ТСН-2001 (© ОАО МЦЦС 'Мосстройцены', 2006)")</f>
        <v>Smeta.ru  (495) 974-1589     ТСН-2001 (© ОАО МЦЦС 'Мосстройцены', 2006)</v>
      </c>
      <c r="B1" s="59"/>
      <c r="I1" s="60" t="s">
        <v>187</v>
      </c>
      <c r="J1" s="60"/>
      <c r="K1" s="60"/>
      <c r="L1" s="60"/>
    </row>
    <row r="2" spans="1:28">
      <c r="I2" s="60" t="s">
        <v>188</v>
      </c>
      <c r="J2" s="60"/>
      <c r="K2" s="60"/>
      <c r="L2" s="60"/>
    </row>
    <row r="3" spans="1:28">
      <c r="I3" s="60" t="s">
        <v>189</v>
      </c>
      <c r="J3" s="60"/>
      <c r="K3" s="60"/>
      <c r="L3" s="60"/>
    </row>
    <row r="5" spans="1:28" s="4" customFormat="1" ht="11.25">
      <c r="K5" s="63" t="s">
        <v>190</v>
      </c>
      <c r="L5" s="64"/>
    </row>
    <row r="6" spans="1:28" s="4" customFormat="1" ht="11.25">
      <c r="J6" s="65" t="s">
        <v>191</v>
      </c>
      <c r="K6" s="63">
        <v>322005</v>
      </c>
      <c r="L6" s="64"/>
    </row>
    <row r="7" spans="1:28" s="4" customFormat="1" ht="11.25">
      <c r="A7" s="4" t="s">
        <v>192</v>
      </c>
      <c r="D7" s="66"/>
      <c r="E7" s="66"/>
      <c r="F7" s="66"/>
      <c r="G7" s="66"/>
      <c r="J7" s="65" t="s">
        <v>193</v>
      </c>
      <c r="K7" s="63"/>
      <c r="L7" s="64"/>
      <c r="AB7" s="67"/>
    </row>
    <row r="8" spans="1:28" s="4" customFormat="1" ht="11.25">
      <c r="A8" s="4" t="s">
        <v>194</v>
      </c>
      <c r="D8" s="68" t="str">
        <f>IF(Source!CG12&lt;&gt;"",Source!CG12," ")</f>
        <v xml:space="preserve"> </v>
      </c>
      <c r="E8" s="68"/>
      <c r="F8" s="68"/>
      <c r="G8" s="68"/>
      <c r="J8" s="65" t="s">
        <v>193</v>
      </c>
      <c r="K8" s="63"/>
      <c r="L8" s="64"/>
      <c r="AB8" s="69" t="str">
        <f>IF(Source!CG12&lt;&gt;"",Source!CG12," ")</f>
        <v xml:space="preserve"> </v>
      </c>
    </row>
    <row r="9" spans="1:28" s="4" customFormat="1" ht="11.25">
      <c r="A9" s="4" t="s">
        <v>195</v>
      </c>
      <c r="D9" s="68" t="str">
        <f>IF(Source!CH12&lt;&gt;"",Source!CH12," ")</f>
        <v xml:space="preserve"> </v>
      </c>
      <c r="E9" s="68"/>
      <c r="F9" s="68"/>
      <c r="G9" s="68"/>
      <c r="J9" s="65" t="s">
        <v>193</v>
      </c>
      <c r="K9" s="63"/>
      <c r="L9" s="64"/>
      <c r="AB9" s="69" t="str">
        <f>IF(Source!CH12&lt;&gt;"",Source!CH12," ")</f>
        <v xml:space="preserve"> </v>
      </c>
    </row>
    <row r="10" spans="1:28" s="4" customFormat="1" ht="11.25">
      <c r="A10" s="4" t="s">
        <v>196</v>
      </c>
      <c r="D10" s="68" t="str">
        <f>IF(Source!G4&lt;&gt;"",Source!G4,IF(Source!F4&lt;&gt;"",Source!F4,IF(Source!G5&lt;&gt;"",Source!G5,IF(Source!F5&lt;&gt;"",Source!F5,IF(Source!G6&lt;&gt;"",Source!G6,IF(Source!F6&lt;&gt;"",Source!F6," "))))))</f>
        <v xml:space="preserve"> </v>
      </c>
      <c r="E10" s="68"/>
      <c r="F10" s="68"/>
      <c r="G10" s="68"/>
      <c r="K10" s="63"/>
      <c r="L10" s="64"/>
      <c r="AB10" s="69" t="str">
        <f>IF(Source!G4&lt;&gt;"",Source!G4,IF(Source!F4&lt;&gt;"",Source!F4,IF(Source!G5&lt;&gt;"",Source!G5,IF(Source!F5&lt;&gt;"",Source!F5,IF(Source!G6&lt;&gt;"",Source!G6,IF(Source!F6&lt;&gt;"",Source!F6," "))))))</f>
        <v xml:space="preserve"> </v>
      </c>
    </row>
    <row r="11" spans="1:28" s="4" customFormat="1" ht="11.25">
      <c r="A11" s="4" t="s">
        <v>197</v>
      </c>
      <c r="D11" s="68" t="str">
        <f>IF(Source!G12&lt;&gt;"",Source!G12,IF(Source!F12&lt;&gt;"",Source!F12," "))</f>
        <v>Новый объект</v>
      </c>
      <c r="E11" s="68"/>
      <c r="F11" s="68"/>
      <c r="G11" s="68"/>
      <c r="K11" s="63"/>
      <c r="L11" s="64"/>
      <c r="AB11" s="69" t="str">
        <f>IF(Source!G12&lt;&gt;"",Source!G12,IF(Source!F12&lt;&gt;"",Source!F12," "))</f>
        <v>Новый объект</v>
      </c>
    </row>
    <row r="12" spans="1:28" s="4" customFormat="1" ht="11.25">
      <c r="H12" s="70" t="s">
        <v>198</v>
      </c>
      <c r="I12" s="70"/>
      <c r="J12" s="70"/>
      <c r="K12" s="63"/>
      <c r="L12" s="64"/>
    </row>
    <row r="13" spans="1:28" s="4" customFormat="1" ht="11.25">
      <c r="H13" s="70" t="s">
        <v>199</v>
      </c>
      <c r="I13" s="70"/>
      <c r="J13" s="75" t="s">
        <v>200</v>
      </c>
      <c r="K13" s="63"/>
      <c r="L13" s="64"/>
    </row>
    <row r="14" spans="1:28" s="4" customFormat="1" ht="11.25">
      <c r="J14" s="74" t="s">
        <v>201</v>
      </c>
      <c r="K14" s="63"/>
      <c r="L14" s="64"/>
    </row>
    <row r="15" spans="1:28" s="4" customFormat="1" ht="11.25">
      <c r="J15" s="65" t="s">
        <v>202</v>
      </c>
      <c r="K15" s="61"/>
      <c r="L15" s="62"/>
    </row>
    <row r="17" spans="1:26" ht="38.25" customHeight="1">
      <c r="H17" s="76" t="s">
        <v>203</v>
      </c>
      <c r="I17" s="76" t="s">
        <v>204</v>
      </c>
      <c r="J17" s="76" t="s">
        <v>205</v>
      </c>
      <c r="K17" s="77"/>
    </row>
    <row r="18" spans="1:26">
      <c r="H18" s="78"/>
      <c r="I18" s="78"/>
      <c r="J18" s="79" t="s">
        <v>206</v>
      </c>
      <c r="K18" s="80" t="s">
        <v>207</v>
      </c>
    </row>
    <row r="19" spans="1:26">
      <c r="H19" s="72"/>
      <c r="I19" s="72"/>
      <c r="J19" s="72"/>
      <c r="K19" s="73"/>
    </row>
    <row r="21" spans="1:26" s="82" customFormat="1">
      <c r="A21" s="81" t="s">
        <v>208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</row>
    <row r="22" spans="1:26" s="82" customFormat="1">
      <c r="A22" s="81" t="s">
        <v>209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</row>
    <row r="24" spans="1:26">
      <c r="A24" s="4" t="s">
        <v>210</v>
      </c>
      <c r="B24" s="4"/>
      <c r="C24" s="4"/>
      <c r="D24" s="4"/>
      <c r="E24" s="4"/>
      <c r="F24" s="4"/>
      <c r="G24" s="4"/>
      <c r="H24" s="83">
        <f>(Source!O22+Source!X22+Source!Y22+Source!R22*178/100)/1000</f>
        <v>2.7531892</v>
      </c>
      <c r="I24" s="83"/>
      <c r="J24" s="4" t="s">
        <v>134</v>
      </c>
      <c r="K24" s="4"/>
      <c r="L24" s="4"/>
    </row>
    <row r="25" spans="1:26">
      <c r="A25" s="4" t="s">
        <v>139</v>
      </c>
      <c r="B25" s="4"/>
      <c r="C25" s="4"/>
      <c r="D25" s="4"/>
      <c r="E25" s="18">
        <f>IF(AND(Source!P12&lt;&gt;0,Source!Q12&lt;&gt;0),DATE(Source!P12,Source!Q12,1),IF(Source!AF12=0,"",IF(Source!AN12=0,"",DATE(Source!AF12,Source!AN12,1))))</f>
        <v>40878</v>
      </c>
      <c r="F25" s="19">
        <f>IF(AND(Source!P12&lt;&gt;0,Source!Q12&lt;&gt;0),Source!P12,IF(Source!AF12=0,"",Source!AF12))</f>
        <v>2011</v>
      </c>
      <c r="G25" s="4" t="s">
        <v>140</v>
      </c>
    </row>
    <row r="27" spans="1:26">
      <c r="A27" s="104" t="s">
        <v>235</v>
      </c>
      <c r="B27" s="105"/>
      <c r="C27" s="93"/>
      <c r="D27" s="24"/>
      <c r="E27" s="24"/>
      <c r="F27" s="24"/>
      <c r="G27" s="23" t="s">
        <v>153</v>
      </c>
      <c r="H27" s="48" t="s">
        <v>156</v>
      </c>
      <c r="I27" s="49"/>
      <c r="J27" s="23" t="s">
        <v>162</v>
      </c>
      <c r="K27" s="23" t="s">
        <v>165</v>
      </c>
      <c r="L27" s="22" t="s">
        <v>162</v>
      </c>
      <c r="Z27">
        <v>-1</v>
      </c>
    </row>
    <row r="28" spans="1:26">
      <c r="A28" s="106" t="s">
        <v>142</v>
      </c>
      <c r="B28" s="106" t="s">
        <v>236</v>
      </c>
      <c r="C28" s="103" t="s">
        <v>143</v>
      </c>
      <c r="D28" s="25"/>
      <c r="E28" s="21" t="s">
        <v>148</v>
      </c>
      <c r="F28" s="21" t="s">
        <v>151</v>
      </c>
      <c r="G28" s="21" t="s">
        <v>154</v>
      </c>
      <c r="H28" s="23"/>
      <c r="I28" s="23" t="s">
        <v>159</v>
      </c>
      <c r="J28" s="21" t="s">
        <v>163</v>
      </c>
      <c r="K28" s="21" t="s">
        <v>166</v>
      </c>
      <c r="L28" s="20" t="s">
        <v>170</v>
      </c>
    </row>
    <row r="29" spans="1:26">
      <c r="A29" s="107"/>
      <c r="B29" s="107"/>
      <c r="C29" s="103" t="s">
        <v>144</v>
      </c>
      <c r="D29" s="21" t="s">
        <v>147</v>
      </c>
      <c r="E29" s="21" t="s">
        <v>149</v>
      </c>
      <c r="F29" s="21" t="s">
        <v>152</v>
      </c>
      <c r="G29" s="21" t="s">
        <v>155</v>
      </c>
      <c r="H29" s="21" t="s">
        <v>157</v>
      </c>
      <c r="I29" s="21" t="s">
        <v>160</v>
      </c>
      <c r="J29" s="21" t="s">
        <v>164</v>
      </c>
      <c r="K29" s="21" t="s">
        <v>167</v>
      </c>
      <c r="L29" s="26" t="s">
        <v>171</v>
      </c>
    </row>
    <row r="30" spans="1:26">
      <c r="A30" s="107"/>
      <c r="B30" s="107"/>
      <c r="C30" s="103" t="s">
        <v>145</v>
      </c>
      <c r="D30" s="25"/>
      <c r="E30" s="21" t="s">
        <v>150</v>
      </c>
      <c r="F30" s="25"/>
      <c r="G30" s="21" t="s">
        <v>111</v>
      </c>
      <c r="H30" s="21" t="s">
        <v>158</v>
      </c>
      <c r="I30" s="21" t="s">
        <v>161</v>
      </c>
      <c r="J30" s="21" t="s">
        <v>111</v>
      </c>
      <c r="K30" s="21" t="s">
        <v>168</v>
      </c>
      <c r="L30" s="20" t="s">
        <v>172</v>
      </c>
    </row>
    <row r="31" spans="1:26">
      <c r="A31" s="108"/>
      <c r="B31" s="108"/>
      <c r="C31" s="103" t="s">
        <v>146</v>
      </c>
      <c r="D31" s="25"/>
      <c r="E31" s="25"/>
      <c r="F31" s="25"/>
      <c r="G31" s="25"/>
      <c r="H31" s="21"/>
      <c r="I31" s="21"/>
      <c r="J31" s="21"/>
      <c r="K31" s="21" t="s">
        <v>169</v>
      </c>
      <c r="L31" s="20"/>
    </row>
    <row r="32" spans="1:26">
      <c r="A32" s="109">
        <v>1</v>
      </c>
      <c r="B32" s="109">
        <v>2</v>
      </c>
      <c r="C32" s="88">
        <v>3</v>
      </c>
      <c r="D32" s="88">
        <v>4</v>
      </c>
      <c r="E32" s="88">
        <v>5</v>
      </c>
      <c r="F32" s="88">
        <v>6</v>
      </c>
      <c r="G32" s="88">
        <v>7</v>
      </c>
      <c r="H32" s="88">
        <v>8</v>
      </c>
      <c r="I32" s="88">
        <v>9</v>
      </c>
      <c r="J32" s="88">
        <v>10</v>
      </c>
      <c r="K32" s="88">
        <v>11</v>
      </c>
      <c r="L32" s="89">
        <v>12</v>
      </c>
    </row>
    <row r="33" spans="1:26">
      <c r="A33" s="110">
        <v>1</v>
      </c>
      <c r="B33" s="110" t="str">
        <f>Source!E24</f>
        <v>1</v>
      </c>
      <c r="C33" s="29" t="str">
        <f>Source!F24</f>
        <v>6.65-3-2</v>
      </c>
      <c r="D33" s="14" t="str">
        <f>Source!G24</f>
        <v>ДЕМОНТАЖ ВЕНТИЛЯ</v>
      </c>
      <c r="E33" s="30" t="str">
        <f>Source!H24</f>
        <v>100 шт.</v>
      </c>
      <c r="F33" s="6">
        <f>ROUND(Source!I24,6)</f>
        <v>0.01</v>
      </c>
      <c r="G33" s="6"/>
      <c r="H33" s="6"/>
      <c r="I33" s="6"/>
      <c r="J33" s="6"/>
      <c r="K33" s="6"/>
      <c r="L33" s="6"/>
      <c r="Z33">
        <v>1</v>
      </c>
    </row>
    <row r="34" spans="1:26">
      <c r="A34" s="6"/>
      <c r="B34" s="6"/>
      <c r="C34" s="6"/>
      <c r="D34" s="6" t="s">
        <v>173</v>
      </c>
      <c r="E34" s="6"/>
      <c r="F34" s="6"/>
      <c r="G34" s="16">
        <f>Source!AO24</f>
        <v>576.73</v>
      </c>
      <c r="H34" s="31" t="str">
        <f>Source!DG24</f>
        <v/>
      </c>
      <c r="I34" s="6">
        <f>Source!AV24</f>
        <v>1.0469999999999999</v>
      </c>
      <c r="J34" s="16">
        <f>ROUND((Source!CT24/IF(Source!BA24&lt;&gt; 0, Source!BA24,1) * Source!I24), 2)</f>
        <v>6.04</v>
      </c>
      <c r="K34" s="6">
        <f>Source!BA24</f>
        <v>12.7</v>
      </c>
      <c r="L34" s="16">
        <f>Source!S24</f>
        <v>76.69</v>
      </c>
    </row>
    <row r="35" spans="1:26">
      <c r="A35" s="6"/>
      <c r="B35" s="6"/>
      <c r="C35" s="6"/>
      <c r="D35" s="6" t="s">
        <v>174</v>
      </c>
      <c r="E35" s="6"/>
      <c r="F35" s="6"/>
      <c r="G35" s="16">
        <f>Source!AM24</f>
        <v>0</v>
      </c>
      <c r="H35" s="31" t="str">
        <f>Source!DE24</f>
        <v/>
      </c>
      <c r="I35" s="6">
        <f>Source!AV24</f>
        <v>1.0469999999999999</v>
      </c>
      <c r="J35" s="16">
        <f>ROUND((Source!CR24/IF(Source!BB24&lt;&gt; 0, Source!BB24,1) * Source!I24), 2)</f>
        <v>0</v>
      </c>
      <c r="K35" s="6">
        <f>Source!BB24</f>
        <v>1</v>
      </c>
      <c r="L35" s="16">
        <f>Source!Q24</f>
        <v>0</v>
      </c>
    </row>
    <row r="36" spans="1:26">
      <c r="A36" s="6"/>
      <c r="B36" s="6"/>
      <c r="C36" s="6"/>
      <c r="D36" s="6" t="s">
        <v>175</v>
      </c>
      <c r="E36" s="6"/>
      <c r="F36" s="6"/>
      <c r="G36" s="16">
        <f>Source!AN24</f>
        <v>0</v>
      </c>
      <c r="H36" s="31" t="str">
        <f>Source!DF24</f>
        <v/>
      </c>
      <c r="I36" s="6">
        <f>Source!AV24</f>
        <v>1.0469999999999999</v>
      </c>
      <c r="J36" s="32" t="str">
        <f>CONCATENATE("(",TEXT(+ ROUND((Source!CS24/IF(K36&lt;&gt; 0, K36,1) * Source!I24), 2),"0,00"),")")</f>
        <v>(0,00)</v>
      </c>
      <c r="K36" s="6">
        <f>Source!BS24</f>
        <v>12.7</v>
      </c>
      <c r="L36" s="32" t="str">
        <f>CONCATENATE("(",TEXT(+Source!R24,"0,00"),")")</f>
        <v>(0,00)</v>
      </c>
      <c r="M36">
        <f>ROUND(IF(K36&lt;&gt;0, Source!R24/K36, Source!R24), 2)</f>
        <v>0</v>
      </c>
    </row>
    <row r="37" spans="1:26">
      <c r="A37" s="6"/>
      <c r="B37" s="6"/>
      <c r="C37" s="6"/>
      <c r="D37" s="6" t="s">
        <v>176</v>
      </c>
      <c r="E37" s="6"/>
      <c r="F37" s="6"/>
      <c r="G37" s="16">
        <f>Source!AL24</f>
        <v>0</v>
      </c>
      <c r="H37" s="6" t="str">
        <f>Source!DD24</f>
        <v/>
      </c>
      <c r="I37" s="6">
        <f>Source!AW24</f>
        <v>1</v>
      </c>
      <c r="J37" s="16">
        <f>ROUND((Source!CQ24/IF(Source!BC24&lt;&gt; 0, Source!BC24,1) * Source!I24), 2)</f>
        <v>0</v>
      </c>
      <c r="K37" s="6">
        <f>Source!BC24</f>
        <v>1</v>
      </c>
      <c r="L37" s="16">
        <f>Source!P24</f>
        <v>0</v>
      </c>
    </row>
    <row r="38" spans="1:26">
      <c r="A38" s="6"/>
      <c r="B38" s="6"/>
      <c r="C38" s="6"/>
      <c r="D38" s="6" t="s">
        <v>177</v>
      </c>
      <c r="E38" s="6" t="s">
        <v>178</v>
      </c>
      <c r="F38" s="6">
        <f>Source!DN24</f>
        <v>80</v>
      </c>
      <c r="G38" s="6"/>
      <c r="H38" s="6"/>
      <c r="I38" s="6"/>
      <c r="J38" s="16">
        <f>ROUND((F38/100)* ROUND((Source!CT24/IF(Source!BA24&lt;&gt; 0, Source!BA24,1) * Source!I24), 2), 2)</f>
        <v>4.83</v>
      </c>
      <c r="K38" s="6">
        <f>Source!AT24</f>
        <v>77</v>
      </c>
      <c r="L38" s="16">
        <f>Source!X24</f>
        <v>59.05</v>
      </c>
    </row>
    <row r="39" spans="1:26">
      <c r="A39" s="6"/>
      <c r="B39" s="6"/>
      <c r="C39" s="6"/>
      <c r="D39" s="6" t="s">
        <v>179</v>
      </c>
      <c r="E39" s="6" t="s">
        <v>178</v>
      </c>
      <c r="F39" s="6">
        <f>Source!DO24</f>
        <v>55</v>
      </c>
      <c r="G39" s="6"/>
      <c r="H39" s="6"/>
      <c r="I39" s="6"/>
      <c r="J39" s="16">
        <f>ROUND((F39/100)* ROUND((Source!CT24/IF(Source!BA24&lt;&gt; 0, Source!BA24,1) * Source!I24), 2), 2)</f>
        <v>3.32</v>
      </c>
      <c r="K39" s="6">
        <f>Source!AU24</f>
        <v>45</v>
      </c>
      <c r="L39" s="16">
        <f>Source!Y24</f>
        <v>34.51</v>
      </c>
    </row>
    <row r="40" spans="1:26">
      <c r="A40" s="6"/>
      <c r="B40" s="6"/>
      <c r="C40" s="6"/>
      <c r="D40" s="6" t="s">
        <v>86</v>
      </c>
      <c r="E40" s="6" t="s">
        <v>178</v>
      </c>
      <c r="F40" s="6">
        <v>175</v>
      </c>
      <c r="G40" s="6"/>
      <c r="H40" s="6"/>
      <c r="I40" s="6"/>
      <c r="J40" s="16">
        <f>ROUND(ROUND((Source!CS24/IF(Source!BS24&lt;&gt; 0, Source!BS24,1) * Source!I24), 2)*1.75, 2)</f>
        <v>0</v>
      </c>
      <c r="K40" s="6">
        <v>178</v>
      </c>
      <c r="L40" s="16">
        <f>ROUND(Source!R24*K40/100, 2)</f>
        <v>0</v>
      </c>
    </row>
    <row r="41" spans="1:26">
      <c r="A41" s="33"/>
      <c r="B41" s="33"/>
      <c r="C41" s="33"/>
      <c r="D41" s="33" t="s">
        <v>180</v>
      </c>
      <c r="E41" s="33" t="s">
        <v>181</v>
      </c>
      <c r="F41" s="33">
        <f>Source!AQ24</f>
        <v>45.7</v>
      </c>
      <c r="G41" s="33"/>
      <c r="H41" s="34" t="str">
        <f>Source!DI24</f>
        <v/>
      </c>
      <c r="I41" s="33">
        <f>Source!AV24</f>
        <v>1.0469999999999999</v>
      </c>
      <c r="J41" s="35">
        <f>ROUND(Source!U24,2)</f>
        <v>0.48</v>
      </c>
      <c r="K41" s="33"/>
      <c r="L41" s="33"/>
    </row>
    <row r="42" spans="1:26">
      <c r="J42" s="36">
        <f>ROUND((Source!CT24/IF(Source!BA24 &lt;&gt;0, Source!BA24, 1) * Source!I24), 2)+ROUND((Source!CR24 / IF(Source!BB24 &lt;&gt;0, Source!BB24, 1) * Source!I24), 2)+SUM(J37:J40)</f>
        <v>14.190000000000001</v>
      </c>
      <c r="K42" s="9"/>
      <c r="L42" s="36">
        <f>Source!S24+Source!Q24+SUM(L37:L40)</f>
        <v>170.25</v>
      </c>
      <c r="M42">
        <f>ROUND((Source!CT24/IF(Source!BA24&lt;&gt; 0, Source!BA24,1) * Source!I24), 2)</f>
        <v>6.04</v>
      </c>
      <c r="N42" s="17">
        <f>J42</f>
        <v>14.190000000000001</v>
      </c>
      <c r="O42" s="17">
        <f>L42</f>
        <v>170.25</v>
      </c>
      <c r="P42">
        <f>ROUND(IF( Source!BI24 = 1,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14.19</v>
      </c>
      <c r="Q42">
        <f>ROUND(IF( Source!BI24 = 2,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R42">
        <f>ROUND(IF( Source!BI24 = 3,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S42">
        <f>ROUND(IF( Source!BI24 = 4,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V42">
        <f>IF( Source!BI24 = 1, Source!O24 + Source!X24 + Source!Y24 + Source!R24*178/100, 0 )</f>
        <v>170.25</v>
      </c>
      <c r="W42">
        <f>IF( Source!BI24 = 2, Source!O24 + Source!X24 + Source!Y24 + Source!R24*178/100, 0 )</f>
        <v>0</v>
      </c>
      <c r="X42">
        <f>IF( Source!BI24 = 3, Source!O24 + Source!X24 + Source!Y24 + Source!R24*178/100, 0 )</f>
        <v>0</v>
      </c>
      <c r="Y42">
        <f>IF( Source!BI24 = 4, Source!O24 + Source!X24 + Source!Y24 + Source!R24*178/100, 0 )</f>
        <v>0</v>
      </c>
    </row>
    <row r="43" spans="1:26" ht="36">
      <c r="A43" s="110">
        <v>2</v>
      </c>
      <c r="B43" s="110" t="str">
        <f>Source!E25</f>
        <v>2</v>
      </c>
      <c r="C43" s="29" t="str">
        <f>Source!F25</f>
        <v>6.65-10-1</v>
      </c>
      <c r="D43" s="14" t="str">
        <f>Source!G25</f>
        <v>СМЕНА САНИТАРНО-ТЕХНИЧЕСКИХ ПРИБОРОВ РАКОВИН (УМЫВАЛЬНИКОВ)</v>
      </c>
      <c r="E43" s="30" t="str">
        <f>Source!H25</f>
        <v>100 компл.</v>
      </c>
      <c r="F43" s="6">
        <f>ROUND(Source!I25,6)</f>
        <v>0.01</v>
      </c>
      <c r="G43" s="6"/>
      <c r="H43" s="6"/>
      <c r="I43" s="6"/>
      <c r="J43" s="6"/>
      <c r="K43" s="6"/>
      <c r="L43" s="6"/>
      <c r="Z43">
        <v>2</v>
      </c>
    </row>
    <row r="44" spans="1:26">
      <c r="A44" s="6"/>
      <c r="B44" s="6"/>
      <c r="C44" s="6"/>
      <c r="D44" s="6" t="s">
        <v>173</v>
      </c>
      <c r="E44" s="6"/>
      <c r="F44" s="6"/>
      <c r="G44" s="16">
        <f>Source!AO25</f>
        <v>2550.36</v>
      </c>
      <c r="H44" s="31" t="str">
        <f>Source!DG25</f>
        <v/>
      </c>
      <c r="I44" s="6">
        <f>Source!AV25</f>
        <v>1.0669999999999999</v>
      </c>
      <c r="J44" s="16">
        <f>ROUND((Source!CT25/IF(Source!BA25&lt;&gt; 0, Source!BA25,1) * Source!I25), 2)</f>
        <v>27.21</v>
      </c>
      <c r="K44" s="6">
        <f>Source!BA25</f>
        <v>12.7</v>
      </c>
      <c r="L44" s="16">
        <f>Source!S25</f>
        <v>345.6</v>
      </c>
    </row>
    <row r="45" spans="1:26">
      <c r="A45" s="6"/>
      <c r="B45" s="6"/>
      <c r="C45" s="6"/>
      <c r="D45" s="6" t="s">
        <v>174</v>
      </c>
      <c r="E45" s="6"/>
      <c r="F45" s="6"/>
      <c r="G45" s="16">
        <f>Source!AM25</f>
        <v>0</v>
      </c>
      <c r="H45" s="31" t="str">
        <f>Source!DE25</f>
        <v/>
      </c>
      <c r="I45" s="6">
        <f>Source!AV25</f>
        <v>1.0669999999999999</v>
      </c>
      <c r="J45" s="16">
        <f>ROUND((Source!CR25/IF(Source!BB25&lt;&gt; 0, Source!BB25,1) * Source!I25), 2)</f>
        <v>0</v>
      </c>
      <c r="K45" s="6">
        <f>Source!BB25</f>
        <v>1</v>
      </c>
      <c r="L45" s="16">
        <f>Source!Q25</f>
        <v>0</v>
      </c>
    </row>
    <row r="46" spans="1:26">
      <c r="A46" s="6"/>
      <c r="B46" s="6"/>
      <c r="C46" s="6"/>
      <c r="D46" s="6" t="s">
        <v>175</v>
      </c>
      <c r="E46" s="6"/>
      <c r="F46" s="6"/>
      <c r="G46" s="16">
        <f>Source!AN25</f>
        <v>0</v>
      </c>
      <c r="H46" s="31" t="str">
        <f>Source!DF25</f>
        <v/>
      </c>
      <c r="I46" s="6">
        <f>Source!AV25</f>
        <v>1.0669999999999999</v>
      </c>
      <c r="J46" s="32" t="str">
        <f>CONCATENATE("(",TEXT(+ ROUND((Source!CS25/IF(K46&lt;&gt; 0, K46,1) * Source!I25), 2),"0,00"),")")</f>
        <v>(0,00)</v>
      </c>
      <c r="K46" s="6">
        <f>Source!BS25</f>
        <v>12.7</v>
      </c>
      <c r="L46" s="32" t="str">
        <f>CONCATENATE("(",TEXT(+Source!R25,"0,00"),")")</f>
        <v>(0,00)</v>
      </c>
      <c r="M46">
        <f>ROUND(IF(K46&lt;&gt;0, Source!R25/K46, Source!R25), 2)</f>
        <v>0</v>
      </c>
    </row>
    <row r="47" spans="1:26">
      <c r="A47" s="6"/>
      <c r="B47" s="6"/>
      <c r="C47" s="6"/>
      <c r="D47" s="6" t="s">
        <v>176</v>
      </c>
      <c r="E47" s="6"/>
      <c r="F47" s="6"/>
      <c r="G47" s="16">
        <f>Source!AL25</f>
        <v>229.06</v>
      </c>
      <c r="H47" s="6" t="str">
        <f>Source!DD25</f>
        <v/>
      </c>
      <c r="I47" s="6">
        <f>Source!AW25</f>
        <v>1</v>
      </c>
      <c r="J47" s="16">
        <f>ROUND((Source!CQ25/IF(Source!BC25&lt;&gt; 0, Source!BC25,1) * Source!I25), 2)</f>
        <v>2.29</v>
      </c>
      <c r="K47" s="6">
        <f>Source!BC25</f>
        <v>4.2300000000000004</v>
      </c>
      <c r="L47" s="16">
        <f>Source!P25</f>
        <v>9.69</v>
      </c>
    </row>
    <row r="48" spans="1:26">
      <c r="A48" s="110">
        <v>3</v>
      </c>
      <c r="B48" s="110" t="str">
        <f>Source!E26</f>
        <v>2,1</v>
      </c>
      <c r="C48" s="29" t="str">
        <f>Source!F26</f>
        <v>4962130000</v>
      </c>
      <c r="D48" s="14" t="str">
        <f>Source!G26</f>
        <v>УМЫВАЛЬНИКИ</v>
      </c>
      <c r="E48" s="30" t="str">
        <f>Source!H26</f>
        <v>компл.</v>
      </c>
      <c r="F48" s="6">
        <f>ROUND(Source!I26,6)</f>
        <v>1</v>
      </c>
      <c r="G48" s="16">
        <f>IF(Source!AL26=0,Source!AK26,Source!AL26)</f>
        <v>0</v>
      </c>
      <c r="H48" s="31" t="str">
        <f>Source!DD26</f>
        <v/>
      </c>
      <c r="I48" s="6">
        <f>Source!AW26</f>
        <v>1</v>
      </c>
      <c r="J48" s="16">
        <f>ROUND((Source!CR26/IF(Source!BB26&lt;&gt; 0, Source!BB26,1) * Source!I26), 2) + ROUND((Source!CQ26/IF(Source!BC26&lt;&gt; 0, Source!BC26,1) * Source!I26), 2) + ROUND((Source!CT26/IF(Source!BA26&lt;&gt; 0, Source!BA26,1) * Source!I26), 2)</f>
        <v>0</v>
      </c>
      <c r="K48" s="6">
        <f>Source!BC26</f>
        <v>1</v>
      </c>
      <c r="L48" s="16">
        <f>Source!O26</f>
        <v>0</v>
      </c>
      <c r="P48">
        <f>IF( Source!BI26 = 1,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Q48">
        <f>IF( Source!BI26 = 2,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R48">
        <f>IF( Source!BI26 = 3,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S48">
        <f>IF( Source!BI26 = 4,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V48">
        <f>IF( Source!BI26 = 1, Source!O26 + Source!X26 + Source!Y26, 0 )</f>
        <v>0</v>
      </c>
      <c r="W48">
        <f>IF( Source!BI26 = 2, Source!O26 + Source!X26 + Source!Y26, 0 )</f>
        <v>0</v>
      </c>
      <c r="X48">
        <f>IF( Source!BI26 = 3, Source!O26 + Source!X26 + Source!Y26, 0 )</f>
        <v>0</v>
      </c>
      <c r="Y48">
        <f>IF( Source!BI26 = 4, Source!O26 + Source!X26 + Source!Y26, 0 )</f>
        <v>0</v>
      </c>
      <c r="Z48">
        <v>3</v>
      </c>
    </row>
    <row r="49" spans="1:26">
      <c r="A49" s="6"/>
      <c r="B49" s="6"/>
      <c r="C49" s="6"/>
      <c r="D49" s="6" t="s">
        <v>177</v>
      </c>
      <c r="E49" s="6" t="s">
        <v>178</v>
      </c>
      <c r="F49" s="6">
        <f>Source!DN25</f>
        <v>110</v>
      </c>
      <c r="G49" s="6"/>
      <c r="H49" s="6"/>
      <c r="I49" s="6"/>
      <c r="J49" s="16">
        <f>ROUND((F49/100)* ROUND((Source!CT25/IF(Source!BA25&lt;&gt; 0, Source!BA25,1) * Source!I25), 2), 2)</f>
        <v>29.93</v>
      </c>
      <c r="K49" s="6">
        <f>Source!AT25</f>
        <v>100</v>
      </c>
      <c r="L49" s="16">
        <f>Source!X25</f>
        <v>345.6</v>
      </c>
    </row>
    <row r="50" spans="1:26">
      <c r="A50" s="6"/>
      <c r="B50" s="6"/>
      <c r="C50" s="6"/>
      <c r="D50" s="6" t="s">
        <v>179</v>
      </c>
      <c r="E50" s="6" t="s">
        <v>178</v>
      </c>
      <c r="F50" s="6">
        <f>Source!DO25</f>
        <v>74</v>
      </c>
      <c r="G50" s="6"/>
      <c r="H50" s="6"/>
      <c r="I50" s="6"/>
      <c r="J50" s="16">
        <f>ROUND((F50/100)* ROUND((Source!CT25/IF(Source!BA25&lt;&gt; 0, Source!BA25,1) * Source!I25), 2), 2)</f>
        <v>20.14</v>
      </c>
      <c r="K50" s="6">
        <f>Source!AU25</f>
        <v>45</v>
      </c>
      <c r="L50" s="16">
        <f>Source!Y25</f>
        <v>155.52000000000001</v>
      </c>
    </row>
    <row r="51" spans="1:26">
      <c r="A51" s="6"/>
      <c r="B51" s="6"/>
      <c r="C51" s="6"/>
      <c r="D51" s="6" t="s">
        <v>86</v>
      </c>
      <c r="E51" s="6" t="s">
        <v>178</v>
      </c>
      <c r="F51" s="6">
        <v>175</v>
      </c>
      <c r="G51" s="6"/>
      <c r="H51" s="6"/>
      <c r="I51" s="6"/>
      <c r="J51" s="16">
        <f>ROUND(ROUND((Source!CS25/IF(Source!BS25&lt;&gt; 0, Source!BS25,1) * Source!I25), 2)*1.75, 2)</f>
        <v>0</v>
      </c>
      <c r="K51" s="6">
        <v>178</v>
      </c>
      <c r="L51" s="16">
        <f>ROUND(Source!R25*K51/100, 2)</f>
        <v>0</v>
      </c>
    </row>
    <row r="52" spans="1:26">
      <c r="A52" s="33"/>
      <c r="B52" s="33"/>
      <c r="C52" s="33"/>
      <c r="D52" s="33" t="s">
        <v>180</v>
      </c>
      <c r="E52" s="33" t="s">
        <v>181</v>
      </c>
      <c r="F52" s="33">
        <f>Source!AQ25</f>
        <v>212</v>
      </c>
      <c r="G52" s="33"/>
      <c r="H52" s="34" t="str">
        <f>Source!DI25</f>
        <v/>
      </c>
      <c r="I52" s="33">
        <f>Source!AV25</f>
        <v>1.0669999999999999</v>
      </c>
      <c r="J52" s="35">
        <f>ROUND(Source!U25,2)</f>
        <v>2.2599999999999998</v>
      </c>
      <c r="K52" s="33"/>
      <c r="L52" s="33"/>
    </row>
    <row r="53" spans="1:26">
      <c r="J53" s="36">
        <f>ROUND((Source!CT25/IF(Source!BA25 &lt;&gt;0, Source!BA25, 1) * Source!I25), 2)+ROUND((Source!CR25 / IF(Source!BB25 &lt;&gt;0, Source!BB25, 1) * Source!I25), 2)+SUM(J47:J51)</f>
        <v>79.569999999999993</v>
      </c>
      <c r="K53" s="9"/>
      <c r="L53" s="36">
        <f>Source!S25+Source!Q25+SUM(L47:L51)</f>
        <v>856.41000000000008</v>
      </c>
      <c r="M53">
        <f>ROUND((Source!CT25/IF(Source!BA25&lt;&gt; 0, Source!BA25,1) * Source!I25), 2)</f>
        <v>27.21</v>
      </c>
      <c r="N53" s="17">
        <f>J53</f>
        <v>79.569999999999993</v>
      </c>
      <c r="O53" s="17">
        <f>L53</f>
        <v>856.41000000000008</v>
      </c>
      <c r="P53">
        <f>ROUND(IF( Source!BI25 = 1,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79.569999999999993</v>
      </c>
      <c r="Q53">
        <f>ROUND(IF( Source!BI25 = 2,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0</v>
      </c>
      <c r="R53">
        <f>ROUND(IF( Source!BI25 = 3,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0</v>
      </c>
      <c r="S53">
        <f>ROUND(IF( Source!BI25 = 4,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0</v>
      </c>
      <c r="V53">
        <f>IF( Source!BI25 = 1, Source!O25 + Source!X25 + Source!Y25 + Source!R25*178/100, 0 )</f>
        <v>856.41000000000008</v>
      </c>
      <c r="W53">
        <f>IF( Source!BI25 = 2, Source!O25 + Source!X25 + Source!Y25 + Source!R25*178/100, 0 )</f>
        <v>0</v>
      </c>
      <c r="X53">
        <f>IF( Source!BI25 = 3, Source!O25 + Source!X25 + Source!Y25 + Source!R25*178/100, 0 )</f>
        <v>0</v>
      </c>
      <c r="Y53">
        <f>IF( Source!BI25 = 4, Source!O25 + Source!X25 + Source!Y25 + Source!R25*178/100, 0 )</f>
        <v>0</v>
      </c>
    </row>
    <row r="54" spans="1:26" ht="48">
      <c r="A54" s="110">
        <v>4</v>
      </c>
      <c r="B54" s="110" t="str">
        <f>Source!E27</f>
        <v>3</v>
      </c>
      <c r="C54" s="29" t="str">
        <f>Source!F27</f>
        <v>3.17-2-7</v>
      </c>
      <c r="D54" s="14" t="str">
        <f>Source!G27</f>
        <v>УСТАНОВКА ПОЛОТЕНЦЕСУШИТЕЛЕЙ ИЗ НЕРЖАВЕЮЩЕЙ СТАЛИ ТИПА "ЛЕСЕНКА"</v>
      </c>
      <c r="E54" s="30" t="str">
        <f>Source!H27</f>
        <v>шт.</v>
      </c>
      <c r="F54" s="6">
        <f>ROUND(Source!I27,6)</f>
        <v>1</v>
      </c>
      <c r="G54" s="6"/>
      <c r="H54" s="6"/>
      <c r="I54" s="6"/>
      <c r="J54" s="6"/>
      <c r="K54" s="6"/>
      <c r="L54" s="6"/>
      <c r="Z54">
        <v>4</v>
      </c>
    </row>
    <row r="55" spans="1:26">
      <c r="A55" s="6"/>
      <c r="B55" s="6"/>
      <c r="C55" s="6"/>
      <c r="D55" s="6" t="s">
        <v>173</v>
      </c>
      <c r="E55" s="6"/>
      <c r="F55" s="6"/>
      <c r="G55" s="16">
        <f>Source!AO27</f>
        <v>32.42</v>
      </c>
      <c r="H55" s="31" t="str">
        <f>Source!DG27</f>
        <v>)*1,15</v>
      </c>
      <c r="I55" s="6">
        <f>Source!AV27</f>
        <v>1.0669999999999999</v>
      </c>
      <c r="J55" s="16">
        <f>ROUND((Source!CT27/IF(Source!BA27&lt;&gt; 0, Source!BA27,1) * Source!I27), 2)</f>
        <v>39.78</v>
      </c>
      <c r="K55" s="6">
        <f>Source!BA27</f>
        <v>12.7</v>
      </c>
      <c r="L55" s="16">
        <f>Source!S27</f>
        <v>505.22</v>
      </c>
    </row>
    <row r="56" spans="1:26">
      <c r="A56" s="6"/>
      <c r="B56" s="6"/>
      <c r="C56" s="6"/>
      <c r="D56" s="6" t="s">
        <v>174</v>
      </c>
      <c r="E56" s="6"/>
      <c r="F56" s="6"/>
      <c r="G56" s="16">
        <f>Source!AM27</f>
        <v>0.16</v>
      </c>
      <c r="H56" s="31" t="str">
        <f>Source!DE27</f>
        <v>*1,25</v>
      </c>
      <c r="I56" s="6">
        <f>Source!AV27</f>
        <v>1.0669999999999999</v>
      </c>
      <c r="J56" s="16">
        <f>ROUND((Source!CR27/IF(Source!BB27&lt;&gt; 0, Source!BB27,1) * Source!I27), 2)</f>
        <v>0.21</v>
      </c>
      <c r="K56" s="6">
        <f>Source!BB27</f>
        <v>6.8</v>
      </c>
      <c r="L56" s="16">
        <f>Source!Q27</f>
        <v>1.45</v>
      </c>
    </row>
    <row r="57" spans="1:26">
      <c r="A57" s="6"/>
      <c r="B57" s="6"/>
      <c r="C57" s="6"/>
      <c r="D57" s="6" t="s">
        <v>175</v>
      </c>
      <c r="E57" s="6"/>
      <c r="F57" s="6"/>
      <c r="G57" s="16">
        <f>Source!AN27</f>
        <v>0.02</v>
      </c>
      <c r="H57" s="31" t="str">
        <f>Source!DF27</f>
        <v>*1,25</v>
      </c>
      <c r="I57" s="6">
        <f>Source!AV27</f>
        <v>1.0669999999999999</v>
      </c>
      <c r="J57" s="32" t="str">
        <f>CONCATENATE("(",TEXT(+ ROUND((Source!CS27/IF(K57&lt;&gt; 0, K57,1) * Source!I27), 2),"0,00"),")")</f>
        <v>(0,03)</v>
      </c>
      <c r="K57" s="6">
        <f>Source!BS27</f>
        <v>12.7</v>
      </c>
      <c r="L57" s="32" t="str">
        <f>CONCATENATE("(",TEXT(+Source!R27,"0,00"),")")</f>
        <v>(0,34)</v>
      </c>
      <c r="M57">
        <f>ROUND(IF(K57&lt;&gt;0, Source!R27/K57, Source!R27), 2)</f>
        <v>0.03</v>
      </c>
    </row>
    <row r="58" spans="1:26">
      <c r="A58" s="6"/>
      <c r="B58" s="6"/>
      <c r="C58" s="6"/>
      <c r="D58" s="6" t="s">
        <v>176</v>
      </c>
      <c r="E58" s="6"/>
      <c r="F58" s="6"/>
      <c r="G58" s="16">
        <f>Source!AL27</f>
        <v>2.97</v>
      </c>
      <c r="H58" s="6" t="str">
        <f>Source!DD27</f>
        <v/>
      </c>
      <c r="I58" s="6">
        <f>Source!AW27</f>
        <v>1</v>
      </c>
      <c r="J58" s="16">
        <f>ROUND((Source!CQ27/IF(Source!BC27&lt;&gt; 0, Source!BC27,1) * Source!I27), 2)</f>
        <v>2.97</v>
      </c>
      <c r="K58" s="6">
        <f>Source!BC27</f>
        <v>3.58</v>
      </c>
      <c r="L58" s="16">
        <f>Source!P27</f>
        <v>10.63</v>
      </c>
    </row>
    <row r="59" spans="1:26" ht="24">
      <c r="A59" s="110">
        <v>5</v>
      </c>
      <c r="B59" s="110" t="str">
        <f>Source!E28</f>
        <v>3,1</v>
      </c>
      <c r="C59" s="29" t="str">
        <f>Source!F28</f>
        <v>4951511000</v>
      </c>
      <c r="D59" s="14" t="str">
        <f>Source!G28</f>
        <v>ПОЛОТЕНЦЕСУШИТЕЛИ ИЗ НЕРЖАВЕЮЩЕЙ СТАЛИ</v>
      </c>
      <c r="E59" s="30" t="str">
        <f>Source!H28</f>
        <v>шт.</v>
      </c>
      <c r="F59" s="6">
        <f>ROUND(Source!I28,6)</f>
        <v>1</v>
      </c>
      <c r="G59" s="16">
        <f>IF(Source!AL28=0,Source!AK28,Source!AL28)</f>
        <v>0</v>
      </c>
      <c r="H59" s="31" t="str">
        <f>Source!DD28</f>
        <v/>
      </c>
      <c r="I59" s="6">
        <f>Source!AW28</f>
        <v>1</v>
      </c>
      <c r="J59" s="16">
        <f>ROUND((Source!CR28/IF(Source!BB28&lt;&gt; 0, Source!BB28,1) * Source!I28), 2) + ROUND((Source!CQ28/IF(Source!BC28&lt;&gt; 0, Source!BC28,1) * Source!I28), 2) + ROUND((Source!CT28/IF(Source!BA28&lt;&gt; 0, Source!BA28,1) * Source!I28), 2)</f>
        <v>0</v>
      </c>
      <c r="K59" s="6">
        <f>Source!BC28</f>
        <v>1</v>
      </c>
      <c r="L59" s="16">
        <f>Source!O28</f>
        <v>0</v>
      </c>
      <c r="P59">
        <f>IF( Source!BI28 = 1,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Q59">
        <f>IF( Source!BI28 = 2,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R59">
        <f>IF( Source!BI28 = 3,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S59">
        <f>IF( Source!BI28 = 4,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V59">
        <f>IF( Source!BI28 = 1, Source!O28 + Source!X28 + Source!Y28, 0 )</f>
        <v>0</v>
      </c>
      <c r="W59">
        <f>IF( Source!BI28 = 2, Source!O28 + Source!X28 + Source!Y28, 0 )</f>
        <v>0</v>
      </c>
      <c r="X59">
        <f>IF( Source!BI28 = 3, Source!O28 + Source!X28 + Source!Y28, 0 )</f>
        <v>0</v>
      </c>
      <c r="Y59">
        <f>IF( Source!BI28 = 4, Source!O28 + Source!X28 + Source!Y28, 0 )</f>
        <v>0</v>
      </c>
      <c r="Z59">
        <v>5</v>
      </c>
    </row>
    <row r="60" spans="1:26" ht="36">
      <c r="A60" s="110">
        <v>6</v>
      </c>
      <c r="B60" s="110" t="str">
        <f>Source!E29</f>
        <v>3,2</v>
      </c>
      <c r="C60" s="29" t="str">
        <f>Source!F29</f>
        <v>4951541000</v>
      </c>
      <c r="D60" s="14" t="str">
        <f>Source!G29</f>
        <v>ДЕТАЛИ СОЕДИНИТЕЛЬНЫЕ ДЛЯ ПОЛОТЕНЦЕСУШИТЕЛЕЙ - МУФТЫ</v>
      </c>
      <c r="E60" s="30" t="str">
        <f>Source!H29</f>
        <v>шт.</v>
      </c>
      <c r="F60" s="6">
        <f>ROUND(Source!I29,6)</f>
        <v>2</v>
      </c>
      <c r="G60" s="16">
        <f>IF(Source!AL29=0,Source!AK29,Source!AL29)</f>
        <v>0</v>
      </c>
      <c r="H60" s="31" t="str">
        <f>Source!DD29</f>
        <v/>
      </c>
      <c r="I60" s="6">
        <f>Source!AW29</f>
        <v>1</v>
      </c>
      <c r="J60" s="16">
        <f>ROUND((Source!CR29/IF(Source!BB29&lt;&gt; 0, Source!BB29,1) * Source!I29), 2) + ROUND((Source!CQ29/IF(Source!BC29&lt;&gt; 0, Source!BC29,1) * Source!I29), 2) + ROUND((Source!CT29/IF(Source!BA29&lt;&gt; 0, Source!BA29,1) * Source!I29), 2)</f>
        <v>0</v>
      </c>
      <c r="K60" s="6">
        <f>Source!BC29</f>
        <v>1</v>
      </c>
      <c r="L60" s="16">
        <f>Source!O29</f>
        <v>0</v>
      </c>
      <c r="P60">
        <f>IF( Source!BI29 = 1,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Q60">
        <f>IF( Source!BI29 = 2,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R60">
        <f>IF( Source!BI29 = 3,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S60">
        <f>IF( Source!BI29 = 4,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V60">
        <f>IF( Source!BI29 = 1, Source!O29 + Source!X29 + Source!Y29, 0 )</f>
        <v>0</v>
      </c>
      <c r="W60">
        <f>IF( Source!BI29 = 2, Source!O29 + Source!X29 + Source!Y29, 0 )</f>
        <v>0</v>
      </c>
      <c r="X60">
        <f>IF( Source!BI29 = 3, Source!O29 + Source!X29 + Source!Y29, 0 )</f>
        <v>0</v>
      </c>
      <c r="Y60">
        <f>IF( Source!BI29 = 4, Source!O29 + Source!X29 + Source!Y29, 0 )</f>
        <v>0</v>
      </c>
      <c r="Z60">
        <v>6</v>
      </c>
    </row>
    <row r="61" spans="1:26">
      <c r="A61" s="6"/>
      <c r="B61" s="6"/>
      <c r="C61" s="6"/>
      <c r="D61" s="6" t="s">
        <v>177</v>
      </c>
      <c r="E61" s="6" t="s">
        <v>178</v>
      </c>
      <c r="F61" s="6">
        <f>Source!DN27</f>
        <v>125</v>
      </c>
      <c r="G61" s="6"/>
      <c r="H61" s="6"/>
      <c r="I61" s="6"/>
      <c r="J61" s="16">
        <f>ROUND((F61/100)* ROUND((Source!CT27/IF(Source!BA27&lt;&gt; 0, Source!BA27,1) * Source!I27), 2), 2)</f>
        <v>49.73</v>
      </c>
      <c r="K61" s="6">
        <f>Source!AT27</f>
        <v>115</v>
      </c>
      <c r="L61" s="16">
        <f>Source!X27</f>
        <v>581</v>
      </c>
    </row>
    <row r="62" spans="1:26">
      <c r="A62" s="6"/>
      <c r="B62" s="6"/>
      <c r="C62" s="6"/>
      <c r="D62" s="6" t="s">
        <v>179</v>
      </c>
      <c r="E62" s="6" t="s">
        <v>178</v>
      </c>
      <c r="F62" s="6">
        <f>Source!DO27</f>
        <v>94</v>
      </c>
      <c r="G62" s="6"/>
      <c r="H62" s="6"/>
      <c r="I62" s="6"/>
      <c r="J62" s="16">
        <f>ROUND((F62/100)* ROUND((Source!CT27/IF(Source!BA27&lt;&gt; 0, Source!BA27,1) * Source!I27), 2), 2)</f>
        <v>37.39</v>
      </c>
      <c r="K62" s="6">
        <f>Source!AU27</f>
        <v>53</v>
      </c>
      <c r="L62" s="16">
        <f>Source!Y27</f>
        <v>267.77</v>
      </c>
    </row>
    <row r="63" spans="1:26">
      <c r="A63" s="6"/>
      <c r="B63" s="6"/>
      <c r="C63" s="6"/>
      <c r="D63" s="6" t="s">
        <v>86</v>
      </c>
      <c r="E63" s="6" t="s">
        <v>178</v>
      </c>
      <c r="F63" s="6">
        <v>175</v>
      </c>
      <c r="G63" s="6"/>
      <c r="H63" s="6"/>
      <c r="I63" s="6"/>
      <c r="J63" s="16">
        <f>ROUND(ROUND((Source!CS27/IF(Source!BS27&lt;&gt; 0, Source!BS27,1) * Source!I27), 2)*1.75, 2)</f>
        <v>0.05</v>
      </c>
      <c r="K63" s="6">
        <v>178</v>
      </c>
      <c r="L63" s="16">
        <f>ROUND(Source!R27*K63/100, 2)</f>
        <v>0.61</v>
      </c>
    </row>
    <row r="64" spans="1:26">
      <c r="A64" s="33"/>
      <c r="B64" s="33"/>
      <c r="C64" s="33"/>
      <c r="D64" s="33" t="s">
        <v>180</v>
      </c>
      <c r="E64" s="33" t="s">
        <v>181</v>
      </c>
      <c r="F64" s="33">
        <f>Source!AQ27</f>
        <v>2.76</v>
      </c>
      <c r="G64" s="33"/>
      <c r="H64" s="34" t="str">
        <f>Source!DI27</f>
        <v>)*1,15</v>
      </c>
      <c r="I64" s="33">
        <f>Source!AV27</f>
        <v>1.0669999999999999</v>
      </c>
      <c r="J64" s="35">
        <f>ROUND(Source!U27,2)</f>
        <v>3.39</v>
      </c>
      <c r="K64" s="33"/>
      <c r="L64" s="33"/>
    </row>
    <row r="65" spans="1:26">
      <c r="J65" s="36">
        <f>ROUND((Source!CT27/IF(Source!BA27 &lt;&gt;0, Source!BA27, 1) * Source!I27), 2)+ROUND((Source!CR27 / IF(Source!BB27 &lt;&gt;0, Source!BB27, 1) * Source!I27), 2)+SUM(J58:J63)</f>
        <v>130.13</v>
      </c>
      <c r="K65" s="9"/>
      <c r="L65" s="36">
        <f>Source!S27+Source!Q27+SUM(L58:L63)</f>
        <v>1366.68</v>
      </c>
      <c r="M65">
        <f>ROUND((Source!CT27/IF(Source!BA27&lt;&gt; 0, Source!BA27,1) * Source!I27), 2)</f>
        <v>39.78</v>
      </c>
      <c r="N65" s="17">
        <f>J65</f>
        <v>130.13</v>
      </c>
      <c r="O65" s="17">
        <f>L65</f>
        <v>1366.68</v>
      </c>
      <c r="P65">
        <f>ROUND(IF( Source!BI27 = 1,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130.13</v>
      </c>
      <c r="Q65">
        <f>ROUND(IF( Source!BI27 = 2,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0</v>
      </c>
      <c r="R65">
        <f>ROUND(IF( Source!BI27 = 3,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0</v>
      </c>
      <c r="S65">
        <f>ROUND(IF( Source!BI27 = 4,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0</v>
      </c>
      <c r="V65">
        <f>IF( Source!BI27 = 1, Source!O27 + Source!X27 + Source!Y27 + Source!R27*178/100, 0 )</f>
        <v>1366.6751999999999</v>
      </c>
      <c r="W65">
        <f>IF( Source!BI27 = 2, Source!O27 + Source!X27 + Source!Y27 + Source!R27*178/100, 0 )</f>
        <v>0</v>
      </c>
      <c r="X65">
        <f>IF( Source!BI27 = 3, Source!O27 + Source!X27 + Source!Y27 + Source!R27*178/100, 0 )</f>
        <v>0</v>
      </c>
      <c r="Y65">
        <f>IF( Source!BI27 = 4, Source!O27 + Source!X27 + Source!Y27 + Source!R27*178/100, 0 )</f>
        <v>0</v>
      </c>
    </row>
    <row r="66" spans="1:26" ht="36">
      <c r="A66" s="110">
        <v>7</v>
      </c>
      <c r="B66" s="110" t="str">
        <f>Source!E30</f>
        <v>4</v>
      </c>
      <c r="C66" s="29" t="str">
        <f>Source!F30</f>
        <v>4.8-243-8</v>
      </c>
      <c r="D66" s="14" t="str">
        <f>Source!G30</f>
        <v>РОЗЕТКА ШТЕПСЕЛЬНАЯ НЕУТОПЛЕННОГО ТИПА ПРИ ОТКРЫТОЙ ПРОВОДКЕ</v>
      </c>
      <c r="E66" s="30" t="str">
        <f>Source!H30</f>
        <v>100 шт.</v>
      </c>
      <c r="F66" s="6">
        <f>ROUND(Source!I30,6)</f>
        <v>0.01</v>
      </c>
      <c r="G66" s="6"/>
      <c r="H66" s="6"/>
      <c r="I66" s="6"/>
      <c r="J66" s="6"/>
      <c r="K66" s="6"/>
      <c r="L66" s="6"/>
      <c r="Z66">
        <v>7</v>
      </c>
    </row>
    <row r="67" spans="1:26">
      <c r="A67" s="6"/>
      <c r="B67" s="6"/>
      <c r="C67" s="6"/>
      <c r="D67" s="6" t="s">
        <v>173</v>
      </c>
      <c r="E67" s="6"/>
      <c r="F67" s="6"/>
      <c r="G67" s="16">
        <f>Source!AO30</f>
        <v>483.99</v>
      </c>
      <c r="H67" s="31" t="str">
        <f>Source!DG30</f>
        <v>)*1,15</v>
      </c>
      <c r="I67" s="6">
        <f>Source!AV30</f>
        <v>1.0469999999999999</v>
      </c>
      <c r="J67" s="16">
        <f>ROUND((Source!CT30/IF(Source!BA30&lt;&gt; 0, Source!BA30,1) * Source!I30), 2)</f>
        <v>5.83</v>
      </c>
      <c r="K67" s="6">
        <f>Source!BA30</f>
        <v>12.7</v>
      </c>
      <c r="L67" s="16">
        <f>Source!S30</f>
        <v>74.010000000000005</v>
      </c>
    </row>
    <row r="68" spans="1:26">
      <c r="A68" s="6"/>
      <c r="B68" s="6"/>
      <c r="C68" s="6"/>
      <c r="D68" s="6" t="s">
        <v>174</v>
      </c>
      <c r="E68" s="6"/>
      <c r="F68" s="6"/>
      <c r="G68" s="16">
        <f>Source!AM30</f>
        <v>15.74</v>
      </c>
      <c r="H68" s="31" t="str">
        <f>Source!DE30</f>
        <v>*1,25</v>
      </c>
      <c r="I68" s="6">
        <f>Source!AV30</f>
        <v>1.0469999999999999</v>
      </c>
      <c r="J68" s="16">
        <f>ROUND((Source!CR30/IF(Source!BB30&lt;&gt; 0, Source!BB30,1) * Source!I30), 2)</f>
        <v>0.21</v>
      </c>
      <c r="K68" s="6">
        <f>Source!BB30</f>
        <v>9.17</v>
      </c>
      <c r="L68" s="16">
        <f>Source!Q30</f>
        <v>1.89</v>
      </c>
    </row>
    <row r="69" spans="1:26">
      <c r="A69" s="6"/>
      <c r="B69" s="6"/>
      <c r="C69" s="6"/>
      <c r="D69" s="6" t="s">
        <v>175</v>
      </c>
      <c r="E69" s="6"/>
      <c r="F69" s="6"/>
      <c r="G69" s="16">
        <f>Source!AN30</f>
        <v>1.18</v>
      </c>
      <c r="H69" s="31" t="str">
        <f>Source!DF30</f>
        <v>*1,25</v>
      </c>
      <c r="I69" s="6">
        <f>Source!AV30</f>
        <v>1.0469999999999999</v>
      </c>
      <c r="J69" s="32" t="str">
        <f>CONCATENATE("(",TEXT(+ ROUND((Source!CS30/IF(K69&lt;&gt; 0, K69,1) * Source!I30), 2),"0,00"),")")</f>
        <v>(0,02)</v>
      </c>
      <c r="K69" s="6">
        <f>Source!BS30</f>
        <v>12.7</v>
      </c>
      <c r="L69" s="32" t="str">
        <f>CONCATENATE("(",TEXT(+Source!R30,"0,00"),")")</f>
        <v>(0,20)</v>
      </c>
      <c r="M69">
        <f>ROUND(IF(K69&lt;&gt;0, Source!R30/K69, Source!R30), 2)</f>
        <v>0.02</v>
      </c>
    </row>
    <row r="70" spans="1:26">
      <c r="A70" s="6"/>
      <c r="B70" s="6"/>
      <c r="C70" s="6"/>
      <c r="D70" s="6" t="s">
        <v>176</v>
      </c>
      <c r="E70" s="6"/>
      <c r="F70" s="6"/>
      <c r="G70" s="16">
        <f>Source!AL30</f>
        <v>26.88</v>
      </c>
      <c r="H70" s="6" t="str">
        <f>Source!DD30</f>
        <v/>
      </c>
      <c r="I70" s="6">
        <f>Source!AW30</f>
        <v>1</v>
      </c>
      <c r="J70" s="16">
        <f>ROUND((Source!CQ30/IF(Source!BC30&lt;&gt; 0, Source!BC30,1) * Source!I30), 2)</f>
        <v>0.27</v>
      </c>
      <c r="K70" s="6">
        <f>Source!BC30</f>
        <v>4.5599999999999996</v>
      </c>
      <c r="L70" s="16">
        <f>Source!P30</f>
        <v>1.23</v>
      </c>
    </row>
    <row r="71" spans="1:26">
      <c r="A71" s="6"/>
      <c r="B71" s="6"/>
      <c r="C71" s="6"/>
      <c r="D71" s="6" t="s">
        <v>177</v>
      </c>
      <c r="E71" s="6" t="s">
        <v>178</v>
      </c>
      <c r="F71" s="6">
        <f>Source!DN30</f>
        <v>112</v>
      </c>
      <c r="G71" s="6"/>
      <c r="H71" s="6"/>
      <c r="I71" s="6"/>
      <c r="J71" s="16">
        <f>ROUND((F71/100)* ROUND((Source!CT30/IF(Source!BA30&lt;&gt; 0, Source!BA30,1) * Source!I30), 2), 2)</f>
        <v>6.53</v>
      </c>
      <c r="K71" s="6">
        <f>Source!AT30</f>
        <v>102</v>
      </c>
      <c r="L71" s="16">
        <f>Source!X30</f>
        <v>75.489999999999995</v>
      </c>
    </row>
    <row r="72" spans="1:26">
      <c r="A72" s="6"/>
      <c r="B72" s="6"/>
      <c r="C72" s="6"/>
      <c r="D72" s="6" t="s">
        <v>179</v>
      </c>
      <c r="E72" s="6" t="s">
        <v>178</v>
      </c>
      <c r="F72" s="6">
        <f>Source!DO30</f>
        <v>70</v>
      </c>
      <c r="G72" s="6"/>
      <c r="H72" s="6"/>
      <c r="I72" s="6"/>
      <c r="J72" s="16">
        <f>ROUND((F72/100)* ROUND((Source!CT30/IF(Source!BA30&lt;&gt; 0, Source!BA30,1) * Source!I30), 2), 2)</f>
        <v>4.08</v>
      </c>
      <c r="K72" s="6">
        <f>Source!AU30</f>
        <v>45</v>
      </c>
      <c r="L72" s="16">
        <f>Source!Y30</f>
        <v>33.299999999999997</v>
      </c>
    </row>
    <row r="73" spans="1:26">
      <c r="A73" s="6"/>
      <c r="B73" s="6"/>
      <c r="C73" s="6"/>
      <c r="D73" s="6" t="s">
        <v>86</v>
      </c>
      <c r="E73" s="6" t="s">
        <v>178</v>
      </c>
      <c r="F73" s="6">
        <v>175</v>
      </c>
      <c r="G73" s="6"/>
      <c r="H73" s="6"/>
      <c r="I73" s="6"/>
      <c r="J73" s="16">
        <f>ROUND(ROUND((Source!CS30/IF(Source!BS30&lt;&gt; 0, Source!BS30,1) * Source!I30), 2)*1.75, 2)</f>
        <v>0.04</v>
      </c>
      <c r="K73" s="6">
        <v>178</v>
      </c>
      <c r="L73" s="16">
        <f>ROUND(Source!R30*K73/100, 2)</f>
        <v>0.36</v>
      </c>
    </row>
    <row r="74" spans="1:26">
      <c r="A74" s="33"/>
      <c r="B74" s="33"/>
      <c r="C74" s="33"/>
      <c r="D74" s="33" t="s">
        <v>180</v>
      </c>
      <c r="E74" s="33" t="s">
        <v>181</v>
      </c>
      <c r="F74" s="33">
        <f>Source!AQ30</f>
        <v>37.229999999999997</v>
      </c>
      <c r="G74" s="33"/>
      <c r="H74" s="34" t="str">
        <f>Source!DI30</f>
        <v>)*1,15</v>
      </c>
      <c r="I74" s="33">
        <f>Source!AV30</f>
        <v>1.0469999999999999</v>
      </c>
      <c r="J74" s="35">
        <f>ROUND(Source!U30,2)</f>
        <v>0.45</v>
      </c>
      <c r="K74" s="33"/>
      <c r="L74" s="33"/>
    </row>
    <row r="75" spans="1:26">
      <c r="J75" s="36">
        <f>ROUND((Source!CT30/IF(Source!BA30 &lt;&gt;0, Source!BA30, 1) * Source!I30), 2)+ROUND((Source!CR30 / IF(Source!BB30 &lt;&gt;0, Source!BB30, 1) * Source!I30), 2)+SUM(J70:J73)</f>
        <v>16.96</v>
      </c>
      <c r="K75" s="9"/>
      <c r="L75" s="36">
        <f>Source!S30+Source!Q30+SUM(L70:L73)</f>
        <v>186.28</v>
      </c>
      <c r="M75">
        <f>ROUND((Source!CT30/IF(Source!BA30&lt;&gt; 0, Source!BA30,1) * Source!I30), 2)</f>
        <v>5.83</v>
      </c>
      <c r="N75" s="17">
        <f>J75</f>
        <v>16.96</v>
      </c>
      <c r="O75" s="17">
        <f>L75</f>
        <v>186.28</v>
      </c>
      <c r="P75">
        <f>ROUND(IF( Source!BI30 = 1,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0</v>
      </c>
      <c r="Q75">
        <f>ROUND(IF( Source!BI30 = 2,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16.96</v>
      </c>
      <c r="R75">
        <f>ROUND(IF( Source!BI30 = 3,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0</v>
      </c>
      <c r="S75">
        <f>ROUND(IF( Source!BI30 = 4,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0</v>
      </c>
      <c r="V75">
        <f>IF( Source!BI30 = 1, Source!O30 + Source!X30 + Source!Y30 + Source!R30*178/100, 0 )</f>
        <v>0</v>
      </c>
      <c r="W75">
        <f>IF( Source!BI30 = 2, Source!O30 + Source!X30 + Source!Y30 + Source!R30*178/100, 0 )</f>
        <v>186.27600000000001</v>
      </c>
      <c r="X75">
        <f>IF( Source!BI30 = 3, Source!O30 + Source!X30 + Source!Y30 + Source!R30*178/100, 0 )</f>
        <v>0</v>
      </c>
      <c r="Y75">
        <f>IF( Source!BI30 = 4, Source!O30 + Source!X30 + Source!Y30 + Source!R30*178/100, 0 )</f>
        <v>0</v>
      </c>
    </row>
    <row r="76" spans="1:26" ht="36">
      <c r="A76" s="110">
        <v>8</v>
      </c>
      <c r="B76" s="110" t="str">
        <f>Source!E31</f>
        <v>5</v>
      </c>
      <c r="C76" s="29" t="str">
        <f>Source!F31</f>
        <v>4.8-243-9</v>
      </c>
      <c r="D76" s="14" t="str">
        <f>Source!G31</f>
        <v>РОЗЕТКА ШТЕПСЕЛЬНАЯ УТОПЛЕННОГО ТИПА ПРИ СКРЫТОЙ ПРОВОДКЕ</v>
      </c>
      <c r="E76" s="30" t="str">
        <f>Source!H31</f>
        <v>100 шт.</v>
      </c>
      <c r="F76" s="6">
        <f>ROUND(Source!I31,6)</f>
        <v>0.01</v>
      </c>
      <c r="G76" s="6"/>
      <c r="H76" s="6"/>
      <c r="I76" s="6"/>
      <c r="J76" s="6"/>
      <c r="K76" s="6"/>
      <c r="L76" s="6"/>
      <c r="Z76">
        <v>8</v>
      </c>
    </row>
    <row r="77" spans="1:26">
      <c r="A77" s="6"/>
      <c r="B77" s="6"/>
      <c r="C77" s="6"/>
      <c r="D77" s="6" t="s">
        <v>173</v>
      </c>
      <c r="E77" s="6"/>
      <c r="F77" s="6"/>
      <c r="G77" s="16">
        <f>Source!AO31</f>
        <v>455</v>
      </c>
      <c r="H77" s="31" t="str">
        <f>Source!DG31</f>
        <v>)*1,15</v>
      </c>
      <c r="I77" s="6">
        <f>Source!AV31</f>
        <v>1.0469999999999999</v>
      </c>
      <c r="J77" s="16">
        <f>ROUND((Source!CT31/IF(Source!BA31&lt;&gt; 0, Source!BA31,1) * Source!I31), 2)</f>
        <v>5.48</v>
      </c>
      <c r="K77" s="6">
        <f>Source!BA31</f>
        <v>12.7</v>
      </c>
      <c r="L77" s="16">
        <f>Source!S31</f>
        <v>69.58</v>
      </c>
    </row>
    <row r="78" spans="1:26">
      <c r="A78" s="6"/>
      <c r="B78" s="6"/>
      <c r="C78" s="6"/>
      <c r="D78" s="6" t="s">
        <v>174</v>
      </c>
      <c r="E78" s="6"/>
      <c r="F78" s="6"/>
      <c r="G78" s="16">
        <f>Source!AM31</f>
        <v>2.71</v>
      </c>
      <c r="H78" s="31" t="str">
        <f>Source!DE31</f>
        <v>*1,25</v>
      </c>
      <c r="I78" s="6">
        <f>Source!AV31</f>
        <v>1.0469999999999999</v>
      </c>
      <c r="J78" s="16">
        <f>ROUND((Source!CR31/IF(Source!BB31&lt;&gt; 0, Source!BB31,1) * Source!I31), 2)</f>
        <v>0.04</v>
      </c>
      <c r="K78" s="6">
        <f>Source!BB31</f>
        <v>7.58</v>
      </c>
      <c r="L78" s="16">
        <f>Source!Q31</f>
        <v>0.27</v>
      </c>
    </row>
    <row r="79" spans="1:26">
      <c r="A79" s="6"/>
      <c r="B79" s="6"/>
      <c r="C79" s="6"/>
      <c r="D79" s="6" t="s">
        <v>175</v>
      </c>
      <c r="E79" s="6"/>
      <c r="F79" s="6"/>
      <c r="G79" s="16">
        <f>Source!AN31</f>
        <v>0.63</v>
      </c>
      <c r="H79" s="31" t="str">
        <f>Source!DF31</f>
        <v>*1,25</v>
      </c>
      <c r="I79" s="6">
        <f>Source!AV31</f>
        <v>1.0469999999999999</v>
      </c>
      <c r="J79" s="32" t="str">
        <f>CONCATENATE("(",TEXT(+ ROUND((Source!CS31/IF(K79&lt;&gt; 0, K79,1) * Source!I31), 2),"0,00"),")")</f>
        <v>(0,01)</v>
      </c>
      <c r="K79" s="6">
        <f>Source!BS31</f>
        <v>12.7</v>
      </c>
      <c r="L79" s="32" t="str">
        <f>CONCATENATE("(",TEXT(+Source!R31,"0,00"),")")</f>
        <v>(0,10)</v>
      </c>
      <c r="M79">
        <f>ROUND(IF(K79&lt;&gt;0, Source!R31/K79, Source!R31), 2)</f>
        <v>0.01</v>
      </c>
    </row>
    <row r="80" spans="1:26">
      <c r="A80" s="6"/>
      <c r="B80" s="6"/>
      <c r="C80" s="6"/>
      <c r="D80" s="6" t="s">
        <v>176</v>
      </c>
      <c r="E80" s="6"/>
      <c r="F80" s="6"/>
      <c r="G80" s="16">
        <f>Source!AL31</f>
        <v>27.86</v>
      </c>
      <c r="H80" s="6" t="str">
        <f>Source!DD31</f>
        <v/>
      </c>
      <c r="I80" s="6">
        <f>Source!AW31</f>
        <v>1</v>
      </c>
      <c r="J80" s="16">
        <f>ROUND((Source!CQ31/IF(Source!BC31&lt;&gt; 0, Source!BC31,1) * Source!I31), 2)</f>
        <v>0.28000000000000003</v>
      </c>
      <c r="K80" s="6">
        <f>Source!BC31</f>
        <v>4.5599999999999996</v>
      </c>
      <c r="L80" s="16">
        <f>Source!P31</f>
        <v>1.27</v>
      </c>
    </row>
    <row r="81" spans="1:25">
      <c r="A81" s="6"/>
      <c r="B81" s="6"/>
      <c r="C81" s="6"/>
      <c r="D81" s="6" t="s">
        <v>177</v>
      </c>
      <c r="E81" s="6" t="s">
        <v>178</v>
      </c>
      <c r="F81" s="6">
        <f>Source!DN31</f>
        <v>112</v>
      </c>
      <c r="G81" s="6"/>
      <c r="H81" s="6"/>
      <c r="I81" s="6"/>
      <c r="J81" s="16">
        <f>ROUND((F81/100)* ROUND((Source!CT31/IF(Source!BA31&lt;&gt; 0, Source!BA31,1) * Source!I31), 2), 2)</f>
        <v>6.14</v>
      </c>
      <c r="K81" s="6">
        <f>Source!AT31</f>
        <v>102</v>
      </c>
      <c r="L81" s="16">
        <f>Source!X31</f>
        <v>70.97</v>
      </c>
    </row>
    <row r="82" spans="1:25">
      <c r="A82" s="6"/>
      <c r="B82" s="6"/>
      <c r="C82" s="6"/>
      <c r="D82" s="6" t="s">
        <v>179</v>
      </c>
      <c r="E82" s="6" t="s">
        <v>178</v>
      </c>
      <c r="F82" s="6">
        <f>Source!DO31</f>
        <v>70</v>
      </c>
      <c r="G82" s="6"/>
      <c r="H82" s="6"/>
      <c r="I82" s="6"/>
      <c r="J82" s="16">
        <f>ROUND((F82/100)* ROUND((Source!CT31/IF(Source!BA31&lt;&gt; 0, Source!BA31,1) * Source!I31), 2), 2)</f>
        <v>3.84</v>
      </c>
      <c r="K82" s="6">
        <f>Source!AU31</f>
        <v>45</v>
      </c>
      <c r="L82" s="16">
        <f>Source!Y31</f>
        <v>31.31</v>
      </c>
    </row>
    <row r="83" spans="1:25">
      <c r="A83" s="6"/>
      <c r="B83" s="6"/>
      <c r="C83" s="6"/>
      <c r="D83" s="6" t="s">
        <v>86</v>
      </c>
      <c r="E83" s="6" t="s">
        <v>178</v>
      </c>
      <c r="F83" s="6">
        <v>175</v>
      </c>
      <c r="G83" s="6"/>
      <c r="H83" s="6"/>
      <c r="I83" s="6"/>
      <c r="J83" s="16">
        <f>ROUND(ROUND((Source!CS31/IF(Source!BS31&lt;&gt; 0, Source!BS31,1) * Source!I31), 2)*1.75, 2)</f>
        <v>0.02</v>
      </c>
      <c r="K83" s="6">
        <v>178</v>
      </c>
      <c r="L83" s="16">
        <f>ROUND(Source!R31*K83/100, 2)</f>
        <v>0.18</v>
      </c>
    </row>
    <row r="84" spans="1:25">
      <c r="A84" s="33"/>
      <c r="B84" s="33"/>
      <c r="C84" s="33"/>
      <c r="D84" s="33" t="s">
        <v>180</v>
      </c>
      <c r="E84" s="33" t="s">
        <v>181</v>
      </c>
      <c r="F84" s="33">
        <f>Source!AQ31</f>
        <v>35</v>
      </c>
      <c r="G84" s="33"/>
      <c r="H84" s="34" t="str">
        <f>Source!DI31</f>
        <v>)*1,15</v>
      </c>
      <c r="I84" s="33">
        <f>Source!AV31</f>
        <v>1.0469999999999999</v>
      </c>
      <c r="J84" s="35">
        <f>ROUND(Source!U31,2)</f>
        <v>0.42</v>
      </c>
      <c r="K84" s="33"/>
      <c r="L84" s="33"/>
    </row>
    <row r="85" spans="1:25">
      <c r="J85" s="36">
        <f>ROUND((Source!CT31/IF(Source!BA31 &lt;&gt;0, Source!BA31, 1) * Source!I31), 2)+ROUND((Source!CR31 / IF(Source!BB31 &lt;&gt;0, Source!BB31, 1) * Source!I31), 2)+SUM(J80:J83)</f>
        <v>15.8</v>
      </c>
      <c r="K85" s="9"/>
      <c r="L85" s="36">
        <f>Source!S31+Source!Q31+SUM(L80:L83)</f>
        <v>173.57999999999998</v>
      </c>
      <c r="M85">
        <f>ROUND((Source!CT31/IF(Source!BA31&lt;&gt; 0, Source!BA31,1) * Source!I31), 2)</f>
        <v>5.48</v>
      </c>
      <c r="N85" s="17">
        <f>J85</f>
        <v>15.8</v>
      </c>
      <c r="O85" s="17">
        <f>L85</f>
        <v>173.57999999999998</v>
      </c>
      <c r="P85">
        <f>ROUND(IF( Source!BI31 = 1,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0</v>
      </c>
      <c r="Q85">
        <f>ROUND(IF( Source!BI31 = 2,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15.79</v>
      </c>
      <c r="R85">
        <f>ROUND(IF( Source!BI31 = 3,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0</v>
      </c>
      <c r="S85">
        <f>ROUND(IF( Source!BI31 = 4,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0</v>
      </c>
      <c r="V85">
        <f>IF( Source!BI31 = 1, Source!O31 + Source!X31 + Source!Y31 + Source!R31*178/100, 0 )</f>
        <v>0</v>
      </c>
      <c r="W85">
        <f>IF( Source!BI31 = 2, Source!O31 + Source!X31 + Source!Y31 + Source!R31*178/100, 0 )</f>
        <v>173.578</v>
      </c>
      <c r="X85">
        <f>IF( Source!BI31 = 3, Source!O31 + Source!X31 + Source!Y31 + Source!R31*178/100, 0 )</f>
        <v>0</v>
      </c>
      <c r="Y85">
        <f>IF( Source!BI31 = 4, Source!O31 + Source!X31 + Source!Y31 + Source!R31*178/100, 0 )</f>
        <v>0</v>
      </c>
    </row>
    <row r="87" spans="1:25" s="9" customFormat="1">
      <c r="D87" s="9" t="s">
        <v>88</v>
      </c>
      <c r="I87" s="40">
        <f>SUM(N33:N86)</f>
        <v>256.64999999999998</v>
      </c>
      <c r="J87" s="40"/>
      <c r="K87" s="40">
        <f>SUM(O33:O86)</f>
        <v>2753.2000000000003</v>
      </c>
      <c r="L87" s="40"/>
      <c r="M87" s="36">
        <f>SUM(M33:M86)</f>
        <v>84.4</v>
      </c>
    </row>
    <row r="89" spans="1:25">
      <c r="D89" s="37" t="s">
        <v>182</v>
      </c>
      <c r="E89" s="50" t="str">
        <f>Source!G33</f>
        <v>Новая локальная смета</v>
      </c>
      <c r="F89" s="50"/>
      <c r="G89" s="50"/>
      <c r="H89" s="50"/>
      <c r="I89" s="50"/>
      <c r="J89" s="50"/>
      <c r="K89" s="50"/>
      <c r="L89" s="50"/>
    </row>
    <row r="90" spans="1:25">
      <c r="D90" s="43" t="str">
        <f>Source!H49</f>
        <v>Итого</v>
      </c>
      <c r="E90" s="43"/>
      <c r="F90" s="43"/>
      <c r="G90" s="43"/>
      <c r="H90" s="43"/>
      <c r="I90" s="43"/>
      <c r="J90" s="43"/>
      <c r="K90" s="44">
        <f>Source!F49</f>
        <v>2753.19</v>
      </c>
      <c r="L90" s="45"/>
    </row>
    <row r="91" spans="1:25">
      <c r="D91" s="43" t="str">
        <f>Source!H50</f>
        <v>НДС 18%</v>
      </c>
      <c r="E91" s="43"/>
      <c r="F91" s="43"/>
      <c r="G91" s="43"/>
      <c r="H91" s="43"/>
      <c r="I91" s="43"/>
      <c r="J91" s="43"/>
      <c r="K91" s="44">
        <f>Source!F50</f>
        <v>495.57</v>
      </c>
      <c r="L91" s="45"/>
    </row>
    <row r="92" spans="1:25">
      <c r="D92" s="43" t="str">
        <f>Source!H51</f>
        <v>Итого с НДС 18%</v>
      </c>
      <c r="E92" s="43"/>
      <c r="F92" s="43"/>
      <c r="G92" s="43"/>
      <c r="H92" s="43"/>
      <c r="I92" s="43"/>
      <c r="J92" s="43"/>
      <c r="K92" s="44">
        <f>Source!F51</f>
        <v>3248.76</v>
      </c>
      <c r="L92" s="45"/>
    </row>
    <row r="93" spans="1:25">
      <c r="D93" t="s">
        <v>183</v>
      </c>
      <c r="I93" s="85">
        <f>I87</f>
        <v>256.64999999999998</v>
      </c>
      <c r="J93" s="85"/>
      <c r="K93" s="85">
        <f>K87</f>
        <v>2753.2000000000003</v>
      </c>
      <c r="L93" s="44"/>
    </row>
    <row r="95" spans="1:25" ht="14.25">
      <c r="C95" s="86" t="s">
        <v>223</v>
      </c>
      <c r="D95" s="87"/>
      <c r="E95" s="87"/>
      <c r="F95" s="87"/>
      <c r="G95" s="87"/>
      <c r="H95" s="87"/>
    </row>
    <row r="96" spans="1:25" ht="24">
      <c r="C96" s="90" t="s">
        <v>224</v>
      </c>
      <c r="D96" s="90" t="s">
        <v>225</v>
      </c>
      <c r="E96" s="90" t="s">
        <v>226</v>
      </c>
      <c r="F96" s="90" t="s">
        <v>227</v>
      </c>
      <c r="G96" s="90" t="s">
        <v>153</v>
      </c>
      <c r="H96" s="91" t="s">
        <v>228</v>
      </c>
    </row>
    <row r="97" spans="3:8">
      <c r="C97" s="71">
        <v>1</v>
      </c>
      <c r="D97" s="71">
        <v>2</v>
      </c>
      <c r="E97" s="71">
        <v>3</v>
      </c>
      <c r="F97" s="71">
        <v>4</v>
      </c>
      <c r="G97" s="71">
        <v>5</v>
      </c>
      <c r="H97" s="84">
        <v>6</v>
      </c>
    </row>
    <row r="98" spans="3:8">
      <c r="C98" s="94" t="s">
        <v>229</v>
      </c>
      <c r="D98" s="95"/>
      <c r="E98" s="95"/>
      <c r="F98" s="95"/>
      <c r="G98" s="95"/>
      <c r="H98" s="95"/>
    </row>
    <row r="99" spans="3:8">
      <c r="C99" s="96" t="str">
        <f>SmtRes!I8</f>
        <v>9999990008</v>
      </c>
      <c r="D99" s="97" t="str">
        <f>SmtRes!K8</f>
        <v>ТРУДОЗАТРАТЫ РАБОЧИХ (ЭСН)</v>
      </c>
      <c r="E99" s="96" t="str">
        <f>SmtRes!O8</f>
        <v>чел.-ч.</v>
      </c>
      <c r="F99" s="96">
        <f>SUM( RV_Data!F1  : RV_Data!F3 )</f>
        <v>5.7509999999999994</v>
      </c>
      <c r="G99" s="98">
        <f>ROUND(SmtRes!AD8, 2)</f>
        <v>0</v>
      </c>
      <c r="H99" s="98">
        <f>SUM( RV_Data!H1  : RV_Data!H3 )</f>
        <v>0</v>
      </c>
    </row>
    <row r="100" spans="3:8">
      <c r="C100" s="94" t="s">
        <v>230</v>
      </c>
      <c r="D100" s="94"/>
      <c r="E100" s="94"/>
      <c r="F100" s="94"/>
      <c r="G100" s="101">
        <f>SUM(H99:H99 )</f>
        <v>0</v>
      </c>
      <c r="H100" s="102"/>
    </row>
    <row r="101" spans="3:8">
      <c r="C101" s="94" t="s">
        <v>231</v>
      </c>
      <c r="D101" s="95"/>
      <c r="E101" s="95"/>
      <c r="F101" s="95"/>
      <c r="G101" s="95"/>
      <c r="H101" s="95"/>
    </row>
    <row r="102" spans="3:8" ht="24">
      <c r="C102" s="96" t="str">
        <f>SmtRes!I9</f>
        <v>2.0-0-0</v>
      </c>
      <c r="D102" s="97" t="str">
        <f>SmtRes!K9</f>
        <v>СТОИМОСТЬ ПРОЧИХ МАШИН (ЭСН)</v>
      </c>
      <c r="E102" s="96" t="str">
        <f>SmtRes!O9</f>
        <v>руб.</v>
      </c>
      <c r="F102" s="96">
        <f>SUM( RV_Data!F4  : RV_Data!F4 )</f>
        <v>0.13750000000000001</v>
      </c>
      <c r="G102" s="98">
        <f>ROUND(SmtRes!AB9, 2)</f>
        <v>1</v>
      </c>
      <c r="H102" s="98">
        <f>SUM( RV_Data!H4  : RV_Data!H4 )</f>
        <v>0.14000000000000001</v>
      </c>
    </row>
    <row r="103" spans="3:8">
      <c r="C103" s="96" t="str">
        <f>SmtRes!I10</f>
        <v>2.1-30-56</v>
      </c>
      <c r="D103" s="97" t="str">
        <f>SmtRes!K10</f>
        <v>ШУРУПОВЕРТЫ</v>
      </c>
      <c r="E103" s="96" t="str">
        <f>SmtRes!O10</f>
        <v>маш.-ч</v>
      </c>
      <c r="F103" s="96">
        <f>SUM( RV_Data!F5  : RV_Data!F5 )</f>
        <v>1.2500000000000001E-2</v>
      </c>
      <c r="G103" s="98">
        <f>ROUND(SmtRes!AB10, 2)</f>
        <v>0.64</v>
      </c>
      <c r="H103" s="98">
        <f>SUM( RV_Data!H5  : RV_Data!H5 )</f>
        <v>0.01</v>
      </c>
    </row>
    <row r="104" spans="3:8">
      <c r="C104" s="96" t="str">
        <f>SmtRes!I11</f>
        <v>2.1-30-6</v>
      </c>
      <c r="D104" s="97" t="str">
        <f>SmtRes!K11</f>
        <v>ДРЕЛИ ЭЛЕКТРИЧЕСКИЕ</v>
      </c>
      <c r="E104" s="96" t="str">
        <f>SmtRes!O11</f>
        <v>маш.-ч</v>
      </c>
      <c r="F104" s="96">
        <f>SUM( RV_Data!F6  : RV_Data!F6 )</f>
        <v>2.5000000000000001E-2</v>
      </c>
      <c r="G104" s="98">
        <f>ROUND(SmtRes!AB11, 2)</f>
        <v>2.36</v>
      </c>
      <c r="H104" s="98">
        <f>SUM( RV_Data!H6  : RV_Data!H6 )</f>
        <v>0.06</v>
      </c>
    </row>
    <row r="105" spans="3:8">
      <c r="C105" s="94" t="s">
        <v>230</v>
      </c>
      <c r="D105" s="94"/>
      <c r="E105" s="94"/>
      <c r="F105" s="94"/>
      <c r="G105" s="101">
        <f>SUM(H102:H104 )</f>
        <v>0.21000000000000002</v>
      </c>
      <c r="H105" s="102"/>
    </row>
    <row r="106" spans="3:8">
      <c r="C106" s="94" t="s">
        <v>232</v>
      </c>
      <c r="D106" s="95"/>
      <c r="E106" s="95"/>
      <c r="F106" s="95"/>
      <c r="G106" s="95"/>
      <c r="H106" s="95"/>
    </row>
    <row r="107" spans="3:8">
      <c r="C107" s="96" t="str">
        <f>SmtRes!I2</f>
        <v>1.0-0-0</v>
      </c>
      <c r="D107" s="97" t="str">
        <f>SmtRes!K2</f>
        <v>МАССА МУСОРА</v>
      </c>
      <c r="E107" s="96" t="str">
        <f>SmtRes!O2</f>
        <v>т</v>
      </c>
      <c r="F107" s="96">
        <f>SUM( RV_Data!F7  : RV_Data!F7 )</f>
        <v>8.9999999999999998E-4</v>
      </c>
      <c r="G107" s="98">
        <f>ROUND(SmtRes!AA2, 2)</f>
        <v>0</v>
      </c>
      <c r="H107" s="98">
        <f>SUM( RV_Data!H7  : RV_Data!H7 )</f>
        <v>0</v>
      </c>
    </row>
    <row r="108" spans="3:8" ht="36">
      <c r="C108" s="96" t="str">
        <f>SmtRes!I4</f>
        <v>1.1-1-1338</v>
      </c>
      <c r="D108" s="97" t="str">
        <f>SmtRes!K4</f>
        <v>ЦЕМЕНТ ГИПСОГЛИНОЗЕМИСТЫЙ РАСШИРЯЮЩИЙСЯ</v>
      </c>
      <c r="E108" s="96" t="str">
        <f>SmtRes!O4</f>
        <v>т</v>
      </c>
      <c r="F108" s="96">
        <f>SUM( RV_Data!F8  : RV_Data!F8 )</f>
        <v>7.9000000000000009E-5</v>
      </c>
      <c r="G108" s="98">
        <f>ROUND(SmtRes!AA4, 2)</f>
        <v>483.86</v>
      </c>
      <c r="H108" s="98">
        <f>SUM( RV_Data!H8  : RV_Data!H8 )</f>
        <v>0.04</v>
      </c>
    </row>
    <row r="109" spans="3:8" ht="36">
      <c r="C109" s="96" t="str">
        <f>SmtRes!I5</f>
        <v>1.1-1-1502</v>
      </c>
      <c r="D109" s="97" t="str">
        <f>SmtRes!K5</f>
        <v>ШУРУПЫ С ПОТАЙНОЙ ГОЛОВКОЙ, ЧЕРНЫЕ, РАЗМЕР 8,0Х100 ММ</v>
      </c>
      <c r="E109" s="96" t="str">
        <f>SmtRes!O5</f>
        <v>т</v>
      </c>
      <c r="F109" s="96">
        <f>SUM( RV_Data!F9  : RV_Data!F9 )</f>
        <v>1.0800000000000001E-4</v>
      </c>
      <c r="G109" s="98">
        <f>ROUND(SmtRes!AA5, 2)</f>
        <v>17750.86</v>
      </c>
      <c r="H109" s="98">
        <f>SUM( RV_Data!H9  : RV_Data!H9 )</f>
        <v>1.92</v>
      </c>
    </row>
    <row r="110" spans="3:8">
      <c r="C110" s="96" t="str">
        <f>SmtRes!I12</f>
        <v>1.1-1-513</v>
      </c>
      <c r="D110" s="97" t="str">
        <f>SmtRes!K12</f>
        <v>ЛЕНТА ИЗ "ФТОРОПЛАСТ-4"</v>
      </c>
      <c r="E110" s="96" t="str">
        <f>SmtRes!O12</f>
        <v>кг</v>
      </c>
      <c r="F110" s="96">
        <f>SUM( RV_Data!F10  : RV_Data!F10 )</f>
        <v>0.02</v>
      </c>
      <c r="G110" s="98">
        <f>ROUND(SmtRes!AA12, 2)</f>
        <v>148.68</v>
      </c>
      <c r="H110" s="98">
        <f>SUM( RV_Data!H10  : RV_Data!H10 )</f>
        <v>2.97</v>
      </c>
    </row>
    <row r="111" spans="3:8">
      <c r="C111" s="96" t="str">
        <f>SmtRes!I6</f>
        <v>1.1-1-740</v>
      </c>
      <c r="D111" s="97" t="str">
        <f>SmtRes!K6</f>
        <v>ПАКЛЯ ПРОПИТАННАЯ</v>
      </c>
      <c r="E111" s="96" t="str">
        <f>SmtRes!O6</f>
        <v>кг</v>
      </c>
      <c r="F111" s="96">
        <f>SUM( RV_Data!F11  : RV_Data!F11 )</f>
        <v>3.4000000000000002E-2</v>
      </c>
      <c r="G111" s="98">
        <f>ROUND(SmtRes!AA6, 2)</f>
        <v>9.86</v>
      </c>
      <c r="H111" s="98">
        <f>SUM( RV_Data!H11  : RV_Data!H11 )</f>
        <v>0.34</v>
      </c>
    </row>
    <row r="112" spans="3:8" ht="24">
      <c r="C112" s="96" t="str">
        <f>SmtRes!I13</f>
        <v>4951511000</v>
      </c>
      <c r="D112" s="97" t="str">
        <f>SmtRes!K13</f>
        <v>ПОЛОТЕНЦЕСУШИТЕЛИ ИЗ НЕРЖАВЕЮЩЕЙ СТАЛИ</v>
      </c>
      <c r="E112" s="96" t="str">
        <f>SmtRes!O13</f>
        <v>шт.</v>
      </c>
      <c r="F112" s="96">
        <f>SUM( RV_Data!F12  : RV_Data!F12 )</f>
        <v>1</v>
      </c>
      <c r="G112" s="98">
        <f>ROUND(SmtRes!AA13, 2)</f>
        <v>0</v>
      </c>
      <c r="H112" s="98">
        <f>SUM( RV_Data!H12  : RV_Data!H12 )</f>
        <v>0</v>
      </c>
    </row>
    <row r="113" spans="1:9" ht="36">
      <c r="C113" s="96" t="str">
        <f>SmtRes!I14</f>
        <v>4951541000</v>
      </c>
      <c r="D113" s="97" t="str">
        <f>SmtRes!K14</f>
        <v>ДЕТАЛИ СОЕДИНИТЕЛЬНЫЕ ДЛЯ ПОЛОТЕНЦЕСУШИТЕЛЕЙ - МУФТЫ</v>
      </c>
      <c r="E113" s="96" t="str">
        <f>SmtRes!O14</f>
        <v>шт.</v>
      </c>
      <c r="F113" s="96">
        <f>SUM( RV_Data!F13  : RV_Data!F13 )</f>
        <v>2</v>
      </c>
      <c r="G113" s="98">
        <f>ROUND(SmtRes!AA14, 2)</f>
        <v>0</v>
      </c>
      <c r="H113" s="98">
        <f>SUM( RV_Data!H13  : RV_Data!H13 )</f>
        <v>0</v>
      </c>
    </row>
    <row r="114" spans="1:9">
      <c r="C114" s="96" t="str">
        <f>SmtRes!I7</f>
        <v>4962130000</v>
      </c>
      <c r="D114" s="97" t="str">
        <f>SmtRes!K7</f>
        <v>УМЫВАЛЬНИКИ</v>
      </c>
      <c r="E114" s="96" t="str">
        <f>SmtRes!O7</f>
        <v>компл.</v>
      </c>
      <c r="F114" s="96">
        <f>SUM( RV_Data!F14  : RV_Data!F14 )</f>
        <v>1</v>
      </c>
      <c r="G114" s="98">
        <f>ROUND(SmtRes!AA7, 2)</f>
        <v>0</v>
      </c>
      <c r="H114" s="98">
        <f>SUM( RV_Data!H14  : RV_Data!H14 )</f>
        <v>0</v>
      </c>
    </row>
    <row r="115" spans="1:9">
      <c r="C115" s="92" t="s">
        <v>230</v>
      </c>
      <c r="D115" s="92"/>
      <c r="E115" s="92"/>
      <c r="F115" s="92"/>
      <c r="G115" s="100">
        <f>SUM(H107:H114 )</f>
        <v>5.27</v>
      </c>
      <c r="H115" s="99"/>
    </row>
    <row r="119" spans="1:9">
      <c r="A119" t="s">
        <v>233</v>
      </c>
      <c r="D119" s="38" t="str">
        <f>IF(Source!AR12&lt;&gt;"",Source!AR12," ")</f>
        <v xml:space="preserve"> </v>
      </c>
      <c r="E119" s="38"/>
      <c r="F119" s="38"/>
      <c r="G119" s="38"/>
      <c r="H119" s="38"/>
      <c r="I119" t="str">
        <f>IF(Source!L12&lt;&gt;"",Source!L12," ")</f>
        <v xml:space="preserve"> </v>
      </c>
    </row>
    <row r="120" spans="1:9" s="39" customFormat="1" ht="11.25">
      <c r="D120" s="42" t="s">
        <v>185</v>
      </c>
      <c r="E120" s="42"/>
      <c r="F120" s="42"/>
      <c r="G120" s="42"/>
      <c r="H120" s="42"/>
    </row>
    <row r="122" spans="1:9">
      <c r="A122" t="s">
        <v>234</v>
      </c>
      <c r="D122" s="38" t="str">
        <f>IF(Source!AS12&lt;&gt;"",Source!AS12," ")</f>
        <v xml:space="preserve"> </v>
      </c>
      <c r="E122" s="38"/>
      <c r="F122" s="38"/>
      <c r="G122" s="38"/>
      <c r="H122" s="38"/>
      <c r="I122" t="str">
        <f>IF(Source!M12&lt;&gt;"",Source!M12," ")</f>
        <v xml:space="preserve"> </v>
      </c>
    </row>
    <row r="123" spans="1:9" s="39" customFormat="1" ht="11.25">
      <c r="D123" s="42" t="s">
        <v>185</v>
      </c>
      <c r="E123" s="42"/>
      <c r="F123" s="42"/>
      <c r="G123" s="42"/>
      <c r="H123" s="42"/>
    </row>
  </sheetData>
  <mergeCells count="54">
    <mergeCell ref="D120:H120"/>
    <mergeCell ref="D123:H123"/>
    <mergeCell ref="A27:B27"/>
    <mergeCell ref="A28:A31"/>
    <mergeCell ref="B28:B31"/>
    <mergeCell ref="C101:H101"/>
    <mergeCell ref="C105:F105"/>
    <mergeCell ref="G105:H105"/>
    <mergeCell ref="C106:H106"/>
    <mergeCell ref="C115:F115"/>
    <mergeCell ref="G115:H115"/>
    <mergeCell ref="K93:L93"/>
    <mergeCell ref="I93:J93"/>
    <mergeCell ref="C95:H95"/>
    <mergeCell ref="C98:H98"/>
    <mergeCell ref="C100:F100"/>
    <mergeCell ref="G100:H100"/>
    <mergeCell ref="D90:J90"/>
    <mergeCell ref="K90:L90"/>
    <mergeCell ref="D91:J91"/>
    <mergeCell ref="K91:L91"/>
    <mergeCell ref="D92:J92"/>
    <mergeCell ref="K92:L92"/>
    <mergeCell ref="A22:L22"/>
    <mergeCell ref="H24:I24"/>
    <mergeCell ref="H27:I27"/>
    <mergeCell ref="K87:L87"/>
    <mergeCell ref="I87:J87"/>
    <mergeCell ref="E89:L89"/>
    <mergeCell ref="K14:L14"/>
    <mergeCell ref="K15:L15"/>
    <mergeCell ref="H17:H18"/>
    <mergeCell ref="I17:I18"/>
    <mergeCell ref="J17:K17"/>
    <mergeCell ref="A21:L21"/>
    <mergeCell ref="K11:L11"/>
    <mergeCell ref="D11:G11"/>
    <mergeCell ref="H12:J12"/>
    <mergeCell ref="K12:L12"/>
    <mergeCell ref="H13:I13"/>
    <mergeCell ref="K13:L13"/>
    <mergeCell ref="D7:G7"/>
    <mergeCell ref="K8:L8"/>
    <mergeCell ref="D8:G8"/>
    <mergeCell ref="K9:L9"/>
    <mergeCell ref="D9:G9"/>
    <mergeCell ref="K10:L10"/>
    <mergeCell ref="D10:G10"/>
    <mergeCell ref="I1:L1"/>
    <mergeCell ref="I2:L2"/>
    <mergeCell ref="I3:L3"/>
    <mergeCell ref="K5:L5"/>
    <mergeCell ref="K6:L6"/>
    <mergeCell ref="K7:L7"/>
  </mergeCells>
  <pageMargins left="0.38740157480315002" right="0.196850393700787" top="0.39370078740157499" bottom="0.39370078740157499" header="0.11811023622047198" footer="0.11811023622047198"/>
  <pageSetup paperSize="9" scale="70" orientation="portrait" verticalDpi="0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A108"/>
  <sheetViews>
    <sheetView zoomScale="137" zoomScaleNormal="137" workbookViewId="0">
      <selection sqref="A1:K1"/>
    </sheetView>
  </sheetViews>
  <sheetFormatPr defaultRowHeight="12.75"/>
  <cols>
    <col min="1" max="1" width="4.7109375" customWidth="1"/>
    <col min="2" max="2" width="12.28515625" customWidth="1"/>
    <col min="3" max="3" width="30.7109375" customWidth="1"/>
    <col min="4" max="4" width="10.7109375" customWidth="1"/>
    <col min="7" max="8" width="9.7109375" customWidth="1"/>
    <col min="9" max="9" width="10.7109375" customWidth="1"/>
    <col min="10" max="10" width="9.7109375" customWidth="1"/>
    <col min="11" max="11" width="10.7109375" customWidth="1"/>
    <col min="12" max="26" width="0" hidden="1" customWidth="1"/>
    <col min="27" max="27" width="120.140625" hidden="1" customWidth="1"/>
    <col min="28" max="28" width="0" hidden="1" customWidth="1"/>
  </cols>
  <sheetData>
    <row r="1" spans="1:27" s="4" customFormat="1" ht="11.25">
      <c r="A1" s="4" t="str">
        <f>CONCATENATE(Source!B1, "     ТСН-2001 (© ОАО МЦЦС 'Мосстройцены', 2006)")</f>
        <v>Smeta.ru  (495) 974-1589     ТСН-2001 (© ОАО МЦЦС 'Мосстройцены', 2006)</v>
      </c>
    </row>
    <row r="2" spans="1:27" s="4" customFormat="1" ht="11.25">
      <c r="K2" s="4" t="s">
        <v>122</v>
      </c>
    </row>
    <row r="3" spans="1:27" s="5" customFormat="1" ht="15">
      <c r="A3" s="5" t="s">
        <v>123</v>
      </c>
      <c r="F3" s="57" t="s">
        <v>124</v>
      </c>
      <c r="G3" s="57"/>
      <c r="H3" s="57"/>
      <c r="I3" s="57"/>
    </row>
    <row r="5" spans="1:27">
      <c r="A5" s="58" t="str">
        <f>Source!AS12</f>
        <v/>
      </c>
      <c r="B5" s="58"/>
      <c r="C5" s="58" t="str">
        <f>Source!CH12</f>
        <v/>
      </c>
      <c r="D5" s="58"/>
      <c r="E5" s="7"/>
      <c r="F5" s="58" t="str">
        <f>Source!AR12</f>
        <v/>
      </c>
      <c r="G5" s="58"/>
      <c r="H5" s="58"/>
      <c r="I5" s="58" t="str">
        <f>Source!CG12</f>
        <v/>
      </c>
      <c r="J5" s="58"/>
      <c r="K5" s="58"/>
    </row>
    <row r="6" spans="1:27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27">
      <c r="A7" s="8"/>
      <c r="B7" s="8"/>
      <c r="C7" s="58" t="str">
        <f>Source!M12</f>
        <v/>
      </c>
      <c r="D7" s="58"/>
      <c r="E7" s="7"/>
      <c r="F7" s="8"/>
      <c r="G7" s="8"/>
      <c r="H7" s="58" t="str">
        <f>Source!L12</f>
        <v/>
      </c>
      <c r="I7" s="58"/>
      <c r="J7" s="58"/>
      <c r="K7" s="58"/>
    </row>
    <row r="8" spans="1:27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spans="1:27" s="5" customFormat="1" ht="15">
      <c r="A9" s="5" t="s">
        <v>125</v>
      </c>
      <c r="F9" s="5" t="s">
        <v>125</v>
      </c>
    </row>
    <row r="12" spans="1:27">
      <c r="A12" s="51" t="str">
        <f>IF(Source!G4&lt;&gt;"",Source!G4,IF(Source!F4&lt;&gt;"",Source!F4,IF(Source!G5&lt;&gt;"",Source!G5,IF(Source!F5&lt;&gt;"",Source!F5,IF(Source!G6&lt;&gt;"",Source!G6,IF(Source!F6&lt;&gt;"",Source!F6," "))))))</f>
        <v xml:space="preserve"> 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AA12" s="10" t="str">
        <f>IF(Source!G4&lt;&gt;"",Source!G4,IF(Source!F4&lt;&gt;"",Source!F4,IF(Source!G5&lt;&gt;"",Source!G5,IF(Source!F5&lt;&gt;"",Source!F5,IF(Source!G6&lt;&gt;"",Source!G6,IF(Source!F6&lt;&gt;"",Source!F6," "))))))</f>
        <v xml:space="preserve"> </v>
      </c>
    </row>
    <row r="13" spans="1:27">
      <c r="A13" s="52" t="s">
        <v>126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</row>
    <row r="15" spans="1:27" ht="15">
      <c r="A15" s="54" t="str">
        <f>CONCATENATE( "ЛОКАЛЬНАЯ СМЕТА №  ", Source!F20)</f>
        <v>ЛОКАЛЬНАЯ СМЕТА №  Новая локальная смета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AA15" s="11" t="str">
        <f>CONCATENATE( "ЛОКАЛЬНАЯ СМЕТА №  ", Source!F20)</f>
        <v>ЛОКАЛЬНАЯ СМЕТА №  Новая локальная смета</v>
      </c>
    </row>
    <row r="16" spans="1:27">
      <c r="A16" s="46" t="s">
        <v>127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</row>
    <row r="18" spans="1:27" ht="15.75">
      <c r="A18" s="55" t="str">
        <f>Source!G20</f>
        <v>Новая локальная смета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AA18" s="12" t="str">
        <f>Source!G20</f>
        <v>Новая локальная смета</v>
      </c>
    </row>
    <row r="20" spans="1:27" ht="18.75">
      <c r="A20" s="4" t="s">
        <v>128</v>
      </c>
      <c r="B20" s="56" t="str">
        <f>IF(Source!G12&lt;&gt;"",Source!G12,Source!F12)</f>
        <v>Новый объект</v>
      </c>
      <c r="C20" s="56"/>
      <c r="D20" s="56"/>
      <c r="E20" s="56"/>
      <c r="F20" s="56"/>
      <c r="G20" s="56"/>
      <c r="H20" s="56"/>
      <c r="I20" s="56"/>
      <c r="J20" s="56"/>
      <c r="K20" s="56"/>
      <c r="AA20" s="13" t="str">
        <f>IF(Source!G12&lt;&gt;"",Source!G12,Source!F12)</f>
        <v>Новый объект</v>
      </c>
    </row>
    <row r="21" spans="1:27">
      <c r="B21" s="46" t="s">
        <v>129</v>
      </c>
      <c r="C21" s="47"/>
      <c r="D21" s="47"/>
      <c r="E21" s="47"/>
      <c r="F21" s="47"/>
      <c r="G21" s="47"/>
      <c r="H21" s="47"/>
      <c r="I21" s="47"/>
      <c r="J21" s="47"/>
      <c r="K21" s="47"/>
    </row>
    <row r="23" spans="1:27">
      <c r="A23" s="43" t="str">
        <f>CONCATENATE( "Основание: чертежи № ", Source!J20)</f>
        <v xml:space="preserve">Основание: чертежи № 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AA23" s="14" t="str">
        <f>CONCATENATE( "Основание: чертежи № ", Source!J20)</f>
        <v xml:space="preserve">Основание: чертежи № </v>
      </c>
    </row>
    <row r="25" spans="1:27">
      <c r="I25" s="15" t="s">
        <v>130</v>
      </c>
      <c r="J25" s="15" t="s">
        <v>131</v>
      </c>
    </row>
    <row r="26" spans="1:27">
      <c r="I26" s="15" t="s">
        <v>132</v>
      </c>
      <c r="J26" s="15" t="s">
        <v>132</v>
      </c>
    </row>
    <row r="27" spans="1:27">
      <c r="G27" s="4" t="s">
        <v>133</v>
      </c>
      <c r="H27" s="4"/>
      <c r="I27" s="16">
        <f>H100/1000</f>
        <v>0.25664999999999999</v>
      </c>
      <c r="J27" s="16">
        <f>(Source!O22+Source!X22+Source!Y22+Source!R22*178/100)/1000</f>
        <v>2.7531892</v>
      </c>
      <c r="K27" s="6" t="s">
        <v>134</v>
      </c>
    </row>
    <row r="28" spans="1:27">
      <c r="G28" s="4" t="s">
        <v>39</v>
      </c>
      <c r="H28" s="4"/>
      <c r="I28" s="16">
        <f>SUM(O40:O101)/1000</f>
        <v>0.22388999999999998</v>
      </c>
      <c r="J28" s="16">
        <f>SUM(U40:U101)/1000</f>
        <v>2.3933352000000001</v>
      </c>
      <c r="K28" s="6" t="s">
        <v>134</v>
      </c>
    </row>
    <row r="29" spans="1:27">
      <c r="G29" s="4" t="s">
        <v>135</v>
      </c>
      <c r="I29" s="16">
        <f>SUM(P40:P101)/1000</f>
        <v>3.2750000000000001E-2</v>
      </c>
      <c r="J29" s="16">
        <f>SUM(V40:V101)/1000</f>
        <v>0.35985400000000006</v>
      </c>
      <c r="K29" s="6" t="s">
        <v>134</v>
      </c>
    </row>
    <row r="30" spans="1:27">
      <c r="G30" s="4" t="s">
        <v>136</v>
      </c>
      <c r="I30" s="16">
        <f>SUM(Q40:Q101)/1000</f>
        <v>0</v>
      </c>
      <c r="J30" s="16">
        <f>SUM(W40:W101)/1000</f>
        <v>0</v>
      </c>
      <c r="K30" s="6" t="s">
        <v>134</v>
      </c>
    </row>
    <row r="31" spans="1:27">
      <c r="G31" s="4" t="s">
        <v>137</v>
      </c>
      <c r="I31" s="16">
        <f>SUM(R40:R101)/1000</f>
        <v>0</v>
      </c>
      <c r="J31" s="16">
        <f>SUM(X40:X101)/1000</f>
        <v>0</v>
      </c>
      <c r="K31" s="6" t="s">
        <v>134</v>
      </c>
    </row>
    <row r="32" spans="1:27">
      <c r="G32" s="4" t="s">
        <v>138</v>
      </c>
      <c r="I32" s="16">
        <f>L100/1000</f>
        <v>8.4400000000000003E-2</v>
      </c>
      <c r="J32" s="16">
        <f>((Source!F41 + Source!F40)/1000)</f>
        <v>1.0717399999999999</v>
      </c>
      <c r="K32" s="6" t="s">
        <v>134</v>
      </c>
    </row>
    <row r="33" spans="1:25">
      <c r="A33" s="4" t="s">
        <v>139</v>
      </c>
      <c r="B33" s="4"/>
      <c r="C33" s="4"/>
      <c r="D33" s="18">
        <f>IF(AND(Source!P12&lt;&gt;0,Source!Q12&lt;&gt;0),DATE(Source!P12,Source!Q12,1),IF(Source!AF12=0,"",IF(Source!AN12=0,"",DATE(Source!AF12,Source!AN12,1))))</f>
        <v>40878</v>
      </c>
      <c r="E33" s="19">
        <f>IF(AND(Source!P12&lt;&gt;0,Source!Q12&lt;&gt;0),Source!P12,IF(Source!AF12=0,"",Source!AF12))</f>
        <v>2011</v>
      </c>
      <c r="F33" s="4" t="s">
        <v>140</v>
      </c>
    </row>
    <row r="34" spans="1:25">
      <c r="A34" s="24"/>
      <c r="B34" s="24"/>
      <c r="C34" s="24"/>
      <c r="D34" s="24"/>
      <c r="E34" s="24"/>
      <c r="F34" s="23" t="s">
        <v>153</v>
      </c>
      <c r="G34" s="48" t="s">
        <v>156</v>
      </c>
      <c r="H34" s="49"/>
      <c r="I34" s="23" t="s">
        <v>162</v>
      </c>
      <c r="J34" s="23" t="s">
        <v>165</v>
      </c>
      <c r="K34" s="22" t="s">
        <v>162</v>
      </c>
      <c r="Y34">
        <v>-1</v>
      </c>
    </row>
    <row r="35" spans="1:25">
      <c r="A35" s="21" t="s">
        <v>141</v>
      </c>
      <c r="B35" s="21" t="s">
        <v>143</v>
      </c>
      <c r="C35" s="25"/>
      <c r="D35" s="21" t="s">
        <v>148</v>
      </c>
      <c r="E35" s="21" t="s">
        <v>151</v>
      </c>
      <c r="F35" s="21" t="s">
        <v>154</v>
      </c>
      <c r="G35" s="23"/>
      <c r="H35" s="23" t="s">
        <v>159</v>
      </c>
      <c r="I35" s="21" t="s">
        <v>163</v>
      </c>
      <c r="J35" s="21" t="s">
        <v>166</v>
      </c>
      <c r="K35" s="20" t="s">
        <v>170</v>
      </c>
    </row>
    <row r="36" spans="1:25">
      <c r="A36" s="21" t="s">
        <v>142</v>
      </c>
      <c r="B36" s="21" t="s">
        <v>144</v>
      </c>
      <c r="C36" s="21" t="s">
        <v>147</v>
      </c>
      <c r="D36" s="21" t="s">
        <v>149</v>
      </c>
      <c r="E36" s="21" t="s">
        <v>152</v>
      </c>
      <c r="F36" s="21" t="s">
        <v>155</v>
      </c>
      <c r="G36" s="21" t="s">
        <v>157</v>
      </c>
      <c r="H36" s="21" t="s">
        <v>160</v>
      </c>
      <c r="I36" s="21" t="s">
        <v>164</v>
      </c>
      <c r="J36" s="21" t="s">
        <v>167</v>
      </c>
      <c r="K36" s="26" t="s">
        <v>171</v>
      </c>
    </row>
    <row r="37" spans="1:25">
      <c r="A37" s="25"/>
      <c r="B37" s="21" t="s">
        <v>145</v>
      </c>
      <c r="C37" s="25"/>
      <c r="D37" s="21" t="s">
        <v>150</v>
      </c>
      <c r="E37" s="25"/>
      <c r="F37" s="21" t="s">
        <v>111</v>
      </c>
      <c r="G37" s="21" t="s">
        <v>158</v>
      </c>
      <c r="H37" s="21" t="s">
        <v>161</v>
      </c>
      <c r="I37" s="21" t="s">
        <v>111</v>
      </c>
      <c r="J37" s="21" t="s">
        <v>168</v>
      </c>
      <c r="K37" s="20" t="s">
        <v>172</v>
      </c>
    </row>
    <row r="38" spans="1:25">
      <c r="A38" s="25"/>
      <c r="B38" s="21" t="s">
        <v>146</v>
      </c>
      <c r="C38" s="25"/>
      <c r="D38" s="25"/>
      <c r="E38" s="25"/>
      <c r="F38" s="25"/>
      <c r="G38" s="21"/>
      <c r="H38" s="21"/>
      <c r="I38" s="21"/>
      <c r="J38" s="21" t="s">
        <v>169</v>
      </c>
      <c r="K38" s="20"/>
    </row>
    <row r="39" spans="1:25">
      <c r="A39" s="27">
        <v>1</v>
      </c>
      <c r="B39" s="27">
        <v>2</v>
      </c>
      <c r="C39" s="27">
        <v>3</v>
      </c>
      <c r="D39" s="27">
        <v>4</v>
      </c>
      <c r="E39" s="27">
        <v>5</v>
      </c>
      <c r="F39" s="27">
        <v>6</v>
      </c>
      <c r="G39" s="27">
        <v>7</v>
      </c>
      <c r="H39" s="27">
        <v>8</v>
      </c>
      <c r="I39" s="27">
        <v>9</v>
      </c>
      <c r="J39" s="27">
        <v>10</v>
      </c>
      <c r="K39" s="28">
        <v>11</v>
      </c>
    </row>
    <row r="40" spans="1:25">
      <c r="A40" s="29" t="str">
        <f>Source!E24</f>
        <v>1</v>
      </c>
      <c r="B40" s="29" t="str">
        <f>Source!F24</f>
        <v>6.65-3-2</v>
      </c>
      <c r="C40" s="14" t="str">
        <f>Source!G24</f>
        <v>ДЕМОНТАЖ ВЕНТИЛЯ</v>
      </c>
      <c r="D40" s="30" t="str">
        <f>Source!H24</f>
        <v>100 шт.</v>
      </c>
      <c r="E40" s="6">
        <f>ROUND(Source!I24,6)</f>
        <v>0.01</v>
      </c>
      <c r="F40" s="6"/>
      <c r="G40" s="6"/>
      <c r="H40" s="6"/>
      <c r="I40" s="6"/>
      <c r="J40" s="6"/>
      <c r="K40" s="6"/>
      <c r="Y40">
        <v>1</v>
      </c>
    </row>
    <row r="41" spans="1:25">
      <c r="A41" s="6"/>
      <c r="B41" s="6"/>
      <c r="C41" s="6" t="s">
        <v>173</v>
      </c>
      <c r="D41" s="6"/>
      <c r="E41" s="6"/>
      <c r="F41" s="16">
        <f>Source!AO24</f>
        <v>576.73</v>
      </c>
      <c r="G41" s="31" t="str">
        <f>Source!DG24</f>
        <v/>
      </c>
      <c r="H41" s="6">
        <f>Source!AV24</f>
        <v>1.0469999999999999</v>
      </c>
      <c r="I41" s="16">
        <f>ROUND((Source!CT24/IF(Source!BA24&lt;&gt; 0, Source!BA24,1) * Source!I24), 2)</f>
        <v>6.04</v>
      </c>
      <c r="J41" s="6">
        <f>Source!BA24</f>
        <v>12.7</v>
      </c>
      <c r="K41" s="16">
        <f>Source!S24</f>
        <v>76.69</v>
      </c>
    </row>
    <row r="42" spans="1:25">
      <c r="A42" s="6"/>
      <c r="B42" s="6"/>
      <c r="C42" s="6" t="s">
        <v>174</v>
      </c>
      <c r="D42" s="6"/>
      <c r="E42" s="6"/>
      <c r="F42" s="16">
        <f>Source!AM24</f>
        <v>0</v>
      </c>
      <c r="G42" s="31" t="str">
        <f>Source!DE24</f>
        <v/>
      </c>
      <c r="H42" s="6">
        <f>Source!AV24</f>
        <v>1.0469999999999999</v>
      </c>
      <c r="I42" s="16">
        <f>ROUND((Source!CR24/IF(Source!BB24&lt;&gt; 0, Source!BB24,1) * Source!I24), 2)</f>
        <v>0</v>
      </c>
      <c r="J42" s="6">
        <f>Source!BB24</f>
        <v>1</v>
      </c>
      <c r="K42" s="16">
        <f>Source!Q24</f>
        <v>0</v>
      </c>
    </row>
    <row r="43" spans="1:25">
      <c r="A43" s="6"/>
      <c r="B43" s="6"/>
      <c r="C43" s="6" t="s">
        <v>175</v>
      </c>
      <c r="D43" s="6"/>
      <c r="E43" s="6"/>
      <c r="F43" s="16">
        <f>Source!AN24</f>
        <v>0</v>
      </c>
      <c r="G43" s="31" t="str">
        <f>Source!DF24</f>
        <v/>
      </c>
      <c r="H43" s="6">
        <f>Source!AV24</f>
        <v>1.0469999999999999</v>
      </c>
      <c r="I43" s="32" t="str">
        <f>CONCATENATE("(",TEXT(+ ROUND((Source!CS24/IF(J43&lt;&gt; 0, J43,1) * Source!I24), 2),"0,00"),")")</f>
        <v>(0,00)</v>
      </c>
      <c r="J43" s="6">
        <f>Source!BS24</f>
        <v>12.7</v>
      </c>
      <c r="K43" s="32" t="str">
        <f>CONCATENATE("(",TEXT(+Source!R24,"0,00"),")")</f>
        <v>(0,00)</v>
      </c>
      <c r="L43">
        <f>ROUND(IF(J43&lt;&gt;0, Source!R24/J43, Source!R24), 2)</f>
        <v>0</v>
      </c>
    </row>
    <row r="44" spans="1:25">
      <c r="A44" s="6"/>
      <c r="B44" s="6"/>
      <c r="C44" s="6" t="s">
        <v>176</v>
      </c>
      <c r="D44" s="6"/>
      <c r="E44" s="6"/>
      <c r="F44" s="16">
        <f>Source!AL24</f>
        <v>0</v>
      </c>
      <c r="G44" s="6" t="str">
        <f>Source!DD24</f>
        <v/>
      </c>
      <c r="H44" s="6">
        <f>Source!AW24</f>
        <v>1</v>
      </c>
      <c r="I44" s="16">
        <f>ROUND((Source!CQ24/IF(Source!BC24&lt;&gt; 0, Source!BC24,1) * Source!I24), 2)</f>
        <v>0</v>
      </c>
      <c r="J44" s="6">
        <f>Source!BC24</f>
        <v>1</v>
      </c>
      <c r="K44" s="16">
        <f>Source!P24</f>
        <v>0</v>
      </c>
    </row>
    <row r="45" spans="1:25">
      <c r="A45" s="6"/>
      <c r="B45" s="6"/>
      <c r="C45" s="6" t="s">
        <v>177</v>
      </c>
      <c r="D45" s="6" t="s">
        <v>178</v>
      </c>
      <c r="E45" s="6">
        <f>Source!DN24</f>
        <v>80</v>
      </c>
      <c r="F45" s="6"/>
      <c r="G45" s="6"/>
      <c r="H45" s="6"/>
      <c r="I45" s="16">
        <f>ROUND((E45/100)* ROUND((Source!CT24/IF(Source!BA24&lt;&gt; 0, Source!BA24,1) * Source!I24), 2), 2)</f>
        <v>4.83</v>
      </c>
      <c r="J45" s="6">
        <f>Source!AT24</f>
        <v>77</v>
      </c>
      <c r="K45" s="16">
        <f>Source!X24</f>
        <v>59.05</v>
      </c>
    </row>
    <row r="46" spans="1:25">
      <c r="A46" s="6"/>
      <c r="B46" s="6"/>
      <c r="C46" s="6" t="s">
        <v>179</v>
      </c>
      <c r="D46" s="6" t="s">
        <v>178</v>
      </c>
      <c r="E46" s="6">
        <f>Source!DO24</f>
        <v>55</v>
      </c>
      <c r="F46" s="6"/>
      <c r="G46" s="6"/>
      <c r="H46" s="6"/>
      <c r="I46" s="16">
        <f>ROUND((E46/100)* ROUND((Source!CT24/IF(Source!BA24&lt;&gt; 0, Source!BA24,1) * Source!I24), 2), 2)</f>
        <v>3.32</v>
      </c>
      <c r="J46" s="6">
        <f>Source!AU24</f>
        <v>45</v>
      </c>
      <c r="K46" s="16">
        <f>Source!Y24</f>
        <v>34.51</v>
      </c>
    </row>
    <row r="47" spans="1:25">
      <c r="A47" s="6"/>
      <c r="B47" s="6"/>
      <c r="C47" s="6" t="s">
        <v>86</v>
      </c>
      <c r="D47" s="6" t="s">
        <v>178</v>
      </c>
      <c r="E47" s="6">
        <v>175</v>
      </c>
      <c r="F47" s="6"/>
      <c r="G47" s="6"/>
      <c r="H47" s="6"/>
      <c r="I47" s="16">
        <f>ROUND(ROUND((Source!CS24/IF(Source!BS24&lt;&gt; 0, Source!BS24,1) * Source!I24), 2)*1.75, 2)</f>
        <v>0</v>
      </c>
      <c r="J47" s="6">
        <v>178</v>
      </c>
      <c r="K47" s="16">
        <f>ROUND(Source!R24*J47/100, 2)</f>
        <v>0</v>
      </c>
    </row>
    <row r="48" spans="1:25">
      <c r="A48" s="33"/>
      <c r="B48" s="33"/>
      <c r="C48" s="33" t="s">
        <v>180</v>
      </c>
      <c r="D48" s="33" t="s">
        <v>181</v>
      </c>
      <c r="E48" s="33">
        <f>Source!AQ24</f>
        <v>45.7</v>
      </c>
      <c r="F48" s="33"/>
      <c r="G48" s="34" t="str">
        <f>Source!DI24</f>
        <v/>
      </c>
      <c r="H48" s="33">
        <f>Source!AV24</f>
        <v>1.0469999999999999</v>
      </c>
      <c r="I48" s="35">
        <f>ROUND(Source!U24,2)</f>
        <v>0.48</v>
      </c>
      <c r="J48" s="33"/>
      <c r="K48" s="33"/>
    </row>
    <row r="49" spans="1:25">
      <c r="I49" s="36">
        <f>ROUND((Source!CT24/IF(Source!BA24 &lt;&gt;0, Source!BA24, 1) * Source!I24), 2)+ROUND((Source!CR24 / IF(Source!BB24 &lt;&gt;0, Source!BB24, 1) * Source!I24), 2)+SUM(I44:I47)</f>
        <v>14.190000000000001</v>
      </c>
      <c r="J49" s="9"/>
      <c r="K49" s="36">
        <f>Source!S24+Source!Q24+SUM(K44:K47)</f>
        <v>170.25</v>
      </c>
      <c r="L49">
        <f>ROUND((Source!CT24/IF(Source!BA24&lt;&gt; 0, Source!BA24,1) * Source!I24), 2)</f>
        <v>6.04</v>
      </c>
      <c r="M49" s="17">
        <f>I49</f>
        <v>14.190000000000001</v>
      </c>
      <c r="N49" s="17">
        <f>K49</f>
        <v>170.25</v>
      </c>
      <c r="O49">
        <f>ROUND(IF( Source!BI24 = 1,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14.19</v>
      </c>
      <c r="P49">
        <f>ROUND(IF( Source!BI24 = 2,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Q49">
        <f>ROUND(IF( Source!BI24 = 3,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R49">
        <f>ROUND(IF( Source!BI24 = 4, (ROUND((Source!CT24/IF(Source!BA24&lt;&gt; 0, Source!BA24,1) * Source!I24), 2)+ROUND((Source!CR24/IF(Source!BB24&lt;&gt; 0, Source!BB24,1) * Source!I24), 2)+ROUND((Source!CQ24/IF(Source!BC24&lt;&gt; 0, Source!BC24,1) * Source!I24), 2)+((Source!DN24/100)*ROUND((Source!CT24/IF(Source!BA24&lt;&gt;0,Source!BA24,1) * Source!I24), 2))+((Source!DO24/100)*ROUND((Source!CT24/IF(Source!BA24&lt;&gt;0,Source!BA24,1) * Source!I24), 2))+(ROUND((Source!CS24/IF(Source!BS24&lt;&gt;0,Source!BS24,1) * Source!I24), 2)* 1.75)), 0 ), 2)</f>
        <v>0</v>
      </c>
      <c r="U49">
        <f>IF( Source!BI24 = 1, Source!O24 + Source!X24 + Source!Y24 + Source!R24*178/100, 0 )</f>
        <v>170.25</v>
      </c>
      <c r="V49">
        <f>IF( Source!BI24 = 2, Source!O24 + Source!X24 + Source!Y24 + Source!R24*178/100, 0 )</f>
        <v>0</v>
      </c>
      <c r="W49">
        <f>IF( Source!BI24 = 3, Source!O24 + Source!X24 + Source!Y24 + Source!R24*178/100, 0 )</f>
        <v>0</v>
      </c>
      <c r="X49">
        <f>IF( Source!BI24 = 4, Source!O24 + Source!X24 + Source!Y24 + Source!R24*178/100, 0 )</f>
        <v>0</v>
      </c>
    </row>
    <row r="50" spans="1:25" ht="36">
      <c r="A50" s="29" t="str">
        <f>Source!E25</f>
        <v>2</v>
      </c>
      <c r="B50" s="29" t="str">
        <f>Source!F25</f>
        <v>6.65-10-1</v>
      </c>
      <c r="C50" s="14" t="str">
        <f>Source!G25</f>
        <v>СМЕНА САНИТАРНО-ТЕХНИЧЕСКИХ ПРИБОРОВ РАКОВИН (УМЫВАЛЬНИКОВ)</v>
      </c>
      <c r="D50" s="30" t="str">
        <f>Source!H25</f>
        <v>100 компл.</v>
      </c>
      <c r="E50" s="6">
        <f>ROUND(Source!I25,6)</f>
        <v>0.01</v>
      </c>
      <c r="F50" s="6"/>
      <c r="G50" s="6"/>
      <c r="H50" s="6"/>
      <c r="I50" s="6"/>
      <c r="J50" s="6"/>
      <c r="K50" s="6"/>
      <c r="Y50">
        <v>2</v>
      </c>
    </row>
    <row r="51" spans="1:25">
      <c r="A51" s="6"/>
      <c r="B51" s="6"/>
      <c r="C51" s="6" t="s">
        <v>173</v>
      </c>
      <c r="D51" s="6"/>
      <c r="E51" s="6"/>
      <c r="F51" s="16">
        <f>Source!AO25</f>
        <v>2550.36</v>
      </c>
      <c r="G51" s="31" t="str">
        <f>Source!DG25</f>
        <v/>
      </c>
      <c r="H51" s="6">
        <f>Source!AV25</f>
        <v>1.0669999999999999</v>
      </c>
      <c r="I51" s="16">
        <f>ROUND((Source!CT25/IF(Source!BA25&lt;&gt; 0, Source!BA25,1) * Source!I25), 2)</f>
        <v>27.21</v>
      </c>
      <c r="J51" s="6">
        <f>Source!BA25</f>
        <v>12.7</v>
      </c>
      <c r="K51" s="16">
        <f>Source!S25</f>
        <v>345.6</v>
      </c>
    </row>
    <row r="52" spans="1:25">
      <c r="A52" s="6"/>
      <c r="B52" s="6"/>
      <c r="C52" s="6" t="s">
        <v>174</v>
      </c>
      <c r="D52" s="6"/>
      <c r="E52" s="6"/>
      <c r="F52" s="16">
        <f>Source!AM25</f>
        <v>0</v>
      </c>
      <c r="G52" s="31" t="str">
        <f>Source!DE25</f>
        <v/>
      </c>
      <c r="H52" s="6">
        <f>Source!AV25</f>
        <v>1.0669999999999999</v>
      </c>
      <c r="I52" s="16">
        <f>ROUND((Source!CR25/IF(Source!BB25&lt;&gt; 0, Source!BB25,1) * Source!I25), 2)</f>
        <v>0</v>
      </c>
      <c r="J52" s="6">
        <f>Source!BB25</f>
        <v>1</v>
      </c>
      <c r="K52" s="16">
        <f>Source!Q25</f>
        <v>0</v>
      </c>
    </row>
    <row r="53" spans="1:25">
      <c r="A53" s="6"/>
      <c r="B53" s="6"/>
      <c r="C53" s="6" t="s">
        <v>175</v>
      </c>
      <c r="D53" s="6"/>
      <c r="E53" s="6"/>
      <c r="F53" s="16">
        <f>Source!AN25</f>
        <v>0</v>
      </c>
      <c r="G53" s="31" t="str">
        <f>Source!DF25</f>
        <v/>
      </c>
      <c r="H53" s="6">
        <f>Source!AV25</f>
        <v>1.0669999999999999</v>
      </c>
      <c r="I53" s="32" t="str">
        <f>CONCATENATE("(",TEXT(+ ROUND((Source!CS25/IF(J53&lt;&gt; 0, J53,1) * Source!I25), 2),"0,00"),")")</f>
        <v>(0,00)</v>
      </c>
      <c r="J53" s="6">
        <f>Source!BS25</f>
        <v>12.7</v>
      </c>
      <c r="K53" s="32" t="str">
        <f>CONCATENATE("(",TEXT(+Source!R25,"0,00"),")")</f>
        <v>(0,00)</v>
      </c>
      <c r="L53">
        <f>ROUND(IF(J53&lt;&gt;0, Source!R25/J53, Source!R25), 2)</f>
        <v>0</v>
      </c>
    </row>
    <row r="54" spans="1:25">
      <c r="A54" s="6"/>
      <c r="B54" s="6"/>
      <c r="C54" s="6" t="s">
        <v>176</v>
      </c>
      <c r="D54" s="6"/>
      <c r="E54" s="6"/>
      <c r="F54" s="16">
        <f>Source!AL25</f>
        <v>229.06</v>
      </c>
      <c r="G54" s="6" t="str">
        <f>Source!DD25</f>
        <v/>
      </c>
      <c r="H54" s="6">
        <f>Source!AW25</f>
        <v>1</v>
      </c>
      <c r="I54" s="16">
        <f>ROUND((Source!CQ25/IF(Source!BC25&lt;&gt; 0, Source!BC25,1) * Source!I25), 2)</f>
        <v>2.29</v>
      </c>
      <c r="J54" s="6">
        <f>Source!BC25</f>
        <v>4.2300000000000004</v>
      </c>
      <c r="K54" s="16">
        <f>Source!P25</f>
        <v>9.69</v>
      </c>
    </row>
    <row r="55" spans="1:25">
      <c r="A55" s="29" t="str">
        <f>Source!E26</f>
        <v>2,1</v>
      </c>
      <c r="B55" s="29" t="str">
        <f>Source!F26</f>
        <v>4962130000</v>
      </c>
      <c r="C55" s="14" t="str">
        <f>Source!G26</f>
        <v>УМЫВАЛЬНИКИ</v>
      </c>
      <c r="D55" s="30" t="str">
        <f>Source!H26</f>
        <v>компл.</v>
      </c>
      <c r="E55" s="6">
        <f>ROUND(Source!I26,6)</f>
        <v>1</v>
      </c>
      <c r="F55" s="16">
        <f>IF(Source!AL26=0,Source!AK26,Source!AL26)</f>
        <v>0</v>
      </c>
      <c r="G55" s="31" t="str">
        <f>Source!DD26</f>
        <v/>
      </c>
      <c r="H55" s="6">
        <f>Source!AW26</f>
        <v>1</v>
      </c>
      <c r="I55" s="16">
        <f>ROUND((Source!CR26/IF(Source!BB26&lt;&gt; 0, Source!BB26,1) * Source!I26), 2) + ROUND((Source!CQ26/IF(Source!BC26&lt;&gt; 0, Source!BC26,1) * Source!I26), 2) + ROUND((Source!CT26/IF(Source!BA26&lt;&gt; 0, Source!BA26,1) * Source!I26), 2)</f>
        <v>0</v>
      </c>
      <c r="J55" s="6">
        <f>Source!BC26</f>
        <v>1</v>
      </c>
      <c r="K55" s="16">
        <f>Source!O26</f>
        <v>0</v>
      </c>
      <c r="O55">
        <f>IF( Source!BI26 = 1,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P55">
        <f>IF( Source!BI26 = 2,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Q55">
        <f>IF( Source!BI26 = 3,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R55">
        <f>IF( Source!BI26 = 4, (ROUND((Source!CR26/IF(Source!BB26&lt;&gt; 0, Source!BB26,1) * Source!I26), 2) + ROUND((Source!CQ26/IF(Source!BC26&lt;&gt; 0, Source!BC26,1) * Source!I26), 2) + ROUND((Source!CT26/IF(Source!BA26&lt;&gt; 0, Source!BA26,1) * Source!I26), 2)), 0 )</f>
        <v>0</v>
      </c>
      <c r="U55">
        <f>IF( Source!BI26 = 1, Source!O26 + Source!X26 + Source!Y26, 0 )</f>
        <v>0</v>
      </c>
      <c r="V55">
        <f>IF( Source!BI26 = 2, Source!O26 + Source!X26 + Source!Y26, 0 )</f>
        <v>0</v>
      </c>
      <c r="W55">
        <f>IF( Source!BI26 = 3, Source!O26 + Source!X26 + Source!Y26, 0 )</f>
        <v>0</v>
      </c>
      <c r="X55">
        <f>IF( Source!BI26 = 4, Source!O26 + Source!X26 + Source!Y26, 0 )</f>
        <v>0</v>
      </c>
      <c r="Y55">
        <v>3</v>
      </c>
    </row>
    <row r="56" spans="1:25">
      <c r="A56" s="6"/>
      <c r="B56" s="6"/>
      <c r="C56" s="6" t="s">
        <v>177</v>
      </c>
      <c r="D56" s="6" t="s">
        <v>178</v>
      </c>
      <c r="E56" s="6">
        <f>Source!DN25</f>
        <v>110</v>
      </c>
      <c r="F56" s="6"/>
      <c r="G56" s="6"/>
      <c r="H56" s="6"/>
      <c r="I56" s="16">
        <f>ROUND((E56/100)* ROUND((Source!CT25/IF(Source!BA25&lt;&gt; 0, Source!BA25,1) * Source!I25), 2), 2)</f>
        <v>29.93</v>
      </c>
      <c r="J56" s="6">
        <f>Source!AT25</f>
        <v>100</v>
      </c>
      <c r="K56" s="16">
        <f>Source!X25</f>
        <v>345.6</v>
      </c>
    </row>
    <row r="57" spans="1:25">
      <c r="A57" s="6"/>
      <c r="B57" s="6"/>
      <c r="C57" s="6" t="s">
        <v>179</v>
      </c>
      <c r="D57" s="6" t="s">
        <v>178</v>
      </c>
      <c r="E57" s="6">
        <f>Source!DO25</f>
        <v>74</v>
      </c>
      <c r="F57" s="6"/>
      <c r="G57" s="6"/>
      <c r="H57" s="6"/>
      <c r="I57" s="16">
        <f>ROUND((E57/100)* ROUND((Source!CT25/IF(Source!BA25&lt;&gt; 0, Source!BA25,1) * Source!I25), 2), 2)</f>
        <v>20.14</v>
      </c>
      <c r="J57" s="6">
        <f>Source!AU25</f>
        <v>45</v>
      </c>
      <c r="K57" s="16">
        <f>Source!Y25</f>
        <v>155.52000000000001</v>
      </c>
    </row>
    <row r="58" spans="1:25">
      <c r="A58" s="6"/>
      <c r="B58" s="6"/>
      <c r="C58" s="6" t="s">
        <v>86</v>
      </c>
      <c r="D58" s="6" t="s">
        <v>178</v>
      </c>
      <c r="E58" s="6">
        <v>175</v>
      </c>
      <c r="F58" s="6"/>
      <c r="G58" s="6"/>
      <c r="H58" s="6"/>
      <c r="I58" s="16">
        <f>ROUND(ROUND((Source!CS25/IF(Source!BS25&lt;&gt; 0, Source!BS25,1) * Source!I25), 2)*1.75, 2)</f>
        <v>0</v>
      </c>
      <c r="J58" s="6">
        <v>178</v>
      </c>
      <c r="K58" s="16">
        <f>ROUND(Source!R25*J58/100, 2)</f>
        <v>0</v>
      </c>
    </row>
    <row r="59" spans="1:25">
      <c r="A59" s="33"/>
      <c r="B59" s="33"/>
      <c r="C59" s="33" t="s">
        <v>180</v>
      </c>
      <c r="D59" s="33" t="s">
        <v>181</v>
      </c>
      <c r="E59" s="33">
        <f>Source!AQ25</f>
        <v>212</v>
      </c>
      <c r="F59" s="33"/>
      <c r="G59" s="34" t="str">
        <f>Source!DI25</f>
        <v/>
      </c>
      <c r="H59" s="33">
        <f>Source!AV25</f>
        <v>1.0669999999999999</v>
      </c>
      <c r="I59" s="35">
        <f>ROUND(Source!U25,2)</f>
        <v>2.2599999999999998</v>
      </c>
      <c r="J59" s="33"/>
      <c r="K59" s="33"/>
    </row>
    <row r="60" spans="1:25">
      <c r="I60" s="36">
        <f>ROUND((Source!CT25/IF(Source!BA25 &lt;&gt;0, Source!BA25, 1) * Source!I25), 2)+ROUND((Source!CR25 / IF(Source!BB25 &lt;&gt;0, Source!BB25, 1) * Source!I25), 2)+SUM(I54:I58)</f>
        <v>79.569999999999993</v>
      </c>
      <c r="J60" s="9"/>
      <c r="K60" s="36">
        <f>Source!S25+Source!Q25+SUM(K54:K58)</f>
        <v>856.41000000000008</v>
      </c>
      <c r="L60">
        <f>ROUND((Source!CT25/IF(Source!BA25&lt;&gt; 0, Source!BA25,1) * Source!I25), 2)</f>
        <v>27.21</v>
      </c>
      <c r="M60" s="17">
        <f>I60</f>
        <v>79.569999999999993</v>
      </c>
      <c r="N60" s="17">
        <f>K60</f>
        <v>856.41000000000008</v>
      </c>
      <c r="O60">
        <f>ROUND(IF( Source!BI25 = 1,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79.569999999999993</v>
      </c>
      <c r="P60">
        <f>ROUND(IF( Source!BI25 = 2,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0</v>
      </c>
      <c r="Q60">
        <f>ROUND(IF( Source!BI25 = 3,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0</v>
      </c>
      <c r="R60">
        <f>ROUND(IF( Source!BI25 = 4, (ROUND((Source!CT25/IF(Source!BA25&lt;&gt; 0, Source!BA25,1) * Source!I25), 2)+ROUND((Source!CR25/IF(Source!BB25&lt;&gt; 0, Source!BB25,1) * Source!I25), 2)+ROUND((Source!CQ25/IF(Source!BC25&lt;&gt; 0, Source!BC25,1) * Source!I25), 2)+((Source!DN25/100)*ROUND((Source!CT25/IF(Source!BA25&lt;&gt;0,Source!BA25,1) * Source!I25), 2))+((Source!DO25/100)*ROUND((Source!CT25/IF(Source!BA25&lt;&gt;0,Source!BA25,1) * Source!I25), 2))+(ROUND((Source!CS25/IF(Source!BS25&lt;&gt;0,Source!BS25,1) * Source!I25), 2)* 1.75)), 0 ), 2)</f>
        <v>0</v>
      </c>
      <c r="U60">
        <f>IF( Source!BI25 = 1, Source!O25 + Source!X25 + Source!Y25 + Source!R25*178/100, 0 )</f>
        <v>856.41000000000008</v>
      </c>
      <c r="V60">
        <f>IF( Source!BI25 = 2, Source!O25 + Source!X25 + Source!Y25 + Source!R25*178/100, 0 )</f>
        <v>0</v>
      </c>
      <c r="W60">
        <f>IF( Source!BI25 = 3, Source!O25 + Source!X25 + Source!Y25 + Source!R25*178/100, 0 )</f>
        <v>0</v>
      </c>
      <c r="X60">
        <f>IF( Source!BI25 = 4, Source!O25 + Source!X25 + Source!Y25 + Source!R25*178/100, 0 )</f>
        <v>0</v>
      </c>
    </row>
    <row r="61" spans="1:25" ht="48">
      <c r="A61" s="29" t="str">
        <f>Source!E27</f>
        <v>3</v>
      </c>
      <c r="B61" s="29" t="str">
        <f>Source!F27</f>
        <v>3.17-2-7</v>
      </c>
      <c r="C61" s="14" t="str">
        <f>Source!G27</f>
        <v>УСТАНОВКА ПОЛОТЕНЦЕСУШИТЕЛЕЙ ИЗ НЕРЖАВЕЮЩЕЙ СТАЛИ ТИПА "ЛЕСЕНКА"</v>
      </c>
      <c r="D61" s="30" t="str">
        <f>Source!H27</f>
        <v>шт.</v>
      </c>
      <c r="E61" s="6">
        <f>ROUND(Source!I27,6)</f>
        <v>1</v>
      </c>
      <c r="F61" s="6"/>
      <c r="G61" s="6"/>
      <c r="H61" s="6"/>
      <c r="I61" s="6"/>
      <c r="J61" s="6"/>
      <c r="K61" s="6"/>
      <c r="Y61">
        <v>4</v>
      </c>
    </row>
    <row r="62" spans="1:25">
      <c r="A62" s="6"/>
      <c r="B62" s="6"/>
      <c r="C62" s="6" t="s">
        <v>173</v>
      </c>
      <c r="D62" s="6"/>
      <c r="E62" s="6"/>
      <c r="F62" s="16">
        <f>Source!AO27</f>
        <v>32.42</v>
      </c>
      <c r="G62" s="31" t="str">
        <f>Source!DG27</f>
        <v>)*1,15</v>
      </c>
      <c r="H62" s="6">
        <f>Source!AV27</f>
        <v>1.0669999999999999</v>
      </c>
      <c r="I62" s="16">
        <f>ROUND((Source!CT27/IF(Source!BA27&lt;&gt; 0, Source!BA27,1) * Source!I27), 2)</f>
        <v>39.78</v>
      </c>
      <c r="J62" s="6">
        <f>Source!BA27</f>
        <v>12.7</v>
      </c>
      <c r="K62" s="16">
        <f>Source!S27</f>
        <v>505.22</v>
      </c>
    </row>
    <row r="63" spans="1:25">
      <c r="A63" s="6"/>
      <c r="B63" s="6"/>
      <c r="C63" s="6" t="s">
        <v>174</v>
      </c>
      <c r="D63" s="6"/>
      <c r="E63" s="6"/>
      <c r="F63" s="16">
        <f>Source!AM27</f>
        <v>0.16</v>
      </c>
      <c r="G63" s="31" t="str">
        <f>Source!DE27</f>
        <v>*1,25</v>
      </c>
      <c r="H63" s="6">
        <f>Source!AV27</f>
        <v>1.0669999999999999</v>
      </c>
      <c r="I63" s="16">
        <f>ROUND((Source!CR27/IF(Source!BB27&lt;&gt; 0, Source!BB27,1) * Source!I27), 2)</f>
        <v>0.21</v>
      </c>
      <c r="J63" s="6">
        <f>Source!BB27</f>
        <v>6.8</v>
      </c>
      <c r="K63" s="16">
        <f>Source!Q27</f>
        <v>1.45</v>
      </c>
    </row>
    <row r="64" spans="1:25">
      <c r="A64" s="6"/>
      <c r="B64" s="6"/>
      <c r="C64" s="6" t="s">
        <v>175</v>
      </c>
      <c r="D64" s="6"/>
      <c r="E64" s="6"/>
      <c r="F64" s="16">
        <f>Source!AN27</f>
        <v>0.02</v>
      </c>
      <c r="G64" s="31" t="str">
        <f>Source!DF27</f>
        <v>*1,25</v>
      </c>
      <c r="H64" s="6">
        <f>Source!AV27</f>
        <v>1.0669999999999999</v>
      </c>
      <c r="I64" s="32" t="str">
        <f>CONCATENATE("(",TEXT(+ ROUND((Source!CS27/IF(J64&lt;&gt; 0, J64,1) * Source!I27), 2),"0,00"),")")</f>
        <v>(0,03)</v>
      </c>
      <c r="J64" s="6">
        <f>Source!BS27</f>
        <v>12.7</v>
      </c>
      <c r="K64" s="32" t="str">
        <f>CONCATENATE("(",TEXT(+Source!R27,"0,00"),")")</f>
        <v>(0,34)</v>
      </c>
      <c r="L64">
        <f>ROUND(IF(J64&lt;&gt;0, Source!R27/J64, Source!R27), 2)</f>
        <v>0.03</v>
      </c>
    </row>
    <row r="65" spans="1:25">
      <c r="A65" s="6"/>
      <c r="B65" s="6"/>
      <c r="C65" s="6" t="s">
        <v>176</v>
      </c>
      <c r="D65" s="6"/>
      <c r="E65" s="6"/>
      <c r="F65" s="16">
        <f>Source!AL27</f>
        <v>2.97</v>
      </c>
      <c r="G65" s="6" t="str">
        <f>Source!DD27</f>
        <v/>
      </c>
      <c r="H65" s="6">
        <f>Source!AW27</f>
        <v>1</v>
      </c>
      <c r="I65" s="16">
        <f>ROUND((Source!CQ27/IF(Source!BC27&lt;&gt; 0, Source!BC27,1) * Source!I27), 2)</f>
        <v>2.97</v>
      </c>
      <c r="J65" s="6">
        <f>Source!BC27</f>
        <v>3.58</v>
      </c>
      <c r="K65" s="16">
        <f>Source!P27</f>
        <v>10.63</v>
      </c>
    </row>
    <row r="66" spans="1:25" ht="24">
      <c r="A66" s="29" t="str">
        <f>Source!E28</f>
        <v>3,1</v>
      </c>
      <c r="B66" s="29" t="str">
        <f>Source!F28</f>
        <v>4951511000</v>
      </c>
      <c r="C66" s="14" t="str">
        <f>Source!G28</f>
        <v>ПОЛОТЕНЦЕСУШИТЕЛИ ИЗ НЕРЖАВЕЮЩЕЙ СТАЛИ</v>
      </c>
      <c r="D66" s="30" t="str">
        <f>Source!H28</f>
        <v>шт.</v>
      </c>
      <c r="E66" s="6">
        <f>ROUND(Source!I28,6)</f>
        <v>1</v>
      </c>
      <c r="F66" s="16">
        <f>IF(Source!AL28=0,Source!AK28,Source!AL28)</f>
        <v>0</v>
      </c>
      <c r="G66" s="31" t="str">
        <f>Source!DD28</f>
        <v/>
      </c>
      <c r="H66" s="6">
        <f>Source!AW28</f>
        <v>1</v>
      </c>
      <c r="I66" s="16">
        <f>ROUND((Source!CR28/IF(Source!BB28&lt;&gt; 0, Source!BB28,1) * Source!I28), 2) + ROUND((Source!CQ28/IF(Source!BC28&lt;&gt; 0, Source!BC28,1) * Source!I28), 2) + ROUND((Source!CT28/IF(Source!BA28&lt;&gt; 0, Source!BA28,1) * Source!I28), 2)</f>
        <v>0</v>
      </c>
      <c r="J66" s="6">
        <f>Source!BC28</f>
        <v>1</v>
      </c>
      <c r="K66" s="16">
        <f>Source!O28</f>
        <v>0</v>
      </c>
      <c r="O66">
        <f>IF( Source!BI28 = 1,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P66">
        <f>IF( Source!BI28 = 2,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Q66">
        <f>IF( Source!BI28 = 3,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R66">
        <f>IF( Source!BI28 = 4, (ROUND((Source!CR28/IF(Source!BB28&lt;&gt; 0, Source!BB28,1) * Source!I28), 2) + ROUND((Source!CQ28/IF(Source!BC28&lt;&gt; 0, Source!BC28,1) * Source!I28), 2) + ROUND((Source!CT28/IF(Source!BA28&lt;&gt; 0, Source!BA28,1) * Source!I28), 2)), 0 )</f>
        <v>0</v>
      </c>
      <c r="U66">
        <f>IF( Source!BI28 = 1, Source!O28 + Source!X28 + Source!Y28, 0 )</f>
        <v>0</v>
      </c>
      <c r="V66">
        <f>IF( Source!BI28 = 2, Source!O28 + Source!X28 + Source!Y28, 0 )</f>
        <v>0</v>
      </c>
      <c r="W66">
        <f>IF( Source!BI28 = 3, Source!O28 + Source!X28 + Source!Y28, 0 )</f>
        <v>0</v>
      </c>
      <c r="X66">
        <f>IF( Source!BI28 = 4, Source!O28 + Source!X28 + Source!Y28, 0 )</f>
        <v>0</v>
      </c>
      <c r="Y66">
        <v>5</v>
      </c>
    </row>
    <row r="67" spans="1:25" ht="36">
      <c r="A67" s="29" t="str">
        <f>Source!E29</f>
        <v>3,2</v>
      </c>
      <c r="B67" s="29" t="str">
        <f>Source!F29</f>
        <v>4951541000</v>
      </c>
      <c r="C67" s="14" t="str">
        <f>Source!G29</f>
        <v>ДЕТАЛИ СОЕДИНИТЕЛЬНЫЕ ДЛЯ ПОЛОТЕНЦЕСУШИТЕЛЕЙ - МУФТЫ</v>
      </c>
      <c r="D67" s="30" t="str">
        <f>Source!H29</f>
        <v>шт.</v>
      </c>
      <c r="E67" s="6">
        <f>ROUND(Source!I29,6)</f>
        <v>2</v>
      </c>
      <c r="F67" s="16">
        <f>IF(Source!AL29=0,Source!AK29,Source!AL29)</f>
        <v>0</v>
      </c>
      <c r="G67" s="31" t="str">
        <f>Source!DD29</f>
        <v/>
      </c>
      <c r="H67" s="6">
        <f>Source!AW29</f>
        <v>1</v>
      </c>
      <c r="I67" s="16">
        <f>ROUND((Source!CR29/IF(Source!BB29&lt;&gt; 0, Source!BB29,1) * Source!I29), 2) + ROUND((Source!CQ29/IF(Source!BC29&lt;&gt; 0, Source!BC29,1) * Source!I29), 2) + ROUND((Source!CT29/IF(Source!BA29&lt;&gt; 0, Source!BA29,1) * Source!I29), 2)</f>
        <v>0</v>
      </c>
      <c r="J67" s="6">
        <f>Source!BC29</f>
        <v>1</v>
      </c>
      <c r="K67" s="16">
        <f>Source!O29</f>
        <v>0</v>
      </c>
      <c r="O67">
        <f>IF( Source!BI29 = 1,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P67">
        <f>IF( Source!BI29 = 2,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Q67">
        <f>IF( Source!BI29 = 3,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R67">
        <f>IF( Source!BI29 = 4, (ROUND((Source!CR29/IF(Source!BB29&lt;&gt; 0, Source!BB29,1) * Source!I29), 2) + ROUND((Source!CQ29/IF(Source!BC29&lt;&gt; 0, Source!BC29,1) * Source!I29), 2) + ROUND((Source!CT29/IF(Source!BA29&lt;&gt; 0, Source!BA29,1) * Source!I29), 2)), 0 )</f>
        <v>0</v>
      </c>
      <c r="U67">
        <f>IF( Source!BI29 = 1, Source!O29 + Source!X29 + Source!Y29, 0 )</f>
        <v>0</v>
      </c>
      <c r="V67">
        <f>IF( Source!BI29 = 2, Source!O29 + Source!X29 + Source!Y29, 0 )</f>
        <v>0</v>
      </c>
      <c r="W67">
        <f>IF( Source!BI29 = 3, Source!O29 + Source!X29 + Source!Y29, 0 )</f>
        <v>0</v>
      </c>
      <c r="X67">
        <f>IF( Source!BI29 = 4, Source!O29 + Source!X29 + Source!Y29, 0 )</f>
        <v>0</v>
      </c>
      <c r="Y67">
        <v>6</v>
      </c>
    </row>
    <row r="68" spans="1:25">
      <c r="A68" s="6"/>
      <c r="B68" s="6"/>
      <c r="C68" s="6" t="s">
        <v>177</v>
      </c>
      <c r="D68" s="6" t="s">
        <v>178</v>
      </c>
      <c r="E68" s="6">
        <f>Source!DN27</f>
        <v>125</v>
      </c>
      <c r="F68" s="6"/>
      <c r="G68" s="6"/>
      <c r="H68" s="6"/>
      <c r="I68" s="16">
        <f>ROUND((E68/100)* ROUND((Source!CT27/IF(Source!BA27&lt;&gt; 0, Source!BA27,1) * Source!I27), 2), 2)</f>
        <v>49.73</v>
      </c>
      <c r="J68" s="6">
        <f>Source!AT27</f>
        <v>115</v>
      </c>
      <c r="K68" s="16">
        <f>Source!X27</f>
        <v>581</v>
      </c>
    </row>
    <row r="69" spans="1:25">
      <c r="A69" s="6"/>
      <c r="B69" s="6"/>
      <c r="C69" s="6" t="s">
        <v>179</v>
      </c>
      <c r="D69" s="6" t="s">
        <v>178</v>
      </c>
      <c r="E69" s="6">
        <f>Source!DO27</f>
        <v>94</v>
      </c>
      <c r="F69" s="6"/>
      <c r="G69" s="6"/>
      <c r="H69" s="6"/>
      <c r="I69" s="16">
        <f>ROUND((E69/100)* ROUND((Source!CT27/IF(Source!BA27&lt;&gt; 0, Source!BA27,1) * Source!I27), 2), 2)</f>
        <v>37.39</v>
      </c>
      <c r="J69" s="6">
        <f>Source!AU27</f>
        <v>53</v>
      </c>
      <c r="K69" s="16">
        <f>Source!Y27</f>
        <v>267.77</v>
      </c>
    </row>
    <row r="70" spans="1:25">
      <c r="A70" s="6"/>
      <c r="B70" s="6"/>
      <c r="C70" s="6" t="s">
        <v>86</v>
      </c>
      <c r="D70" s="6" t="s">
        <v>178</v>
      </c>
      <c r="E70" s="6">
        <v>175</v>
      </c>
      <c r="F70" s="6"/>
      <c r="G70" s="6"/>
      <c r="H70" s="6"/>
      <c r="I70" s="16">
        <f>ROUND(ROUND((Source!CS27/IF(Source!BS27&lt;&gt; 0, Source!BS27,1) * Source!I27), 2)*1.75, 2)</f>
        <v>0.05</v>
      </c>
      <c r="J70" s="6">
        <v>178</v>
      </c>
      <c r="K70" s="16">
        <f>ROUND(Source!R27*J70/100, 2)</f>
        <v>0.61</v>
      </c>
    </row>
    <row r="71" spans="1:25">
      <c r="A71" s="33"/>
      <c r="B71" s="33"/>
      <c r="C71" s="33" t="s">
        <v>180</v>
      </c>
      <c r="D71" s="33" t="s">
        <v>181</v>
      </c>
      <c r="E71" s="33">
        <f>Source!AQ27</f>
        <v>2.76</v>
      </c>
      <c r="F71" s="33"/>
      <c r="G71" s="34" t="str">
        <f>Source!DI27</f>
        <v>)*1,15</v>
      </c>
      <c r="H71" s="33">
        <f>Source!AV27</f>
        <v>1.0669999999999999</v>
      </c>
      <c r="I71" s="35">
        <f>ROUND(Source!U27,2)</f>
        <v>3.39</v>
      </c>
      <c r="J71" s="33"/>
      <c r="K71" s="33"/>
    </row>
    <row r="72" spans="1:25">
      <c r="I72" s="36">
        <f>ROUND((Source!CT27/IF(Source!BA27 &lt;&gt;0, Source!BA27, 1) * Source!I27), 2)+ROUND((Source!CR27 / IF(Source!BB27 &lt;&gt;0, Source!BB27, 1) * Source!I27), 2)+SUM(I65:I70)</f>
        <v>130.13</v>
      </c>
      <c r="J72" s="9"/>
      <c r="K72" s="36">
        <f>Source!S27+Source!Q27+SUM(K65:K70)</f>
        <v>1366.68</v>
      </c>
      <c r="L72">
        <f>ROUND((Source!CT27/IF(Source!BA27&lt;&gt; 0, Source!BA27,1) * Source!I27), 2)</f>
        <v>39.78</v>
      </c>
      <c r="M72" s="17">
        <f>I72</f>
        <v>130.13</v>
      </c>
      <c r="N72" s="17">
        <f>K72</f>
        <v>1366.68</v>
      </c>
      <c r="O72">
        <f>ROUND(IF( Source!BI27 = 1,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130.13</v>
      </c>
      <c r="P72">
        <f>ROUND(IF( Source!BI27 = 2,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0</v>
      </c>
      <c r="Q72">
        <f>ROUND(IF( Source!BI27 = 3,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0</v>
      </c>
      <c r="R72">
        <f>ROUND(IF( Source!BI27 = 4, (ROUND((Source!CT27/IF(Source!BA27&lt;&gt; 0, Source!BA27,1) * Source!I27), 2)+ROUND((Source!CR27/IF(Source!BB27&lt;&gt; 0, Source!BB27,1) * Source!I27), 2)+ROUND((Source!CQ27/IF(Source!BC27&lt;&gt; 0, Source!BC27,1) * Source!I27), 2)+((Source!DN27/100)*ROUND((Source!CT27/IF(Source!BA27&lt;&gt;0,Source!BA27,1) * Source!I27), 2))+((Source!DO27/100)*ROUND((Source!CT27/IF(Source!BA27&lt;&gt;0,Source!BA27,1) * Source!I27), 2))+(ROUND((Source!CS27/IF(Source!BS27&lt;&gt;0,Source!BS27,1) * Source!I27), 2)* 1.75)), 0 ), 2)</f>
        <v>0</v>
      </c>
      <c r="U72">
        <f>IF( Source!BI27 = 1, Source!O27 + Source!X27 + Source!Y27 + Source!R27*178/100, 0 )</f>
        <v>1366.6751999999999</v>
      </c>
      <c r="V72">
        <f>IF( Source!BI27 = 2, Source!O27 + Source!X27 + Source!Y27 + Source!R27*178/100, 0 )</f>
        <v>0</v>
      </c>
      <c r="W72">
        <f>IF( Source!BI27 = 3, Source!O27 + Source!X27 + Source!Y27 + Source!R27*178/100, 0 )</f>
        <v>0</v>
      </c>
      <c r="X72">
        <f>IF( Source!BI27 = 4, Source!O27 + Source!X27 + Source!Y27 + Source!R27*178/100, 0 )</f>
        <v>0</v>
      </c>
    </row>
    <row r="73" spans="1:25" ht="36">
      <c r="A73" s="29" t="str">
        <f>Source!E30</f>
        <v>4</v>
      </c>
      <c r="B73" s="29" t="str">
        <f>Source!F30</f>
        <v>4.8-243-8</v>
      </c>
      <c r="C73" s="14" t="str">
        <f>Source!G30</f>
        <v>РОЗЕТКА ШТЕПСЕЛЬНАЯ НЕУТОПЛЕННОГО ТИПА ПРИ ОТКРЫТОЙ ПРОВОДКЕ</v>
      </c>
      <c r="D73" s="30" t="str">
        <f>Source!H30</f>
        <v>100 шт.</v>
      </c>
      <c r="E73" s="6">
        <f>ROUND(Source!I30,6)</f>
        <v>0.01</v>
      </c>
      <c r="F73" s="6"/>
      <c r="G73" s="6"/>
      <c r="H73" s="6"/>
      <c r="I73" s="6"/>
      <c r="J73" s="6"/>
      <c r="K73" s="6"/>
      <c r="Y73">
        <v>7</v>
      </c>
    </row>
    <row r="74" spans="1:25">
      <c r="A74" s="6"/>
      <c r="B74" s="6"/>
      <c r="C74" s="6" t="s">
        <v>173</v>
      </c>
      <c r="D74" s="6"/>
      <c r="E74" s="6"/>
      <c r="F74" s="16">
        <f>Source!AO30</f>
        <v>483.99</v>
      </c>
      <c r="G74" s="31" t="str">
        <f>Source!DG30</f>
        <v>)*1,15</v>
      </c>
      <c r="H74" s="6">
        <f>Source!AV30</f>
        <v>1.0469999999999999</v>
      </c>
      <c r="I74" s="16">
        <f>ROUND((Source!CT30/IF(Source!BA30&lt;&gt; 0, Source!BA30,1) * Source!I30), 2)</f>
        <v>5.83</v>
      </c>
      <c r="J74" s="6">
        <f>Source!BA30</f>
        <v>12.7</v>
      </c>
      <c r="K74" s="16">
        <f>Source!S30</f>
        <v>74.010000000000005</v>
      </c>
    </row>
    <row r="75" spans="1:25">
      <c r="A75" s="6"/>
      <c r="B75" s="6"/>
      <c r="C75" s="6" t="s">
        <v>174</v>
      </c>
      <c r="D75" s="6"/>
      <c r="E75" s="6"/>
      <c r="F75" s="16">
        <f>Source!AM30</f>
        <v>15.74</v>
      </c>
      <c r="G75" s="31" t="str">
        <f>Source!DE30</f>
        <v>*1,25</v>
      </c>
      <c r="H75" s="6">
        <f>Source!AV30</f>
        <v>1.0469999999999999</v>
      </c>
      <c r="I75" s="16">
        <f>ROUND((Source!CR30/IF(Source!BB30&lt;&gt; 0, Source!BB30,1) * Source!I30), 2)</f>
        <v>0.21</v>
      </c>
      <c r="J75" s="6">
        <f>Source!BB30</f>
        <v>9.17</v>
      </c>
      <c r="K75" s="16">
        <f>Source!Q30</f>
        <v>1.89</v>
      </c>
    </row>
    <row r="76" spans="1:25">
      <c r="A76" s="6"/>
      <c r="B76" s="6"/>
      <c r="C76" s="6" t="s">
        <v>175</v>
      </c>
      <c r="D76" s="6"/>
      <c r="E76" s="6"/>
      <c r="F76" s="16">
        <f>Source!AN30</f>
        <v>1.18</v>
      </c>
      <c r="G76" s="31" t="str">
        <f>Source!DF30</f>
        <v>*1,25</v>
      </c>
      <c r="H76" s="6">
        <f>Source!AV30</f>
        <v>1.0469999999999999</v>
      </c>
      <c r="I76" s="32" t="str">
        <f>CONCATENATE("(",TEXT(+ ROUND((Source!CS30/IF(J76&lt;&gt; 0, J76,1) * Source!I30), 2),"0,00"),")")</f>
        <v>(0,02)</v>
      </c>
      <c r="J76" s="6">
        <f>Source!BS30</f>
        <v>12.7</v>
      </c>
      <c r="K76" s="32" t="str">
        <f>CONCATENATE("(",TEXT(+Source!R30,"0,00"),")")</f>
        <v>(0,20)</v>
      </c>
      <c r="L76">
        <f>ROUND(IF(J76&lt;&gt;0, Source!R30/J76, Source!R30), 2)</f>
        <v>0.02</v>
      </c>
    </row>
    <row r="77" spans="1:25">
      <c r="A77" s="6"/>
      <c r="B77" s="6"/>
      <c r="C77" s="6" t="s">
        <v>176</v>
      </c>
      <c r="D77" s="6"/>
      <c r="E77" s="6"/>
      <c r="F77" s="16">
        <f>Source!AL30</f>
        <v>26.88</v>
      </c>
      <c r="G77" s="6" t="str">
        <f>Source!DD30</f>
        <v/>
      </c>
      <c r="H77" s="6">
        <f>Source!AW30</f>
        <v>1</v>
      </c>
      <c r="I77" s="16">
        <f>ROUND((Source!CQ30/IF(Source!BC30&lt;&gt; 0, Source!BC30,1) * Source!I30), 2)</f>
        <v>0.27</v>
      </c>
      <c r="J77" s="6">
        <f>Source!BC30</f>
        <v>4.5599999999999996</v>
      </c>
      <c r="K77" s="16">
        <f>Source!P30</f>
        <v>1.23</v>
      </c>
    </row>
    <row r="78" spans="1:25">
      <c r="A78" s="6"/>
      <c r="B78" s="6"/>
      <c r="C78" s="6" t="s">
        <v>177</v>
      </c>
      <c r="D78" s="6" t="s">
        <v>178</v>
      </c>
      <c r="E78" s="6">
        <f>Source!DN30</f>
        <v>112</v>
      </c>
      <c r="F78" s="6"/>
      <c r="G78" s="6"/>
      <c r="H78" s="6"/>
      <c r="I78" s="16">
        <f>ROUND((E78/100)* ROUND((Source!CT30/IF(Source!BA30&lt;&gt; 0, Source!BA30,1) * Source!I30), 2), 2)</f>
        <v>6.53</v>
      </c>
      <c r="J78" s="6">
        <f>Source!AT30</f>
        <v>102</v>
      </c>
      <c r="K78" s="16">
        <f>Source!X30</f>
        <v>75.489999999999995</v>
      </c>
    </row>
    <row r="79" spans="1:25">
      <c r="A79" s="6"/>
      <c r="B79" s="6"/>
      <c r="C79" s="6" t="s">
        <v>179</v>
      </c>
      <c r="D79" s="6" t="s">
        <v>178</v>
      </c>
      <c r="E79" s="6">
        <f>Source!DO30</f>
        <v>70</v>
      </c>
      <c r="F79" s="6"/>
      <c r="G79" s="6"/>
      <c r="H79" s="6"/>
      <c r="I79" s="16">
        <f>ROUND((E79/100)* ROUND((Source!CT30/IF(Source!BA30&lt;&gt; 0, Source!BA30,1) * Source!I30), 2), 2)</f>
        <v>4.08</v>
      </c>
      <c r="J79" s="6">
        <f>Source!AU30</f>
        <v>45</v>
      </c>
      <c r="K79" s="16">
        <f>Source!Y30</f>
        <v>33.299999999999997</v>
      </c>
    </row>
    <row r="80" spans="1:25">
      <c r="A80" s="6"/>
      <c r="B80" s="6"/>
      <c r="C80" s="6" t="s">
        <v>86</v>
      </c>
      <c r="D80" s="6" t="s">
        <v>178</v>
      </c>
      <c r="E80" s="6">
        <v>175</v>
      </c>
      <c r="F80" s="6"/>
      <c r="G80" s="6"/>
      <c r="H80" s="6"/>
      <c r="I80" s="16">
        <f>ROUND(ROUND((Source!CS30/IF(Source!BS30&lt;&gt; 0, Source!BS30,1) * Source!I30), 2)*1.75, 2)</f>
        <v>0.04</v>
      </c>
      <c r="J80" s="6">
        <v>178</v>
      </c>
      <c r="K80" s="16">
        <f>ROUND(Source!R30*J80/100, 2)</f>
        <v>0.36</v>
      </c>
    </row>
    <row r="81" spans="1:25">
      <c r="A81" s="33"/>
      <c r="B81" s="33"/>
      <c r="C81" s="33" t="s">
        <v>180</v>
      </c>
      <c r="D81" s="33" t="s">
        <v>181</v>
      </c>
      <c r="E81" s="33">
        <f>Source!AQ30</f>
        <v>37.229999999999997</v>
      </c>
      <c r="F81" s="33"/>
      <c r="G81" s="34" t="str">
        <f>Source!DI30</f>
        <v>)*1,15</v>
      </c>
      <c r="H81" s="33">
        <f>Source!AV30</f>
        <v>1.0469999999999999</v>
      </c>
      <c r="I81" s="35">
        <f>ROUND(Source!U30,2)</f>
        <v>0.45</v>
      </c>
      <c r="J81" s="33"/>
      <c r="K81" s="33"/>
    </row>
    <row r="82" spans="1:25">
      <c r="I82" s="36">
        <f>ROUND((Source!CT30/IF(Source!BA30 &lt;&gt;0, Source!BA30, 1) * Source!I30), 2)+ROUND((Source!CR30 / IF(Source!BB30 &lt;&gt;0, Source!BB30, 1) * Source!I30), 2)+SUM(I77:I80)</f>
        <v>16.96</v>
      </c>
      <c r="J82" s="9"/>
      <c r="K82" s="36">
        <f>Source!S30+Source!Q30+SUM(K77:K80)</f>
        <v>186.28</v>
      </c>
      <c r="L82">
        <f>ROUND((Source!CT30/IF(Source!BA30&lt;&gt; 0, Source!BA30,1) * Source!I30), 2)</f>
        <v>5.83</v>
      </c>
      <c r="M82" s="17">
        <f>I82</f>
        <v>16.96</v>
      </c>
      <c r="N82" s="17">
        <f>K82</f>
        <v>186.28</v>
      </c>
      <c r="O82">
        <f>ROUND(IF( Source!BI30 = 1,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0</v>
      </c>
      <c r="P82">
        <f>ROUND(IF( Source!BI30 = 2,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16.96</v>
      </c>
      <c r="Q82">
        <f>ROUND(IF( Source!BI30 = 3,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0</v>
      </c>
      <c r="R82">
        <f>ROUND(IF( Source!BI30 = 4, (ROUND((Source!CT30/IF(Source!BA30&lt;&gt; 0, Source!BA30,1) * Source!I30), 2)+ROUND((Source!CR30/IF(Source!BB30&lt;&gt; 0, Source!BB30,1) * Source!I30), 2)+ROUND((Source!CQ30/IF(Source!BC30&lt;&gt; 0, Source!BC30,1) * Source!I30), 2)+((Source!DN30/100)*ROUND((Source!CT30/IF(Source!BA30&lt;&gt;0,Source!BA30,1) * Source!I30), 2))+((Source!DO30/100)*ROUND((Source!CT30/IF(Source!BA30&lt;&gt;0,Source!BA30,1) * Source!I30), 2))+(ROUND((Source!CS30/IF(Source!BS30&lt;&gt;0,Source!BS30,1) * Source!I30), 2)* 1.75)), 0 ), 2)</f>
        <v>0</v>
      </c>
      <c r="U82">
        <f>IF( Source!BI30 = 1, Source!O30 + Source!X30 + Source!Y30 + Source!R30*178/100, 0 )</f>
        <v>0</v>
      </c>
      <c r="V82">
        <f>IF( Source!BI30 = 2, Source!O30 + Source!X30 + Source!Y30 + Source!R30*178/100, 0 )</f>
        <v>186.27600000000001</v>
      </c>
      <c r="W82">
        <f>IF( Source!BI30 = 3, Source!O30 + Source!X30 + Source!Y30 + Source!R30*178/100, 0 )</f>
        <v>0</v>
      </c>
      <c r="X82">
        <f>IF( Source!BI30 = 4, Source!O30 + Source!X30 + Source!Y30 + Source!R30*178/100, 0 )</f>
        <v>0</v>
      </c>
    </row>
    <row r="83" spans="1:25" ht="36">
      <c r="A83" s="29" t="str">
        <f>Source!E31</f>
        <v>5</v>
      </c>
      <c r="B83" s="29" t="str">
        <f>Source!F31</f>
        <v>4.8-243-9</v>
      </c>
      <c r="C83" s="14" t="str">
        <f>Source!G31</f>
        <v>РОЗЕТКА ШТЕПСЕЛЬНАЯ УТОПЛЕННОГО ТИПА ПРИ СКРЫТОЙ ПРОВОДКЕ</v>
      </c>
      <c r="D83" s="30" t="str">
        <f>Source!H31</f>
        <v>100 шт.</v>
      </c>
      <c r="E83" s="6">
        <f>ROUND(Source!I31,6)</f>
        <v>0.01</v>
      </c>
      <c r="F83" s="6"/>
      <c r="G83" s="6"/>
      <c r="H83" s="6"/>
      <c r="I83" s="6"/>
      <c r="J83" s="6"/>
      <c r="K83" s="6"/>
      <c r="Y83">
        <v>8</v>
      </c>
    </row>
    <row r="84" spans="1:25">
      <c r="A84" s="6"/>
      <c r="B84" s="6"/>
      <c r="C84" s="6" t="s">
        <v>173</v>
      </c>
      <c r="D84" s="6"/>
      <c r="E84" s="6"/>
      <c r="F84" s="16">
        <f>Source!AO31</f>
        <v>455</v>
      </c>
      <c r="G84" s="31" t="str">
        <f>Source!DG31</f>
        <v>)*1,15</v>
      </c>
      <c r="H84" s="6">
        <f>Source!AV31</f>
        <v>1.0469999999999999</v>
      </c>
      <c r="I84" s="16">
        <f>ROUND((Source!CT31/IF(Source!BA31&lt;&gt; 0, Source!BA31,1) * Source!I31), 2)</f>
        <v>5.48</v>
      </c>
      <c r="J84" s="6">
        <f>Source!BA31</f>
        <v>12.7</v>
      </c>
      <c r="K84" s="16">
        <f>Source!S31</f>
        <v>69.58</v>
      </c>
    </row>
    <row r="85" spans="1:25">
      <c r="A85" s="6"/>
      <c r="B85" s="6"/>
      <c r="C85" s="6" t="s">
        <v>174</v>
      </c>
      <c r="D85" s="6"/>
      <c r="E85" s="6"/>
      <c r="F85" s="16">
        <f>Source!AM31</f>
        <v>2.71</v>
      </c>
      <c r="G85" s="31" t="str">
        <f>Source!DE31</f>
        <v>*1,25</v>
      </c>
      <c r="H85" s="6">
        <f>Source!AV31</f>
        <v>1.0469999999999999</v>
      </c>
      <c r="I85" s="16">
        <f>ROUND((Source!CR31/IF(Source!BB31&lt;&gt; 0, Source!BB31,1) * Source!I31), 2)</f>
        <v>0.04</v>
      </c>
      <c r="J85" s="6">
        <f>Source!BB31</f>
        <v>7.58</v>
      </c>
      <c r="K85" s="16">
        <f>Source!Q31</f>
        <v>0.27</v>
      </c>
    </row>
    <row r="86" spans="1:25">
      <c r="A86" s="6"/>
      <c r="B86" s="6"/>
      <c r="C86" s="6" t="s">
        <v>175</v>
      </c>
      <c r="D86" s="6"/>
      <c r="E86" s="6"/>
      <c r="F86" s="16">
        <f>Source!AN31</f>
        <v>0.63</v>
      </c>
      <c r="G86" s="31" t="str">
        <f>Source!DF31</f>
        <v>*1,25</v>
      </c>
      <c r="H86" s="6">
        <f>Source!AV31</f>
        <v>1.0469999999999999</v>
      </c>
      <c r="I86" s="32" t="str">
        <f>CONCATENATE("(",TEXT(+ ROUND((Source!CS31/IF(J86&lt;&gt; 0, J86,1) * Source!I31), 2),"0,00"),")")</f>
        <v>(0,01)</v>
      </c>
      <c r="J86" s="6">
        <f>Source!BS31</f>
        <v>12.7</v>
      </c>
      <c r="K86" s="32" t="str">
        <f>CONCATENATE("(",TEXT(+Source!R31,"0,00"),")")</f>
        <v>(0,10)</v>
      </c>
      <c r="L86">
        <f>ROUND(IF(J86&lt;&gt;0, Source!R31/J86, Source!R31), 2)</f>
        <v>0.01</v>
      </c>
    </row>
    <row r="87" spans="1:25">
      <c r="A87" s="6"/>
      <c r="B87" s="6"/>
      <c r="C87" s="6" t="s">
        <v>176</v>
      </c>
      <c r="D87" s="6"/>
      <c r="E87" s="6"/>
      <c r="F87" s="16">
        <f>Source!AL31</f>
        <v>27.86</v>
      </c>
      <c r="G87" s="6" t="str">
        <f>Source!DD31</f>
        <v/>
      </c>
      <c r="H87" s="6">
        <f>Source!AW31</f>
        <v>1</v>
      </c>
      <c r="I87" s="16">
        <f>ROUND((Source!CQ31/IF(Source!BC31&lt;&gt; 0, Source!BC31,1) * Source!I31), 2)</f>
        <v>0.28000000000000003</v>
      </c>
      <c r="J87" s="6">
        <f>Source!BC31</f>
        <v>4.5599999999999996</v>
      </c>
      <c r="K87" s="16">
        <f>Source!P31</f>
        <v>1.27</v>
      </c>
    </row>
    <row r="88" spans="1:25">
      <c r="A88" s="6"/>
      <c r="B88" s="6"/>
      <c r="C88" s="6" t="s">
        <v>177</v>
      </c>
      <c r="D88" s="6" t="s">
        <v>178</v>
      </c>
      <c r="E88" s="6">
        <f>Source!DN31</f>
        <v>112</v>
      </c>
      <c r="F88" s="6"/>
      <c r="G88" s="6"/>
      <c r="H88" s="6"/>
      <c r="I88" s="16">
        <f>ROUND((E88/100)* ROUND((Source!CT31/IF(Source!BA31&lt;&gt; 0, Source!BA31,1) * Source!I31), 2), 2)</f>
        <v>6.14</v>
      </c>
      <c r="J88" s="6">
        <f>Source!AT31</f>
        <v>102</v>
      </c>
      <c r="K88" s="16">
        <f>Source!X31</f>
        <v>70.97</v>
      </c>
    </row>
    <row r="89" spans="1:25">
      <c r="A89" s="6"/>
      <c r="B89" s="6"/>
      <c r="C89" s="6" t="s">
        <v>179</v>
      </c>
      <c r="D89" s="6" t="s">
        <v>178</v>
      </c>
      <c r="E89" s="6">
        <f>Source!DO31</f>
        <v>70</v>
      </c>
      <c r="F89" s="6"/>
      <c r="G89" s="6"/>
      <c r="H89" s="6"/>
      <c r="I89" s="16">
        <f>ROUND((E89/100)* ROUND((Source!CT31/IF(Source!BA31&lt;&gt; 0, Source!BA31,1) * Source!I31), 2), 2)</f>
        <v>3.84</v>
      </c>
      <c r="J89" s="6">
        <f>Source!AU31</f>
        <v>45</v>
      </c>
      <c r="K89" s="16">
        <f>Source!Y31</f>
        <v>31.31</v>
      </c>
    </row>
    <row r="90" spans="1:25">
      <c r="A90" s="6"/>
      <c r="B90" s="6"/>
      <c r="C90" s="6" t="s">
        <v>86</v>
      </c>
      <c r="D90" s="6" t="s">
        <v>178</v>
      </c>
      <c r="E90" s="6">
        <v>175</v>
      </c>
      <c r="F90" s="6"/>
      <c r="G90" s="6"/>
      <c r="H90" s="6"/>
      <c r="I90" s="16">
        <f>ROUND(ROUND((Source!CS31/IF(Source!BS31&lt;&gt; 0, Source!BS31,1) * Source!I31), 2)*1.75, 2)</f>
        <v>0.02</v>
      </c>
      <c r="J90" s="6">
        <v>178</v>
      </c>
      <c r="K90" s="16">
        <f>ROUND(Source!R31*J90/100, 2)</f>
        <v>0.18</v>
      </c>
    </row>
    <row r="91" spans="1:25">
      <c r="A91" s="33"/>
      <c r="B91" s="33"/>
      <c r="C91" s="33" t="s">
        <v>180</v>
      </c>
      <c r="D91" s="33" t="s">
        <v>181</v>
      </c>
      <c r="E91" s="33">
        <f>Source!AQ31</f>
        <v>35</v>
      </c>
      <c r="F91" s="33"/>
      <c r="G91" s="34" t="str">
        <f>Source!DI31</f>
        <v>)*1,15</v>
      </c>
      <c r="H91" s="33">
        <f>Source!AV31</f>
        <v>1.0469999999999999</v>
      </c>
      <c r="I91" s="35">
        <f>ROUND(Source!U31,2)</f>
        <v>0.42</v>
      </c>
      <c r="J91" s="33"/>
      <c r="K91" s="33"/>
    </row>
    <row r="92" spans="1:25">
      <c r="I92" s="36">
        <f>ROUND((Source!CT31/IF(Source!BA31 &lt;&gt;0, Source!BA31, 1) * Source!I31), 2)+ROUND((Source!CR31 / IF(Source!BB31 &lt;&gt;0, Source!BB31, 1) * Source!I31), 2)+SUM(I87:I90)</f>
        <v>15.8</v>
      </c>
      <c r="J92" s="9"/>
      <c r="K92" s="36">
        <f>Source!S31+Source!Q31+SUM(K87:K90)</f>
        <v>173.57999999999998</v>
      </c>
      <c r="L92">
        <f>ROUND((Source!CT31/IF(Source!BA31&lt;&gt; 0, Source!BA31,1) * Source!I31), 2)</f>
        <v>5.48</v>
      </c>
      <c r="M92" s="17">
        <f>I92</f>
        <v>15.8</v>
      </c>
      <c r="N92" s="17">
        <f>K92</f>
        <v>173.57999999999998</v>
      </c>
      <c r="O92">
        <f>ROUND(IF( Source!BI31 = 1,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0</v>
      </c>
      <c r="P92">
        <f>ROUND(IF( Source!BI31 = 2,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15.79</v>
      </c>
      <c r="Q92">
        <f>ROUND(IF( Source!BI31 = 3,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0</v>
      </c>
      <c r="R92">
        <f>ROUND(IF( Source!BI31 = 4, (ROUND((Source!CT31/IF(Source!BA31&lt;&gt; 0, Source!BA31,1) * Source!I31), 2)+ROUND((Source!CR31/IF(Source!BB31&lt;&gt; 0, Source!BB31,1) * Source!I31), 2)+ROUND((Source!CQ31/IF(Source!BC31&lt;&gt; 0, Source!BC31,1) * Source!I31), 2)+((Source!DN31/100)*ROUND((Source!CT31/IF(Source!BA31&lt;&gt;0,Source!BA31,1) * Source!I31), 2))+((Source!DO31/100)*ROUND((Source!CT31/IF(Source!BA31&lt;&gt;0,Source!BA31,1) * Source!I31), 2))+(ROUND((Source!CS31/IF(Source!BS31&lt;&gt;0,Source!BS31,1) * Source!I31), 2)* 1.75)), 0 ), 2)</f>
        <v>0</v>
      </c>
      <c r="U92">
        <f>IF( Source!BI31 = 1, Source!O31 + Source!X31 + Source!Y31 + Source!R31*178/100, 0 )</f>
        <v>0</v>
      </c>
      <c r="V92">
        <f>IF( Source!BI31 = 2, Source!O31 + Source!X31 + Source!Y31 + Source!R31*178/100, 0 )</f>
        <v>173.578</v>
      </c>
      <c r="W92">
        <f>IF( Source!BI31 = 3, Source!O31 + Source!X31 + Source!Y31 + Source!R31*178/100, 0 )</f>
        <v>0</v>
      </c>
      <c r="X92">
        <f>IF( Source!BI31 = 4, Source!O31 + Source!X31 + Source!Y31 + Source!R31*178/100, 0 )</f>
        <v>0</v>
      </c>
    </row>
    <row r="94" spans="1:25" s="9" customFormat="1">
      <c r="C94" s="9" t="s">
        <v>88</v>
      </c>
      <c r="H94" s="40">
        <f>SUM(M40:M93)</f>
        <v>256.64999999999998</v>
      </c>
      <c r="I94" s="40"/>
      <c r="J94" s="40">
        <f>SUM(N40:N93)</f>
        <v>2753.2000000000003</v>
      </c>
      <c r="K94" s="40"/>
      <c r="L94" s="36">
        <f>SUM(L40:L93)</f>
        <v>84.4</v>
      </c>
    </row>
    <row r="96" spans="1:25">
      <c r="C96" s="37" t="s">
        <v>182</v>
      </c>
      <c r="D96" s="50" t="str">
        <f>Source!G33</f>
        <v>Новая локальная смета</v>
      </c>
      <c r="E96" s="50"/>
      <c r="F96" s="50"/>
      <c r="G96" s="50"/>
      <c r="H96" s="50"/>
      <c r="I96" s="50"/>
      <c r="J96" s="50"/>
      <c r="K96" s="50"/>
    </row>
    <row r="97" spans="1:12">
      <c r="C97" s="43" t="str">
        <f>Source!H49</f>
        <v>Итого</v>
      </c>
      <c r="D97" s="43"/>
      <c r="E97" s="43"/>
      <c r="F97" s="43"/>
      <c r="G97" s="43"/>
      <c r="H97" s="43"/>
      <c r="I97" s="43"/>
      <c r="J97" s="44">
        <f>Source!F49</f>
        <v>2753.19</v>
      </c>
      <c r="K97" s="45"/>
    </row>
    <row r="98" spans="1:12">
      <c r="C98" s="43" t="str">
        <f>Source!H50</f>
        <v>НДС 18%</v>
      </c>
      <c r="D98" s="43"/>
      <c r="E98" s="43"/>
      <c r="F98" s="43"/>
      <c r="G98" s="43"/>
      <c r="H98" s="43"/>
      <c r="I98" s="43"/>
      <c r="J98" s="44">
        <f>Source!F50</f>
        <v>495.57</v>
      </c>
      <c r="K98" s="45"/>
    </row>
    <row r="99" spans="1:12">
      <c r="C99" s="43" t="str">
        <f>Source!H51</f>
        <v>Итого с НДС 18%</v>
      </c>
      <c r="D99" s="43"/>
      <c r="E99" s="43"/>
      <c r="F99" s="43"/>
      <c r="G99" s="43"/>
      <c r="H99" s="43"/>
      <c r="I99" s="43"/>
      <c r="J99" s="44">
        <f>Source!F51</f>
        <v>3248.76</v>
      </c>
      <c r="K99" s="45"/>
    </row>
    <row r="100" spans="1:12" s="9" customFormat="1">
      <c r="C100" s="9" t="s">
        <v>183</v>
      </c>
      <c r="H100" s="40">
        <f>H94</f>
        <v>256.64999999999998</v>
      </c>
      <c r="I100" s="40"/>
      <c r="J100" s="40">
        <f>J94</f>
        <v>2753.2000000000003</v>
      </c>
      <c r="K100" s="41"/>
      <c r="L100" s="36">
        <f>L94</f>
        <v>84.4</v>
      </c>
    </row>
    <row r="104" spans="1:12">
      <c r="A104" t="s">
        <v>184</v>
      </c>
      <c r="C104" s="38" t="str">
        <f>IF(Source!AO12&lt;&gt;"",Source!AO12," ")</f>
        <v xml:space="preserve"> </v>
      </c>
      <c r="D104" s="38"/>
      <c r="E104" s="38"/>
      <c r="F104" s="38"/>
      <c r="G104" s="38"/>
      <c r="H104" t="str">
        <f>IF(Source!R12&lt;&gt;"",Source!R12," ")</f>
        <v xml:space="preserve"> </v>
      </c>
    </row>
    <row r="105" spans="1:12" s="39" customFormat="1" ht="11.25">
      <c r="C105" s="42" t="s">
        <v>185</v>
      </c>
      <c r="D105" s="42"/>
      <c r="E105" s="42"/>
      <c r="F105" s="42"/>
      <c r="G105" s="42"/>
    </row>
    <row r="107" spans="1:12">
      <c r="A107" t="s">
        <v>186</v>
      </c>
      <c r="C107" s="38" t="str">
        <f>IF(Source!AP12&lt;&gt;"",Source!AP12," ")</f>
        <v xml:space="preserve"> </v>
      </c>
      <c r="D107" s="38"/>
      <c r="E107" s="38"/>
      <c r="F107" s="38"/>
      <c r="G107" s="38"/>
      <c r="H107" t="str">
        <f>IF(Source!S12&lt;&gt;"",Source!S12," ")</f>
        <v xml:space="preserve"> </v>
      </c>
    </row>
    <row r="108" spans="1:12" s="39" customFormat="1" ht="11.25">
      <c r="C108" s="42" t="s">
        <v>185</v>
      </c>
      <c r="D108" s="42"/>
      <c r="E108" s="42"/>
      <c r="F108" s="42"/>
      <c r="G108" s="42"/>
    </row>
  </sheetData>
  <mergeCells count="29">
    <mergeCell ref="F3:I3"/>
    <mergeCell ref="A5:B5"/>
    <mergeCell ref="F5:H5"/>
    <mergeCell ref="C5:D5"/>
    <mergeCell ref="I5:K5"/>
    <mergeCell ref="C7:D7"/>
    <mergeCell ref="H7:K7"/>
    <mergeCell ref="A12:K12"/>
    <mergeCell ref="A13:K13"/>
    <mergeCell ref="A15:K15"/>
    <mergeCell ref="A16:K16"/>
    <mergeCell ref="A18:K18"/>
    <mergeCell ref="B20:K20"/>
    <mergeCell ref="B21:K21"/>
    <mergeCell ref="A23:K23"/>
    <mergeCell ref="G34:H34"/>
    <mergeCell ref="J94:K94"/>
    <mergeCell ref="H94:I94"/>
    <mergeCell ref="D96:K96"/>
    <mergeCell ref="J100:K100"/>
    <mergeCell ref="H100:I100"/>
    <mergeCell ref="C105:G105"/>
    <mergeCell ref="C108:G108"/>
    <mergeCell ref="C97:I97"/>
    <mergeCell ref="J97:K97"/>
    <mergeCell ref="C98:I98"/>
    <mergeCell ref="J98:K98"/>
    <mergeCell ref="C99:I99"/>
    <mergeCell ref="J99:K99"/>
  </mergeCells>
  <pageMargins left="0.38740157480315002" right="0.196850393700787" top="0.39370078740157499" bottom="0.39370078740157499" header="0.11811023622047198" footer="0.11811023622047198"/>
  <pageSetup paperSize="9" scale="75" orientation="portrait" verticalDpi="0" r:id="rId1"/>
  <headerFooter>
    <oddHeader>&amp;L&amp;8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Y71"/>
  <sheetViews>
    <sheetView workbookViewId="0"/>
  </sheetViews>
  <sheetFormatPr defaultRowHeight="12.75"/>
  <sheetData>
    <row r="1" spans="1:104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44181</v>
      </c>
    </row>
    <row r="12" spans="1:104">
      <c r="A12" s="1">
        <v>1</v>
      </c>
      <c r="B12" s="1">
        <v>1</v>
      </c>
      <c r="C12" s="1">
        <v>0</v>
      </c>
      <c r="D12" s="1">
        <f>ROW(A53)</f>
        <v>53</v>
      </c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3</v>
      </c>
      <c r="K12" s="1" t="s">
        <v>3</v>
      </c>
      <c r="L12" s="1" t="s">
        <v>3</v>
      </c>
      <c r="M12" s="1" t="s">
        <v>3</v>
      </c>
      <c r="N12" s="1" t="s">
        <v>3</v>
      </c>
      <c r="O12" s="1" t="s">
        <v>5</v>
      </c>
      <c r="P12" s="1">
        <v>2011</v>
      </c>
      <c r="Q12" s="1">
        <v>12</v>
      </c>
      <c r="R12" s="1" t="s">
        <v>3</v>
      </c>
      <c r="S12" s="1" t="s">
        <v>3</v>
      </c>
      <c r="T12" s="1" t="s">
        <v>3</v>
      </c>
      <c r="U12" s="1" t="s">
        <v>3</v>
      </c>
      <c r="V12" s="1">
        <v>-3</v>
      </c>
      <c r="W12" s="1" t="s">
        <v>3</v>
      </c>
      <c r="X12" s="1">
        <v>0</v>
      </c>
      <c r="Y12" s="1">
        <v>2</v>
      </c>
      <c r="Z12" s="1">
        <v>2</v>
      </c>
      <c r="AA12" s="1">
        <v>1</v>
      </c>
      <c r="AB12" s="1"/>
      <c r="AC12" s="1">
        <v>1</v>
      </c>
      <c r="AD12" s="1">
        <v>2</v>
      </c>
      <c r="AE12" s="1">
        <v>0</v>
      </c>
      <c r="AF12" s="1">
        <v>0</v>
      </c>
      <c r="AG12" s="1">
        <v>1</v>
      </c>
      <c r="AH12" s="1">
        <v>0</v>
      </c>
      <c r="AI12" s="1">
        <v>1</v>
      </c>
      <c r="AJ12" s="1">
        <v>106</v>
      </c>
      <c r="AK12" s="1">
        <v>72</v>
      </c>
      <c r="AL12" s="1" t="s">
        <v>3</v>
      </c>
      <c r="AM12" s="1" t="s">
        <v>3</v>
      </c>
      <c r="AN12" s="1">
        <v>0</v>
      </c>
      <c r="AO12" s="1" t="s">
        <v>3</v>
      </c>
      <c r="AP12" s="1" t="s">
        <v>3</v>
      </c>
      <c r="AQ12" s="1" t="s">
        <v>3</v>
      </c>
      <c r="AR12" s="1" t="s">
        <v>3</v>
      </c>
      <c r="AS12" s="1" t="s">
        <v>3</v>
      </c>
      <c r="AT12" s="1" t="s">
        <v>3</v>
      </c>
      <c r="AU12" s="1" t="s">
        <v>3</v>
      </c>
      <c r="AV12" s="1" t="s">
        <v>3</v>
      </c>
      <c r="AW12" s="1" t="s">
        <v>3</v>
      </c>
      <c r="AX12" s="1"/>
      <c r="AY12" s="1"/>
      <c r="AZ12" s="1"/>
      <c r="BA12" s="1">
        <v>178</v>
      </c>
      <c r="BB12" s="1">
        <v>106</v>
      </c>
      <c r="BC12" s="1">
        <v>72</v>
      </c>
      <c r="BD12" s="1">
        <v>18315040</v>
      </c>
      <c r="BE12" s="1" t="s">
        <v>6</v>
      </c>
      <c r="BF12" s="1" t="s">
        <v>7</v>
      </c>
      <c r="BG12" s="1">
        <v>7155519</v>
      </c>
      <c r="BH12" s="1">
        <v>0</v>
      </c>
      <c r="BI12" s="1">
        <v>1</v>
      </c>
      <c r="BJ12" s="1"/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-1</v>
      </c>
      <c r="BQ12" s="1"/>
      <c r="BR12" s="1">
        <v>2</v>
      </c>
      <c r="BS12" s="1"/>
      <c r="BT12" s="1">
        <v>178</v>
      </c>
      <c r="BU12" s="1">
        <v>1</v>
      </c>
      <c r="BV12" s="1">
        <v>1</v>
      </c>
      <c r="BW12" s="1">
        <v>0</v>
      </c>
      <c r="BX12" s="1">
        <v>0</v>
      </c>
      <c r="BY12" s="1">
        <v>0</v>
      </c>
      <c r="BZ12" s="1">
        <v>0</v>
      </c>
      <c r="CA12" s="1">
        <v>7155514</v>
      </c>
      <c r="CB12" s="1">
        <v>7155498</v>
      </c>
      <c r="CC12" s="1">
        <v>7155496</v>
      </c>
      <c r="CD12" s="1">
        <v>7155494</v>
      </c>
      <c r="CE12" s="1">
        <v>0</v>
      </c>
      <c r="CF12" s="1">
        <v>0</v>
      </c>
      <c r="CG12" s="1" t="s">
        <v>3</v>
      </c>
      <c r="CH12" s="1" t="s">
        <v>3</v>
      </c>
      <c r="CI12" s="1" t="s">
        <v>3</v>
      </c>
      <c r="CJ12" s="1">
        <v>0</v>
      </c>
      <c r="CK12" s="1">
        <v>7182712</v>
      </c>
      <c r="CL12" s="1" t="s">
        <v>8</v>
      </c>
      <c r="CM12" s="1" t="s">
        <v>9</v>
      </c>
      <c r="CN12" s="1" t="s">
        <v>5</v>
      </c>
      <c r="CO12" s="1" t="s">
        <v>5</v>
      </c>
      <c r="CP12" s="1" t="s">
        <v>5</v>
      </c>
      <c r="CQ12" s="1" t="s">
        <v>5</v>
      </c>
      <c r="CR12" s="1" t="s">
        <v>10</v>
      </c>
      <c r="CS12" s="1">
        <v>8739335</v>
      </c>
      <c r="CT12" s="1">
        <v>0</v>
      </c>
      <c r="CU12" s="1">
        <v>0</v>
      </c>
      <c r="CV12" s="1">
        <v>7534350</v>
      </c>
      <c r="CW12" s="1">
        <v>17619670</v>
      </c>
      <c r="CX12" s="1">
        <v>18187933</v>
      </c>
      <c r="CY12" s="1">
        <v>0</v>
      </c>
      <c r="CZ12" s="1" t="s">
        <v>3</v>
      </c>
    </row>
    <row r="15" spans="1:104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</row>
    <row r="18" spans="1:181">
      <c r="A18" s="2">
        <v>52</v>
      </c>
      <c r="B18" s="2">
        <f t="shared" ref="B18:AQ18" si="0">B53</f>
        <v>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Новый объект</v>
      </c>
      <c r="H18" s="2">
        <f t="shared" si="0"/>
        <v>0</v>
      </c>
      <c r="I18" s="2">
        <f t="shared" si="0"/>
        <v>0</v>
      </c>
      <c r="J18" s="2">
        <f t="shared" si="0"/>
        <v>0</v>
      </c>
      <c r="K18" s="2">
        <f t="shared" si="0"/>
        <v>0</v>
      </c>
      <c r="L18" s="2">
        <f t="shared" si="0"/>
        <v>0</v>
      </c>
      <c r="M18" s="2">
        <f t="shared" si="0"/>
        <v>0</v>
      </c>
      <c r="N18" s="2">
        <f t="shared" si="0"/>
        <v>0</v>
      </c>
      <c r="O18" s="2">
        <f t="shared" si="0"/>
        <v>1097.53</v>
      </c>
      <c r="P18" s="2">
        <f t="shared" si="0"/>
        <v>22.82</v>
      </c>
      <c r="Q18" s="2">
        <f t="shared" si="0"/>
        <v>3.61</v>
      </c>
      <c r="R18" s="2">
        <f t="shared" si="0"/>
        <v>0.64</v>
      </c>
      <c r="S18" s="2">
        <f t="shared" si="0"/>
        <v>1071.0999999999999</v>
      </c>
      <c r="T18" s="2">
        <f t="shared" si="0"/>
        <v>0</v>
      </c>
      <c r="U18" s="2">
        <f t="shared" si="0"/>
        <v>7</v>
      </c>
      <c r="V18" s="2">
        <f t="shared" si="0"/>
        <v>0</v>
      </c>
      <c r="W18" s="2">
        <f t="shared" si="0"/>
        <v>0</v>
      </c>
      <c r="X18" s="2">
        <f t="shared" si="0"/>
        <v>1132.1099999999999</v>
      </c>
      <c r="Y18" s="2">
        <f t="shared" si="0"/>
        <v>522.41</v>
      </c>
      <c r="Z18" s="2">
        <f t="shared" si="0"/>
        <v>0</v>
      </c>
      <c r="AA18" s="2">
        <f t="shared" si="0"/>
        <v>0</v>
      </c>
      <c r="AB18" s="2">
        <f t="shared" si="0"/>
        <v>0</v>
      </c>
      <c r="AC18" s="2">
        <f t="shared" si="0"/>
        <v>0</v>
      </c>
      <c r="AD18" s="2">
        <f t="shared" si="0"/>
        <v>0</v>
      </c>
      <c r="AE18" s="2">
        <f t="shared" si="0"/>
        <v>0</v>
      </c>
      <c r="AF18" s="2">
        <f t="shared" si="0"/>
        <v>0</v>
      </c>
      <c r="AG18" s="2">
        <f t="shared" si="0"/>
        <v>0</v>
      </c>
      <c r="AH18" s="2">
        <f t="shared" si="0"/>
        <v>0</v>
      </c>
      <c r="AI18" s="2">
        <f t="shared" si="0"/>
        <v>0</v>
      </c>
      <c r="AJ18" s="2">
        <f t="shared" si="0"/>
        <v>0</v>
      </c>
      <c r="AK18" s="2">
        <f t="shared" si="0"/>
        <v>0</v>
      </c>
      <c r="AL18" s="2">
        <f t="shared" si="0"/>
        <v>0</v>
      </c>
      <c r="AM18" s="2">
        <f t="shared" si="0"/>
        <v>0</v>
      </c>
      <c r="AN18" s="2">
        <f t="shared" si="0"/>
        <v>0</v>
      </c>
      <c r="AO18" s="2">
        <f t="shared" si="0"/>
        <v>0</v>
      </c>
      <c r="AP18" s="2">
        <f t="shared" si="0"/>
        <v>0</v>
      </c>
      <c r="AQ18" s="2">
        <f t="shared" si="0"/>
        <v>0</v>
      </c>
    </row>
    <row r="19" spans="1:181">
      <c r="G19">
        <v>0</v>
      </c>
    </row>
    <row r="20" spans="1:181">
      <c r="A20" s="1">
        <v>3</v>
      </c>
      <c r="B20" s="1">
        <v>1</v>
      </c>
      <c r="C20" s="1"/>
      <c r="D20" s="1">
        <f>ROW(A33)</f>
        <v>33</v>
      </c>
      <c r="E20" s="1"/>
      <c r="F20" s="1" t="s">
        <v>11</v>
      </c>
      <c r="G20" s="1" t="s">
        <v>11</v>
      </c>
      <c r="H20" s="1"/>
      <c r="I20" s="1"/>
      <c r="J20" s="1" t="s">
        <v>3</v>
      </c>
      <c r="K20" s="1"/>
      <c r="L20" s="1"/>
      <c r="M20" s="1"/>
      <c r="N20" s="1" t="s">
        <v>3</v>
      </c>
      <c r="O20" s="1"/>
      <c r="P20" s="1"/>
      <c r="Q20" s="1"/>
      <c r="R20" s="1" t="s">
        <v>3</v>
      </c>
      <c r="S20" s="1" t="s">
        <v>3</v>
      </c>
      <c r="T20" s="1" t="s">
        <v>3</v>
      </c>
      <c r="U20" s="1" t="s">
        <v>3</v>
      </c>
      <c r="V20" s="1"/>
      <c r="W20" s="1"/>
      <c r="X20" s="1"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>
        <v>0</v>
      </c>
      <c r="AK20" s="1">
        <v>0</v>
      </c>
      <c r="AL20" s="1">
        <v>0</v>
      </c>
      <c r="AM20" s="1"/>
      <c r="AN20" s="1"/>
      <c r="AO20" s="1" t="s">
        <v>3</v>
      </c>
      <c r="AP20" s="1" t="s">
        <v>3</v>
      </c>
      <c r="AQ20" s="1" t="s">
        <v>3</v>
      </c>
      <c r="AR20" s="1"/>
      <c r="AS20" s="1"/>
      <c r="AT20" s="1" t="s">
        <v>3</v>
      </c>
      <c r="AU20" s="1" t="s">
        <v>3</v>
      </c>
      <c r="AV20" s="1" t="s">
        <v>3</v>
      </c>
      <c r="AW20" s="1" t="s">
        <v>3</v>
      </c>
      <c r="AX20" s="1" t="s">
        <v>3</v>
      </c>
      <c r="AY20" s="1" t="s">
        <v>3</v>
      </c>
      <c r="AZ20" s="1" t="s">
        <v>3</v>
      </c>
      <c r="BA20" s="1" t="s">
        <v>3</v>
      </c>
      <c r="BB20" s="1" t="s">
        <v>3</v>
      </c>
      <c r="BC20" s="1" t="s">
        <v>3</v>
      </c>
      <c r="BD20" s="1" t="s">
        <v>3</v>
      </c>
      <c r="BE20" s="1" t="s">
        <v>12</v>
      </c>
      <c r="BF20" s="1">
        <v>0</v>
      </c>
      <c r="BG20" s="1">
        <v>0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>
        <v>0</v>
      </c>
      <c r="BN20" s="1" t="s">
        <v>3</v>
      </c>
      <c r="BO20" s="1" t="s">
        <v>3</v>
      </c>
    </row>
    <row r="22" spans="1:181">
      <c r="A22" s="2">
        <v>52</v>
      </c>
      <c r="B22" s="2">
        <f t="shared" ref="B22:AQ22" si="1">B33</f>
        <v>1</v>
      </c>
      <c r="C22" s="2">
        <f t="shared" si="1"/>
        <v>3</v>
      </c>
      <c r="D22" s="2">
        <f t="shared" si="1"/>
        <v>20</v>
      </c>
      <c r="E22" s="2">
        <f t="shared" si="1"/>
        <v>0</v>
      </c>
      <c r="F22" s="2" t="str">
        <f t="shared" si="1"/>
        <v>Новая локальная смета</v>
      </c>
      <c r="G22" s="2" t="str">
        <f t="shared" si="1"/>
        <v>Новая локальная смета</v>
      </c>
      <c r="H22" s="2">
        <f t="shared" si="1"/>
        <v>0</v>
      </c>
      <c r="I22" s="2">
        <f t="shared" si="1"/>
        <v>0</v>
      </c>
      <c r="J22" s="2">
        <f t="shared" si="1"/>
        <v>0</v>
      </c>
      <c r="K22" s="2">
        <f t="shared" si="1"/>
        <v>0</v>
      </c>
      <c r="L22" s="2">
        <f t="shared" si="1"/>
        <v>0</v>
      </c>
      <c r="M22" s="2">
        <f t="shared" si="1"/>
        <v>0</v>
      </c>
      <c r="N22" s="2">
        <f t="shared" si="1"/>
        <v>0</v>
      </c>
      <c r="O22" s="2">
        <f t="shared" si="1"/>
        <v>1097.53</v>
      </c>
      <c r="P22" s="2">
        <f t="shared" si="1"/>
        <v>22.82</v>
      </c>
      <c r="Q22" s="2">
        <f t="shared" si="1"/>
        <v>3.61</v>
      </c>
      <c r="R22" s="2">
        <f t="shared" si="1"/>
        <v>0.64</v>
      </c>
      <c r="S22" s="2">
        <f t="shared" si="1"/>
        <v>1071.0999999999999</v>
      </c>
      <c r="T22" s="2">
        <f t="shared" si="1"/>
        <v>0</v>
      </c>
      <c r="U22" s="2">
        <f t="shared" si="1"/>
        <v>7</v>
      </c>
      <c r="V22" s="2">
        <f t="shared" si="1"/>
        <v>0</v>
      </c>
      <c r="W22" s="2">
        <f t="shared" si="1"/>
        <v>0</v>
      </c>
      <c r="X22" s="2">
        <f t="shared" si="1"/>
        <v>1132.1099999999999</v>
      </c>
      <c r="Y22" s="2">
        <f t="shared" si="1"/>
        <v>522.41</v>
      </c>
      <c r="Z22" s="2">
        <f t="shared" si="1"/>
        <v>0</v>
      </c>
      <c r="AA22" s="2">
        <f t="shared" si="1"/>
        <v>0</v>
      </c>
      <c r="AB22" s="2">
        <f t="shared" si="1"/>
        <v>1097.53</v>
      </c>
      <c r="AC22" s="2">
        <f t="shared" si="1"/>
        <v>22.82</v>
      </c>
      <c r="AD22" s="2">
        <f t="shared" si="1"/>
        <v>3.61</v>
      </c>
      <c r="AE22" s="2">
        <f t="shared" si="1"/>
        <v>0.64</v>
      </c>
      <c r="AF22" s="2">
        <f t="shared" si="1"/>
        <v>1071.0999999999999</v>
      </c>
      <c r="AG22" s="2">
        <f t="shared" si="1"/>
        <v>0</v>
      </c>
      <c r="AH22" s="2">
        <f t="shared" si="1"/>
        <v>7</v>
      </c>
      <c r="AI22" s="2">
        <f t="shared" si="1"/>
        <v>0</v>
      </c>
      <c r="AJ22" s="2">
        <f t="shared" si="1"/>
        <v>0</v>
      </c>
      <c r="AK22" s="2">
        <f t="shared" si="1"/>
        <v>1132.1099999999999</v>
      </c>
      <c r="AL22" s="2">
        <f t="shared" si="1"/>
        <v>522.41</v>
      </c>
      <c r="AM22" s="2">
        <f t="shared" si="1"/>
        <v>0</v>
      </c>
      <c r="AN22" s="2">
        <f t="shared" si="1"/>
        <v>0</v>
      </c>
      <c r="AO22" s="2">
        <f t="shared" si="1"/>
        <v>0</v>
      </c>
      <c r="AP22" s="2">
        <f t="shared" si="1"/>
        <v>0</v>
      </c>
      <c r="AQ22" s="2">
        <f t="shared" si="1"/>
        <v>0</v>
      </c>
    </row>
    <row r="24" spans="1:181">
      <c r="A24">
        <v>17</v>
      </c>
      <c r="B24">
        <v>1</v>
      </c>
      <c r="C24">
        <f>ROW(SmtRes!A2)</f>
        <v>2</v>
      </c>
      <c r="D24">
        <f>ROW(EtalonRes!A2)</f>
        <v>2</v>
      </c>
      <c r="E24" t="s">
        <v>13</v>
      </c>
      <c r="F24" t="s">
        <v>14</v>
      </c>
      <c r="G24" t="s">
        <v>15</v>
      </c>
      <c r="H24" t="s">
        <v>16</v>
      </c>
      <c r="I24">
        <v>0.01</v>
      </c>
      <c r="J24">
        <v>0</v>
      </c>
      <c r="O24">
        <f t="shared" ref="O24:O31" si="2">ROUND(CP24,2)</f>
        <v>76.69</v>
      </c>
      <c r="P24">
        <f t="shared" ref="P24:P31" si="3">ROUND(CQ24*I24,2)</f>
        <v>0</v>
      </c>
      <c r="Q24">
        <f t="shared" ref="Q24:Q31" si="4">ROUND(CR24*I24,2)</f>
        <v>0</v>
      </c>
      <c r="R24">
        <f t="shared" ref="R24:R31" si="5">ROUND(CS24*I24,2)</f>
        <v>0</v>
      </c>
      <c r="S24">
        <f t="shared" ref="S24:S31" si="6">ROUND(CT24*I24,2)</f>
        <v>76.69</v>
      </c>
      <c r="T24">
        <f t="shared" ref="T24:T31" si="7">ROUND(CU24*I24,2)</f>
        <v>0</v>
      </c>
      <c r="U24">
        <f t="shared" ref="U24:U31" si="8">CV24*I24</f>
        <v>0.47847900000000004</v>
      </c>
      <c r="V24">
        <f t="shared" ref="V24:V31" si="9">CW24*I24</f>
        <v>0</v>
      </c>
      <c r="W24">
        <f t="shared" ref="W24:W31" si="10">ROUND(CX24*I24,2)</f>
        <v>0</v>
      </c>
      <c r="X24">
        <f t="shared" ref="X24:Y31" si="11">ROUND(CY24,2)</f>
        <v>59.05</v>
      </c>
      <c r="Y24">
        <f t="shared" si="11"/>
        <v>34.51</v>
      </c>
      <c r="AA24">
        <v>0</v>
      </c>
      <c r="AB24">
        <f t="shared" ref="AB24:AB31" si="12">(AC24+AD24+AF24)</f>
        <v>576.73</v>
      </c>
      <c r="AC24">
        <f t="shared" ref="AC24:AF25" si="13">(ES24)</f>
        <v>0</v>
      </c>
      <c r="AD24">
        <f t="shared" si="13"/>
        <v>0</v>
      </c>
      <c r="AE24">
        <f t="shared" si="13"/>
        <v>0</v>
      </c>
      <c r="AF24">
        <f t="shared" si="13"/>
        <v>576.73</v>
      </c>
      <c r="AG24">
        <f>(AP24)</f>
        <v>0</v>
      </c>
      <c r="AH24">
        <f>(EW24)</f>
        <v>45.7</v>
      </c>
      <c r="AI24">
        <f>(EX24)</f>
        <v>0</v>
      </c>
      <c r="AJ24">
        <f>(AS24)</f>
        <v>0</v>
      </c>
      <c r="AK24">
        <v>576.73</v>
      </c>
      <c r="AL24">
        <v>0</v>
      </c>
      <c r="AM24">
        <v>0</v>
      </c>
      <c r="AN24">
        <v>0</v>
      </c>
      <c r="AO24">
        <v>576.73</v>
      </c>
      <c r="AP24">
        <v>0</v>
      </c>
      <c r="AQ24">
        <v>45.7</v>
      </c>
      <c r="AR24">
        <v>0</v>
      </c>
      <c r="AS24">
        <v>0</v>
      </c>
      <c r="AT24">
        <v>77</v>
      </c>
      <c r="AU24">
        <v>45</v>
      </c>
      <c r="AV24">
        <v>1.0469999999999999</v>
      </c>
      <c r="AW24">
        <v>1</v>
      </c>
      <c r="AX24">
        <v>1</v>
      </c>
      <c r="AY24">
        <v>1</v>
      </c>
      <c r="AZ24">
        <v>12.7</v>
      </c>
      <c r="BA24">
        <v>12.7</v>
      </c>
      <c r="BB24">
        <v>1</v>
      </c>
      <c r="BC24">
        <v>1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17</v>
      </c>
      <c r="BM24">
        <v>616</v>
      </c>
      <c r="BN24">
        <v>0</v>
      </c>
      <c r="BO24" t="s">
        <v>14</v>
      </c>
      <c r="BP24">
        <v>1</v>
      </c>
      <c r="BQ24">
        <v>60</v>
      </c>
      <c r="BR24">
        <v>0</v>
      </c>
      <c r="BS24">
        <v>12.7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77</v>
      </c>
      <c r="CA24">
        <v>45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31" si="14">(P24+Q24+S24)</f>
        <v>76.69</v>
      </c>
      <c r="CQ24">
        <f t="shared" ref="CQ24:CQ31" si="15">((AC24*AW24))*BC24</f>
        <v>0</v>
      </c>
      <c r="CR24">
        <f t="shared" ref="CR24:CR31" si="16">((AD24*AV24))*BB24</f>
        <v>0</v>
      </c>
      <c r="CS24">
        <f t="shared" ref="CS24:CS31" si="17">((AE24*AV24))*BS24</f>
        <v>0</v>
      </c>
      <c r="CT24">
        <f t="shared" ref="CT24:CT31" si="18">((AF24*AV24))*BA24</f>
        <v>7668.7211369999995</v>
      </c>
      <c r="CU24">
        <f t="shared" ref="CU24:CU31" si="19">(AG24)*BT24</f>
        <v>0</v>
      </c>
      <c r="CV24">
        <f t="shared" ref="CV24:CV31" si="20">((AH24*AV24))*BU24</f>
        <v>47.847900000000003</v>
      </c>
      <c r="CW24">
        <f t="shared" ref="CW24:CX31" si="21">(AI24)*BV24</f>
        <v>0</v>
      </c>
      <c r="CX24">
        <f t="shared" si="21"/>
        <v>0</v>
      </c>
      <c r="CY24">
        <f t="shared" ref="CY24:CY31" si="22">S24*(BZ24/100)</f>
        <v>59.051299999999998</v>
      </c>
      <c r="CZ24">
        <f t="shared" ref="CZ24:CZ31" si="23">S24*(CA24/100)</f>
        <v>34.5105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80</v>
      </c>
      <c r="DO24">
        <v>55</v>
      </c>
      <c r="DP24">
        <v>1.0469999999999999</v>
      </c>
      <c r="DQ24">
        <v>1</v>
      </c>
      <c r="DR24">
        <v>1</v>
      </c>
      <c r="DS24">
        <v>1</v>
      </c>
      <c r="DT24">
        <v>1</v>
      </c>
      <c r="DU24">
        <v>1010</v>
      </c>
      <c r="DV24" t="s">
        <v>16</v>
      </c>
      <c r="DW24" t="s">
        <v>16</v>
      </c>
      <c r="DX24">
        <v>100</v>
      </c>
      <c r="EE24">
        <v>18003580</v>
      </c>
      <c r="EF24">
        <v>60</v>
      </c>
      <c r="EG24" t="s">
        <v>18</v>
      </c>
      <c r="EH24">
        <v>0</v>
      </c>
      <c r="EI24" t="s">
        <v>3</v>
      </c>
      <c r="EJ24">
        <v>1</v>
      </c>
      <c r="EK24">
        <v>616</v>
      </c>
      <c r="EL24" t="s">
        <v>19</v>
      </c>
      <c r="EM24" t="s">
        <v>20</v>
      </c>
      <c r="EO24" t="s">
        <v>3</v>
      </c>
      <c r="EQ24">
        <v>64</v>
      </c>
      <c r="ER24">
        <v>576.73</v>
      </c>
      <c r="ES24">
        <v>0</v>
      </c>
      <c r="ET24">
        <v>0</v>
      </c>
      <c r="EU24">
        <v>0</v>
      </c>
      <c r="EV24">
        <v>576.73</v>
      </c>
      <c r="EW24">
        <v>45.7</v>
      </c>
      <c r="EX24">
        <v>0</v>
      </c>
      <c r="EY24">
        <v>0</v>
      </c>
      <c r="EZ24">
        <v>0</v>
      </c>
      <c r="FQ24">
        <v>0</v>
      </c>
      <c r="FR24">
        <f t="shared" ref="FR24:FR31" si="24">ROUND(IF(AND(AA24=0,BI24=3),P24,0),2)</f>
        <v>0</v>
      </c>
      <c r="FS24">
        <v>0</v>
      </c>
      <c r="FX24">
        <v>77</v>
      </c>
      <c r="FY24">
        <v>45</v>
      </c>
    </row>
    <row r="25" spans="1:181">
      <c r="A25">
        <v>17</v>
      </c>
      <c r="B25">
        <v>1</v>
      </c>
      <c r="C25">
        <f>ROW(SmtRes!A7)</f>
        <v>7</v>
      </c>
      <c r="D25">
        <f>ROW(EtalonRes!A7)</f>
        <v>7</v>
      </c>
      <c r="E25" t="s">
        <v>21</v>
      </c>
      <c r="F25" t="s">
        <v>22</v>
      </c>
      <c r="G25" t="s">
        <v>23</v>
      </c>
      <c r="H25" t="s">
        <v>24</v>
      </c>
      <c r="I25">
        <v>0.01</v>
      </c>
      <c r="J25">
        <v>0</v>
      </c>
      <c r="O25">
        <f t="shared" si="2"/>
        <v>355.29</v>
      </c>
      <c r="P25">
        <f t="shared" si="3"/>
        <v>9.69</v>
      </c>
      <c r="Q25">
        <f t="shared" si="4"/>
        <v>0</v>
      </c>
      <c r="R25">
        <f t="shared" si="5"/>
        <v>0</v>
      </c>
      <c r="S25">
        <f t="shared" si="6"/>
        <v>345.6</v>
      </c>
      <c r="T25">
        <f t="shared" si="7"/>
        <v>0</v>
      </c>
      <c r="U25">
        <f t="shared" si="8"/>
        <v>2.2620399999999998</v>
      </c>
      <c r="V25">
        <f t="shared" si="9"/>
        <v>0</v>
      </c>
      <c r="W25">
        <f t="shared" si="10"/>
        <v>0</v>
      </c>
      <c r="X25">
        <f t="shared" si="11"/>
        <v>345.6</v>
      </c>
      <c r="Y25">
        <f t="shared" si="11"/>
        <v>155.52000000000001</v>
      </c>
      <c r="AA25">
        <v>0</v>
      </c>
      <c r="AB25">
        <f t="shared" si="12"/>
        <v>2779.42</v>
      </c>
      <c r="AC25">
        <f t="shared" si="13"/>
        <v>229.06</v>
      </c>
      <c r="AD25">
        <f t="shared" si="13"/>
        <v>0</v>
      </c>
      <c r="AE25">
        <f t="shared" si="13"/>
        <v>0</v>
      </c>
      <c r="AF25">
        <f t="shared" si="13"/>
        <v>2550.36</v>
      </c>
      <c r="AG25">
        <f>(AP25)</f>
        <v>0</v>
      </c>
      <c r="AH25">
        <f>(EW25)</f>
        <v>212</v>
      </c>
      <c r="AI25">
        <f>(EX25)</f>
        <v>0</v>
      </c>
      <c r="AJ25">
        <f>(AS25)</f>
        <v>0</v>
      </c>
      <c r="AK25">
        <v>2779.42</v>
      </c>
      <c r="AL25">
        <v>229.06</v>
      </c>
      <c r="AM25">
        <v>0</v>
      </c>
      <c r="AN25">
        <v>0</v>
      </c>
      <c r="AO25">
        <v>2550.36</v>
      </c>
      <c r="AP25">
        <v>0</v>
      </c>
      <c r="AQ25">
        <v>212</v>
      </c>
      <c r="AR25">
        <v>0</v>
      </c>
      <c r="AS25">
        <v>0</v>
      </c>
      <c r="AT25">
        <v>100</v>
      </c>
      <c r="AU25">
        <v>45</v>
      </c>
      <c r="AV25">
        <v>1.0669999999999999</v>
      </c>
      <c r="AW25">
        <v>1</v>
      </c>
      <c r="AX25">
        <v>1</v>
      </c>
      <c r="AY25">
        <v>1</v>
      </c>
      <c r="AZ25">
        <v>12.7</v>
      </c>
      <c r="BA25">
        <v>12.7</v>
      </c>
      <c r="BB25">
        <v>1</v>
      </c>
      <c r="BC25">
        <v>4.2300000000000004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25</v>
      </c>
      <c r="BM25">
        <v>617</v>
      </c>
      <c r="BN25">
        <v>0</v>
      </c>
      <c r="BO25" t="s">
        <v>22</v>
      </c>
      <c r="BP25">
        <v>1</v>
      </c>
      <c r="BQ25">
        <v>60</v>
      </c>
      <c r="BR25">
        <v>0</v>
      </c>
      <c r="BS25">
        <v>12.7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100</v>
      </c>
      <c r="CA25">
        <v>45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14"/>
        <v>355.29</v>
      </c>
      <c r="CQ25">
        <f t="shared" si="15"/>
        <v>968.92380000000014</v>
      </c>
      <c r="CR25">
        <f t="shared" si="16"/>
        <v>0</v>
      </c>
      <c r="CS25">
        <f t="shared" si="17"/>
        <v>0</v>
      </c>
      <c r="CT25">
        <f t="shared" si="18"/>
        <v>34559.673323999996</v>
      </c>
      <c r="CU25">
        <f t="shared" si="19"/>
        <v>0</v>
      </c>
      <c r="CV25">
        <f t="shared" si="20"/>
        <v>226.20399999999998</v>
      </c>
      <c r="CW25">
        <f t="shared" si="21"/>
        <v>0</v>
      </c>
      <c r="CX25">
        <f t="shared" si="21"/>
        <v>0</v>
      </c>
      <c r="CY25">
        <f t="shared" si="22"/>
        <v>345.6</v>
      </c>
      <c r="CZ25">
        <f t="shared" si="23"/>
        <v>155.52000000000001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110</v>
      </c>
      <c r="DO25">
        <v>74</v>
      </c>
      <c r="DP25">
        <v>1.0669999999999999</v>
      </c>
      <c r="DQ25">
        <v>1</v>
      </c>
      <c r="DR25">
        <v>1</v>
      </c>
      <c r="DS25">
        <v>1</v>
      </c>
      <c r="DT25">
        <v>1</v>
      </c>
      <c r="DU25">
        <v>1013</v>
      </c>
      <c r="DV25" t="s">
        <v>24</v>
      </c>
      <c r="DW25" t="s">
        <v>24</v>
      </c>
      <c r="DX25">
        <v>1</v>
      </c>
      <c r="EE25">
        <v>18003581</v>
      </c>
      <c r="EF25">
        <v>60</v>
      </c>
      <c r="EG25" t="s">
        <v>18</v>
      </c>
      <c r="EH25">
        <v>0</v>
      </c>
      <c r="EI25" t="s">
        <v>3</v>
      </c>
      <c r="EJ25">
        <v>1</v>
      </c>
      <c r="EK25">
        <v>617</v>
      </c>
      <c r="EL25" t="s">
        <v>26</v>
      </c>
      <c r="EM25" t="s">
        <v>27</v>
      </c>
      <c r="EO25" t="s">
        <v>3</v>
      </c>
      <c r="EQ25">
        <v>64</v>
      </c>
      <c r="ER25">
        <v>2779.42</v>
      </c>
      <c r="ES25">
        <v>229.06</v>
      </c>
      <c r="ET25">
        <v>0</v>
      </c>
      <c r="EU25">
        <v>0</v>
      </c>
      <c r="EV25">
        <v>2550.36</v>
      </c>
      <c r="EW25">
        <v>212</v>
      </c>
      <c r="EX25">
        <v>0</v>
      </c>
      <c r="EY25">
        <v>0</v>
      </c>
      <c r="EZ25">
        <v>0</v>
      </c>
      <c r="FQ25">
        <v>0</v>
      </c>
      <c r="FR25">
        <f t="shared" si="24"/>
        <v>0</v>
      </c>
      <c r="FS25">
        <v>0</v>
      </c>
      <c r="FX25">
        <v>100</v>
      </c>
      <c r="FY25">
        <v>45</v>
      </c>
    </row>
    <row r="26" spans="1:181">
      <c r="A26">
        <v>18</v>
      </c>
      <c r="B26">
        <v>1</v>
      </c>
      <c r="C26">
        <v>7</v>
      </c>
      <c r="E26" t="s">
        <v>28</v>
      </c>
      <c r="F26" t="s">
        <v>29</v>
      </c>
      <c r="G26" t="s">
        <v>30</v>
      </c>
      <c r="H26" t="s">
        <v>31</v>
      </c>
      <c r="I26">
        <f>I25*J26</f>
        <v>1</v>
      </c>
      <c r="J26">
        <v>100</v>
      </c>
      <c r="O26">
        <f t="shared" si="2"/>
        <v>0</v>
      </c>
      <c r="P26">
        <f t="shared" si="3"/>
        <v>0</v>
      </c>
      <c r="Q26">
        <f t="shared" si="4"/>
        <v>0</v>
      </c>
      <c r="R26">
        <f t="shared" si="5"/>
        <v>0</v>
      </c>
      <c r="S26">
        <f t="shared" si="6"/>
        <v>0</v>
      </c>
      <c r="T26">
        <f t="shared" si="7"/>
        <v>0</v>
      </c>
      <c r="U26">
        <f t="shared" si="8"/>
        <v>0</v>
      </c>
      <c r="V26">
        <f t="shared" si="9"/>
        <v>0</v>
      </c>
      <c r="W26">
        <f t="shared" si="10"/>
        <v>0</v>
      </c>
      <c r="X26">
        <f t="shared" si="11"/>
        <v>0</v>
      </c>
      <c r="Y26">
        <f t="shared" si="11"/>
        <v>0</v>
      </c>
      <c r="AA26">
        <v>0</v>
      </c>
      <c r="AB26">
        <f t="shared" si="12"/>
        <v>0</v>
      </c>
      <c r="AC26">
        <f t="shared" ref="AC26:AJ26" si="25">AL26</f>
        <v>0</v>
      </c>
      <c r="AD26">
        <f t="shared" si="25"/>
        <v>0</v>
      </c>
      <c r="AE26">
        <f t="shared" si="25"/>
        <v>0</v>
      </c>
      <c r="AF26">
        <f t="shared" si="25"/>
        <v>0</v>
      </c>
      <c r="AG26">
        <f t="shared" si="25"/>
        <v>0</v>
      </c>
      <c r="AH26">
        <f t="shared" si="25"/>
        <v>0</v>
      </c>
      <c r="AI26">
        <f t="shared" si="25"/>
        <v>0</v>
      </c>
      <c r="AJ26">
        <f t="shared" si="25"/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1.0669999999999999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 t="s">
        <v>3</v>
      </c>
      <c r="BE26" t="s">
        <v>3</v>
      </c>
      <c r="BF26" t="s">
        <v>3</v>
      </c>
      <c r="BG26" t="s">
        <v>3</v>
      </c>
      <c r="BH26">
        <v>3</v>
      </c>
      <c r="BI26">
        <v>1</v>
      </c>
      <c r="BJ26" t="s">
        <v>3</v>
      </c>
      <c r="BM26">
        <v>617</v>
      </c>
      <c r="BN26">
        <v>0</v>
      </c>
      <c r="BO26" t="s">
        <v>3</v>
      </c>
      <c r="BP26">
        <v>0</v>
      </c>
      <c r="BQ26">
        <v>60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0</v>
      </c>
      <c r="CA26">
        <v>0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 t="shared" si="14"/>
        <v>0</v>
      </c>
      <c r="CQ26">
        <f t="shared" si="15"/>
        <v>0</v>
      </c>
      <c r="CR26">
        <f t="shared" si="16"/>
        <v>0</v>
      </c>
      <c r="CS26">
        <f t="shared" si="17"/>
        <v>0</v>
      </c>
      <c r="CT26">
        <f t="shared" si="18"/>
        <v>0</v>
      </c>
      <c r="CU26">
        <f t="shared" si="19"/>
        <v>0</v>
      </c>
      <c r="CV26">
        <f t="shared" si="20"/>
        <v>0</v>
      </c>
      <c r="CW26">
        <f t="shared" si="21"/>
        <v>0</v>
      </c>
      <c r="CX26">
        <f t="shared" si="21"/>
        <v>0</v>
      </c>
      <c r="CY26">
        <f t="shared" si="22"/>
        <v>0</v>
      </c>
      <c r="CZ26">
        <f t="shared" si="23"/>
        <v>0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110</v>
      </c>
      <c r="DO26">
        <v>74</v>
      </c>
      <c r="DP26">
        <v>1.0669999999999999</v>
      </c>
      <c r="DQ26">
        <v>1</v>
      </c>
      <c r="DR26">
        <v>1</v>
      </c>
      <c r="DS26">
        <v>1</v>
      </c>
      <c r="DT26">
        <v>1</v>
      </c>
      <c r="DU26">
        <v>1013</v>
      </c>
      <c r="DV26" t="s">
        <v>31</v>
      </c>
      <c r="DW26" t="s">
        <v>31</v>
      </c>
      <c r="DX26">
        <v>1</v>
      </c>
      <c r="EE26">
        <v>18003581</v>
      </c>
      <c r="EF26">
        <v>60</v>
      </c>
      <c r="EG26" t="s">
        <v>18</v>
      </c>
      <c r="EH26">
        <v>0</v>
      </c>
      <c r="EI26" t="s">
        <v>3</v>
      </c>
      <c r="EJ26">
        <v>1</v>
      </c>
      <c r="EK26">
        <v>617</v>
      </c>
      <c r="EL26" t="s">
        <v>26</v>
      </c>
      <c r="EM26" t="s">
        <v>27</v>
      </c>
      <c r="EO26" t="s">
        <v>3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Z26">
        <v>0</v>
      </c>
      <c r="FQ26">
        <v>0</v>
      </c>
      <c r="FR26">
        <f t="shared" si="24"/>
        <v>0</v>
      </c>
      <c r="FS26">
        <v>0</v>
      </c>
      <c r="FX26">
        <v>0</v>
      </c>
      <c r="FY26">
        <v>0</v>
      </c>
    </row>
    <row r="27" spans="1:181">
      <c r="A27">
        <v>17</v>
      </c>
      <c r="B27">
        <v>1</v>
      </c>
      <c r="C27">
        <f>ROW(SmtRes!A14)</f>
        <v>14</v>
      </c>
      <c r="D27">
        <f>ROW(EtalonRes!A14)</f>
        <v>14</v>
      </c>
      <c r="E27" t="s">
        <v>32</v>
      </c>
      <c r="F27" t="s">
        <v>33</v>
      </c>
      <c r="G27" t="s">
        <v>34</v>
      </c>
      <c r="H27" t="s">
        <v>35</v>
      </c>
      <c r="I27">
        <v>1</v>
      </c>
      <c r="J27">
        <v>0</v>
      </c>
      <c r="O27">
        <f t="shared" si="2"/>
        <v>517.29999999999995</v>
      </c>
      <c r="P27">
        <f t="shared" si="3"/>
        <v>10.63</v>
      </c>
      <c r="Q27">
        <f t="shared" si="4"/>
        <v>1.45</v>
      </c>
      <c r="R27">
        <f t="shared" si="5"/>
        <v>0.34</v>
      </c>
      <c r="S27">
        <f t="shared" si="6"/>
        <v>505.22</v>
      </c>
      <c r="T27">
        <f t="shared" si="7"/>
        <v>0</v>
      </c>
      <c r="U27">
        <f t="shared" si="8"/>
        <v>3.3866579999999993</v>
      </c>
      <c r="V27">
        <f t="shared" si="9"/>
        <v>0</v>
      </c>
      <c r="W27">
        <f t="shared" si="10"/>
        <v>0</v>
      </c>
      <c r="X27">
        <f t="shared" si="11"/>
        <v>581</v>
      </c>
      <c r="Y27">
        <f t="shared" si="11"/>
        <v>267.77</v>
      </c>
      <c r="AA27">
        <v>0</v>
      </c>
      <c r="AB27">
        <f t="shared" si="12"/>
        <v>40.453000000000003</v>
      </c>
      <c r="AC27">
        <f>(ES27)</f>
        <v>2.97</v>
      </c>
      <c r="AD27">
        <f>((ET27*1.25))</f>
        <v>0.2</v>
      </c>
      <c r="AE27">
        <f>((EU27*1.25))</f>
        <v>2.5000000000000001E-2</v>
      </c>
      <c r="AF27">
        <f>((EV27*1.15))</f>
        <v>37.283000000000001</v>
      </c>
      <c r="AG27">
        <f>(AP27)</f>
        <v>0</v>
      </c>
      <c r="AH27">
        <f>((EW27*1.15))</f>
        <v>3.1739999999999995</v>
      </c>
      <c r="AI27">
        <f>((EX27*1.25))</f>
        <v>0</v>
      </c>
      <c r="AJ27">
        <f>(AS27)</f>
        <v>0</v>
      </c>
      <c r="AK27">
        <v>35.550000000000004</v>
      </c>
      <c r="AL27">
        <v>2.97</v>
      </c>
      <c r="AM27">
        <v>0.16</v>
      </c>
      <c r="AN27">
        <v>0.02</v>
      </c>
      <c r="AO27">
        <v>32.42</v>
      </c>
      <c r="AP27">
        <v>0</v>
      </c>
      <c r="AQ27">
        <v>2.76</v>
      </c>
      <c r="AR27">
        <v>0</v>
      </c>
      <c r="AS27">
        <v>0</v>
      </c>
      <c r="AT27">
        <v>115</v>
      </c>
      <c r="AU27">
        <v>53</v>
      </c>
      <c r="AV27">
        <v>1.0669999999999999</v>
      </c>
      <c r="AW27">
        <v>1</v>
      </c>
      <c r="AX27">
        <v>1</v>
      </c>
      <c r="AY27">
        <v>1</v>
      </c>
      <c r="AZ27">
        <v>12.7</v>
      </c>
      <c r="BA27">
        <v>12.7</v>
      </c>
      <c r="BB27">
        <v>6.8</v>
      </c>
      <c r="BC27">
        <v>3.58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36</v>
      </c>
      <c r="BM27">
        <v>1117</v>
      </c>
      <c r="BN27">
        <v>0</v>
      </c>
      <c r="BO27" t="s">
        <v>33</v>
      </c>
      <c r="BP27">
        <v>1</v>
      </c>
      <c r="BQ27">
        <v>30</v>
      </c>
      <c r="BR27">
        <v>0</v>
      </c>
      <c r="BS27">
        <v>12.7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115</v>
      </c>
      <c r="CA27">
        <v>53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14"/>
        <v>517.30000000000007</v>
      </c>
      <c r="CQ27">
        <f t="shared" si="15"/>
        <v>10.6326</v>
      </c>
      <c r="CR27">
        <f t="shared" si="16"/>
        <v>1.45112</v>
      </c>
      <c r="CS27">
        <f t="shared" si="17"/>
        <v>0.33877249999999998</v>
      </c>
      <c r="CT27">
        <f t="shared" si="18"/>
        <v>505.21820469999994</v>
      </c>
      <c r="CU27">
        <f t="shared" si="19"/>
        <v>0</v>
      </c>
      <c r="CV27">
        <f t="shared" si="20"/>
        <v>3.3866579999999993</v>
      </c>
      <c r="CW27">
        <f t="shared" si="21"/>
        <v>0</v>
      </c>
      <c r="CX27">
        <f t="shared" si="21"/>
        <v>0</v>
      </c>
      <c r="CY27">
        <f t="shared" si="22"/>
        <v>581.00300000000004</v>
      </c>
      <c r="CZ27">
        <f t="shared" si="23"/>
        <v>267.76660000000004</v>
      </c>
      <c r="DC27" t="s">
        <v>3</v>
      </c>
      <c r="DD27" t="s">
        <v>3</v>
      </c>
      <c r="DE27" t="s">
        <v>37</v>
      </c>
      <c r="DF27" t="s">
        <v>37</v>
      </c>
      <c r="DG27" t="s">
        <v>38</v>
      </c>
      <c r="DH27" t="s">
        <v>3</v>
      </c>
      <c r="DI27" t="s">
        <v>38</v>
      </c>
      <c r="DJ27" t="s">
        <v>37</v>
      </c>
      <c r="DK27" t="s">
        <v>3</v>
      </c>
      <c r="DL27" t="s">
        <v>3</v>
      </c>
      <c r="DM27" t="s">
        <v>3</v>
      </c>
      <c r="DN27">
        <v>125</v>
      </c>
      <c r="DO27">
        <v>94</v>
      </c>
      <c r="DP27">
        <v>1.0669999999999999</v>
      </c>
      <c r="DQ27">
        <v>1</v>
      </c>
      <c r="DR27">
        <v>1</v>
      </c>
      <c r="DS27">
        <v>1</v>
      </c>
      <c r="DT27">
        <v>1</v>
      </c>
      <c r="DU27">
        <v>1010</v>
      </c>
      <c r="DV27" t="s">
        <v>35</v>
      </c>
      <c r="DW27" t="s">
        <v>35</v>
      </c>
      <c r="DX27">
        <v>1</v>
      </c>
      <c r="EE27">
        <v>18004081</v>
      </c>
      <c r="EF27">
        <v>30</v>
      </c>
      <c r="EG27" t="s">
        <v>39</v>
      </c>
      <c r="EH27">
        <v>0</v>
      </c>
      <c r="EI27" t="s">
        <v>3</v>
      </c>
      <c r="EJ27">
        <v>1</v>
      </c>
      <c r="EK27">
        <v>1117</v>
      </c>
      <c r="EL27" t="s">
        <v>40</v>
      </c>
      <c r="EM27" t="s">
        <v>41</v>
      </c>
      <c r="EO27" t="s">
        <v>3</v>
      </c>
      <c r="EQ27">
        <v>64</v>
      </c>
      <c r="ER27">
        <v>35.549999999999997</v>
      </c>
      <c r="ES27">
        <v>2.97</v>
      </c>
      <c r="ET27">
        <v>0.16</v>
      </c>
      <c r="EU27">
        <v>0.02</v>
      </c>
      <c r="EV27">
        <v>32.42</v>
      </c>
      <c r="EW27">
        <v>2.76</v>
      </c>
      <c r="EX27">
        <v>0</v>
      </c>
      <c r="EY27">
        <v>0</v>
      </c>
      <c r="EZ27">
        <v>0</v>
      </c>
      <c r="FQ27">
        <v>0</v>
      </c>
      <c r="FR27">
        <f t="shared" si="24"/>
        <v>0</v>
      </c>
      <c r="FS27">
        <v>0</v>
      </c>
      <c r="FX27">
        <v>115</v>
      </c>
      <c r="FY27">
        <v>53</v>
      </c>
    </row>
    <row r="28" spans="1:181">
      <c r="A28">
        <v>18</v>
      </c>
      <c r="B28">
        <v>1</v>
      </c>
      <c r="C28">
        <v>13</v>
      </c>
      <c r="E28" t="s">
        <v>42</v>
      </c>
      <c r="F28" t="s">
        <v>43</v>
      </c>
      <c r="G28" t="s">
        <v>44</v>
      </c>
      <c r="H28" t="s">
        <v>35</v>
      </c>
      <c r="I28">
        <f>I27*J28</f>
        <v>1</v>
      </c>
      <c r="J28">
        <v>1</v>
      </c>
      <c r="O28">
        <f t="shared" si="2"/>
        <v>0</v>
      </c>
      <c r="P28">
        <f t="shared" si="3"/>
        <v>0</v>
      </c>
      <c r="Q28">
        <f t="shared" si="4"/>
        <v>0</v>
      </c>
      <c r="R28">
        <f t="shared" si="5"/>
        <v>0</v>
      </c>
      <c r="S28">
        <f t="shared" si="6"/>
        <v>0</v>
      </c>
      <c r="T28">
        <f t="shared" si="7"/>
        <v>0</v>
      </c>
      <c r="U28">
        <f t="shared" si="8"/>
        <v>0</v>
      </c>
      <c r="V28">
        <f t="shared" si="9"/>
        <v>0</v>
      </c>
      <c r="W28">
        <f t="shared" si="10"/>
        <v>0</v>
      </c>
      <c r="X28">
        <f t="shared" si="11"/>
        <v>0</v>
      </c>
      <c r="Y28">
        <f t="shared" si="11"/>
        <v>0</v>
      </c>
      <c r="AA28">
        <v>0</v>
      </c>
      <c r="AB28">
        <f t="shared" si="12"/>
        <v>0</v>
      </c>
      <c r="AC28">
        <f t="shared" ref="AC28:AJ29" si="26">AL28</f>
        <v>0</v>
      </c>
      <c r="AD28">
        <f t="shared" si="26"/>
        <v>0</v>
      </c>
      <c r="AE28">
        <f t="shared" si="26"/>
        <v>0</v>
      </c>
      <c r="AF28">
        <f t="shared" si="26"/>
        <v>0</v>
      </c>
      <c r="AG28">
        <f t="shared" si="26"/>
        <v>0</v>
      </c>
      <c r="AH28">
        <f t="shared" si="26"/>
        <v>0</v>
      </c>
      <c r="AI28">
        <f t="shared" si="26"/>
        <v>0</v>
      </c>
      <c r="AJ28">
        <f t="shared" si="26"/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1.0669999999999999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 t="s">
        <v>3</v>
      </c>
      <c r="BE28" t="s">
        <v>3</v>
      </c>
      <c r="BF28" t="s">
        <v>3</v>
      </c>
      <c r="BG28" t="s">
        <v>3</v>
      </c>
      <c r="BH28">
        <v>3</v>
      </c>
      <c r="BI28">
        <v>1</v>
      </c>
      <c r="BJ28" t="s">
        <v>3</v>
      </c>
      <c r="BM28">
        <v>1117</v>
      </c>
      <c r="BN28">
        <v>0</v>
      </c>
      <c r="BO28" t="s">
        <v>3</v>
      </c>
      <c r="BP28">
        <v>0</v>
      </c>
      <c r="BQ28">
        <v>30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0</v>
      </c>
      <c r="CA28">
        <v>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si="14"/>
        <v>0</v>
      </c>
      <c r="CQ28">
        <f t="shared" si="15"/>
        <v>0</v>
      </c>
      <c r="CR28">
        <f t="shared" si="16"/>
        <v>0</v>
      </c>
      <c r="CS28">
        <f t="shared" si="17"/>
        <v>0</v>
      </c>
      <c r="CT28">
        <f t="shared" si="18"/>
        <v>0</v>
      </c>
      <c r="CU28">
        <f t="shared" si="19"/>
        <v>0</v>
      </c>
      <c r="CV28">
        <f t="shared" si="20"/>
        <v>0</v>
      </c>
      <c r="CW28">
        <f t="shared" si="21"/>
        <v>0</v>
      </c>
      <c r="CX28">
        <f t="shared" si="21"/>
        <v>0</v>
      </c>
      <c r="CY28">
        <f t="shared" si="22"/>
        <v>0</v>
      </c>
      <c r="CZ28">
        <f t="shared" si="23"/>
        <v>0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125</v>
      </c>
      <c r="DO28">
        <v>94</v>
      </c>
      <c r="DP28">
        <v>1.0669999999999999</v>
      </c>
      <c r="DQ28">
        <v>1</v>
      </c>
      <c r="DR28">
        <v>1</v>
      </c>
      <c r="DS28">
        <v>1</v>
      </c>
      <c r="DT28">
        <v>1</v>
      </c>
      <c r="DU28">
        <v>1010</v>
      </c>
      <c r="DV28" t="s">
        <v>35</v>
      </c>
      <c r="DW28" t="s">
        <v>35</v>
      </c>
      <c r="DX28">
        <v>1</v>
      </c>
      <c r="EE28">
        <v>18004081</v>
      </c>
      <c r="EF28">
        <v>30</v>
      </c>
      <c r="EG28" t="s">
        <v>39</v>
      </c>
      <c r="EH28">
        <v>0</v>
      </c>
      <c r="EI28" t="s">
        <v>3</v>
      </c>
      <c r="EJ28">
        <v>1</v>
      </c>
      <c r="EK28">
        <v>1117</v>
      </c>
      <c r="EL28" t="s">
        <v>40</v>
      </c>
      <c r="EM28" t="s">
        <v>41</v>
      </c>
      <c r="EO28" t="s">
        <v>3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Z28">
        <v>0</v>
      </c>
      <c r="FQ28">
        <v>0</v>
      </c>
      <c r="FR28">
        <f t="shared" si="24"/>
        <v>0</v>
      </c>
      <c r="FS28">
        <v>0</v>
      </c>
      <c r="FX28">
        <v>0</v>
      </c>
      <c r="FY28">
        <v>0</v>
      </c>
    </row>
    <row r="29" spans="1:181">
      <c r="A29">
        <v>18</v>
      </c>
      <c r="B29">
        <v>1</v>
      </c>
      <c r="C29">
        <v>14</v>
      </c>
      <c r="E29" t="s">
        <v>45</v>
      </c>
      <c r="F29" t="s">
        <v>46</v>
      </c>
      <c r="G29" t="s">
        <v>47</v>
      </c>
      <c r="H29" t="s">
        <v>35</v>
      </c>
      <c r="I29">
        <f>I27*J29</f>
        <v>2</v>
      </c>
      <c r="J29">
        <v>2</v>
      </c>
      <c r="O29">
        <f t="shared" si="2"/>
        <v>0</v>
      </c>
      <c r="P29">
        <f t="shared" si="3"/>
        <v>0</v>
      </c>
      <c r="Q29">
        <f t="shared" si="4"/>
        <v>0</v>
      </c>
      <c r="R29">
        <f t="shared" si="5"/>
        <v>0</v>
      </c>
      <c r="S29">
        <f t="shared" si="6"/>
        <v>0</v>
      </c>
      <c r="T29">
        <f t="shared" si="7"/>
        <v>0</v>
      </c>
      <c r="U29">
        <f t="shared" si="8"/>
        <v>0</v>
      </c>
      <c r="V29">
        <f t="shared" si="9"/>
        <v>0</v>
      </c>
      <c r="W29">
        <f t="shared" si="10"/>
        <v>0</v>
      </c>
      <c r="X29">
        <f t="shared" si="11"/>
        <v>0</v>
      </c>
      <c r="Y29">
        <f t="shared" si="11"/>
        <v>0</v>
      </c>
      <c r="AA29">
        <v>0</v>
      </c>
      <c r="AB29">
        <f t="shared" si="12"/>
        <v>0</v>
      </c>
      <c r="AC29">
        <f t="shared" si="26"/>
        <v>0</v>
      </c>
      <c r="AD29">
        <f t="shared" si="26"/>
        <v>0</v>
      </c>
      <c r="AE29">
        <f t="shared" si="26"/>
        <v>0</v>
      </c>
      <c r="AF29">
        <f t="shared" si="26"/>
        <v>0</v>
      </c>
      <c r="AG29">
        <f t="shared" si="26"/>
        <v>0</v>
      </c>
      <c r="AH29">
        <f t="shared" si="26"/>
        <v>0</v>
      </c>
      <c r="AI29">
        <f t="shared" si="26"/>
        <v>0</v>
      </c>
      <c r="AJ29">
        <f t="shared" si="26"/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1.0669999999999999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3</v>
      </c>
      <c r="BM29">
        <v>1117</v>
      </c>
      <c r="BN29">
        <v>0</v>
      </c>
      <c r="BO29" t="s">
        <v>3</v>
      </c>
      <c r="BP29">
        <v>0</v>
      </c>
      <c r="BQ29">
        <v>30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0</v>
      </c>
      <c r="CA29">
        <v>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14"/>
        <v>0</v>
      </c>
      <c r="CQ29">
        <f t="shared" si="15"/>
        <v>0</v>
      </c>
      <c r="CR29">
        <f t="shared" si="16"/>
        <v>0</v>
      </c>
      <c r="CS29">
        <f t="shared" si="17"/>
        <v>0</v>
      </c>
      <c r="CT29">
        <f t="shared" si="18"/>
        <v>0</v>
      </c>
      <c r="CU29">
        <f t="shared" si="19"/>
        <v>0</v>
      </c>
      <c r="CV29">
        <f t="shared" si="20"/>
        <v>0</v>
      </c>
      <c r="CW29">
        <f t="shared" si="21"/>
        <v>0</v>
      </c>
      <c r="CX29">
        <f t="shared" si="21"/>
        <v>0</v>
      </c>
      <c r="CY29">
        <f t="shared" si="22"/>
        <v>0</v>
      </c>
      <c r="CZ29">
        <f t="shared" si="23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125</v>
      </c>
      <c r="DO29">
        <v>94</v>
      </c>
      <c r="DP29">
        <v>1.0669999999999999</v>
      </c>
      <c r="DQ29">
        <v>1</v>
      </c>
      <c r="DR29">
        <v>1</v>
      </c>
      <c r="DS29">
        <v>1</v>
      </c>
      <c r="DT29">
        <v>1</v>
      </c>
      <c r="DU29">
        <v>1010</v>
      </c>
      <c r="DV29" t="s">
        <v>35</v>
      </c>
      <c r="DW29" t="s">
        <v>35</v>
      </c>
      <c r="DX29">
        <v>1</v>
      </c>
      <c r="EE29">
        <v>18004081</v>
      </c>
      <c r="EF29">
        <v>30</v>
      </c>
      <c r="EG29" t="s">
        <v>39</v>
      </c>
      <c r="EH29">
        <v>0</v>
      </c>
      <c r="EI29" t="s">
        <v>3</v>
      </c>
      <c r="EJ29">
        <v>1</v>
      </c>
      <c r="EK29">
        <v>1117</v>
      </c>
      <c r="EL29" t="s">
        <v>40</v>
      </c>
      <c r="EM29" t="s">
        <v>41</v>
      </c>
      <c r="EO29" t="s">
        <v>3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0</v>
      </c>
      <c r="FQ29">
        <v>0</v>
      </c>
      <c r="FR29">
        <f t="shared" si="24"/>
        <v>0</v>
      </c>
      <c r="FS29">
        <v>0</v>
      </c>
      <c r="FX29">
        <v>0</v>
      </c>
      <c r="FY29">
        <v>0</v>
      </c>
    </row>
    <row r="30" spans="1:181">
      <c r="A30">
        <v>17</v>
      </c>
      <c r="B30">
        <v>1</v>
      </c>
      <c r="E30" t="s">
        <v>48</v>
      </c>
      <c r="F30" t="s">
        <v>49</v>
      </c>
      <c r="G30" t="s">
        <v>50</v>
      </c>
      <c r="H30" t="s">
        <v>16</v>
      </c>
      <c r="I30">
        <v>0.01</v>
      </c>
      <c r="J30">
        <v>0</v>
      </c>
      <c r="O30">
        <f t="shared" si="2"/>
        <v>77.13</v>
      </c>
      <c r="P30">
        <f t="shared" si="3"/>
        <v>1.23</v>
      </c>
      <c r="Q30">
        <f t="shared" si="4"/>
        <v>1.89</v>
      </c>
      <c r="R30">
        <f t="shared" si="5"/>
        <v>0.2</v>
      </c>
      <c r="S30">
        <f t="shared" si="6"/>
        <v>74.010000000000005</v>
      </c>
      <c r="T30">
        <f t="shared" si="7"/>
        <v>0</v>
      </c>
      <c r="U30">
        <f t="shared" si="8"/>
        <v>0.44826781499999996</v>
      </c>
      <c r="V30">
        <f t="shared" si="9"/>
        <v>0</v>
      </c>
      <c r="W30">
        <f t="shared" si="10"/>
        <v>0</v>
      </c>
      <c r="X30">
        <f t="shared" si="11"/>
        <v>75.489999999999995</v>
      </c>
      <c r="Y30">
        <f t="shared" si="11"/>
        <v>33.299999999999997</v>
      </c>
      <c r="AA30">
        <v>0</v>
      </c>
      <c r="AB30">
        <f t="shared" si="12"/>
        <v>603.1434999999999</v>
      </c>
      <c r="AC30">
        <f>(ES30)</f>
        <v>26.88</v>
      </c>
      <c r="AD30">
        <f>((ET30*1.25))</f>
        <v>19.675000000000001</v>
      </c>
      <c r="AE30">
        <f>((EU30*1.25))</f>
        <v>1.4749999999999999</v>
      </c>
      <c r="AF30">
        <f>((EV30*1.15))</f>
        <v>556.58849999999995</v>
      </c>
      <c r="AG30">
        <f>(AP30)</f>
        <v>0</v>
      </c>
      <c r="AH30">
        <f>((EW30*1.15))</f>
        <v>42.814499999999995</v>
      </c>
      <c r="AI30">
        <f>((EX30*1.25))</f>
        <v>0</v>
      </c>
      <c r="AJ30">
        <f>(AS30)</f>
        <v>0</v>
      </c>
      <c r="AK30">
        <v>526.61</v>
      </c>
      <c r="AL30">
        <v>26.88</v>
      </c>
      <c r="AM30">
        <v>15.74</v>
      </c>
      <c r="AN30">
        <v>1.18</v>
      </c>
      <c r="AO30">
        <v>483.99</v>
      </c>
      <c r="AP30">
        <v>0</v>
      </c>
      <c r="AQ30">
        <v>37.229999999999997</v>
      </c>
      <c r="AR30">
        <v>0</v>
      </c>
      <c r="AS30">
        <v>0</v>
      </c>
      <c r="AT30">
        <v>102</v>
      </c>
      <c r="AU30">
        <v>45</v>
      </c>
      <c r="AV30">
        <v>1.0469999999999999</v>
      </c>
      <c r="AW30">
        <v>1</v>
      </c>
      <c r="AX30">
        <v>1</v>
      </c>
      <c r="AY30">
        <v>1</v>
      </c>
      <c r="AZ30">
        <v>12.7</v>
      </c>
      <c r="BA30">
        <v>12.7</v>
      </c>
      <c r="BB30">
        <v>9.17</v>
      </c>
      <c r="BC30">
        <v>4.5599999999999996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51</v>
      </c>
      <c r="BM30">
        <v>333</v>
      </c>
      <c r="BN30">
        <v>0</v>
      </c>
      <c r="BO30" t="s">
        <v>49</v>
      </c>
      <c r="BP30">
        <v>1</v>
      </c>
      <c r="BQ30">
        <v>40</v>
      </c>
      <c r="BR30">
        <v>0</v>
      </c>
      <c r="BS30">
        <v>12.7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102</v>
      </c>
      <c r="CA30">
        <v>45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14"/>
        <v>77.13000000000001</v>
      </c>
      <c r="CQ30">
        <f t="shared" si="15"/>
        <v>122.57279999999999</v>
      </c>
      <c r="CR30">
        <f t="shared" si="16"/>
        <v>188.89947824999999</v>
      </c>
      <c r="CS30">
        <f t="shared" si="17"/>
        <v>19.612927499999994</v>
      </c>
      <c r="CT30">
        <f t="shared" si="18"/>
        <v>7400.901625649999</v>
      </c>
      <c r="CU30">
        <f t="shared" si="19"/>
        <v>0</v>
      </c>
      <c r="CV30">
        <f t="shared" si="20"/>
        <v>44.826781499999996</v>
      </c>
      <c r="CW30">
        <f t="shared" si="21"/>
        <v>0</v>
      </c>
      <c r="CX30">
        <f t="shared" si="21"/>
        <v>0</v>
      </c>
      <c r="CY30">
        <f t="shared" si="22"/>
        <v>75.490200000000002</v>
      </c>
      <c r="CZ30">
        <f t="shared" si="23"/>
        <v>33.304500000000004</v>
      </c>
      <c r="DC30" t="s">
        <v>3</v>
      </c>
      <c r="DD30" t="s">
        <v>3</v>
      </c>
      <c r="DE30" t="s">
        <v>37</v>
      </c>
      <c r="DF30" t="s">
        <v>37</v>
      </c>
      <c r="DG30" t="s">
        <v>38</v>
      </c>
      <c r="DH30" t="s">
        <v>3</v>
      </c>
      <c r="DI30" t="s">
        <v>38</v>
      </c>
      <c r="DJ30" t="s">
        <v>37</v>
      </c>
      <c r="DK30" t="s">
        <v>3</v>
      </c>
      <c r="DL30" t="s">
        <v>3</v>
      </c>
      <c r="DM30" t="s">
        <v>3</v>
      </c>
      <c r="DN30">
        <v>112</v>
      </c>
      <c r="DO30">
        <v>70</v>
      </c>
      <c r="DP30">
        <v>1.0469999999999999</v>
      </c>
      <c r="DQ30">
        <v>1</v>
      </c>
      <c r="DR30">
        <v>1</v>
      </c>
      <c r="DS30">
        <v>1</v>
      </c>
      <c r="DT30">
        <v>1</v>
      </c>
      <c r="DU30">
        <v>1010</v>
      </c>
      <c r="DV30" t="s">
        <v>16</v>
      </c>
      <c r="DW30" t="s">
        <v>16</v>
      </c>
      <c r="DX30">
        <v>100</v>
      </c>
      <c r="EE30">
        <v>18003297</v>
      </c>
      <c r="EF30">
        <v>40</v>
      </c>
      <c r="EG30" t="s">
        <v>52</v>
      </c>
      <c r="EH30">
        <v>0</v>
      </c>
      <c r="EI30" t="s">
        <v>3</v>
      </c>
      <c r="EJ30">
        <v>2</v>
      </c>
      <c r="EK30">
        <v>333</v>
      </c>
      <c r="EL30" t="s">
        <v>53</v>
      </c>
      <c r="EM30" t="s">
        <v>54</v>
      </c>
      <c r="EO30" t="s">
        <v>3</v>
      </c>
      <c r="EQ30">
        <v>0</v>
      </c>
      <c r="ER30">
        <v>526.61</v>
      </c>
      <c r="ES30">
        <v>26.88</v>
      </c>
      <c r="ET30">
        <v>15.74</v>
      </c>
      <c r="EU30">
        <v>1.18</v>
      </c>
      <c r="EV30">
        <v>483.99</v>
      </c>
      <c r="EW30">
        <v>37.229999999999997</v>
      </c>
      <c r="EX30">
        <v>0</v>
      </c>
      <c r="EY30">
        <v>0</v>
      </c>
      <c r="EZ30">
        <v>0</v>
      </c>
      <c r="FQ30">
        <v>0</v>
      </c>
      <c r="FR30">
        <f t="shared" si="24"/>
        <v>0</v>
      </c>
      <c r="FS30">
        <v>0</v>
      </c>
      <c r="FX30">
        <v>102</v>
      </c>
      <c r="FY30">
        <v>45</v>
      </c>
    </row>
    <row r="31" spans="1:181">
      <c r="A31">
        <v>17</v>
      </c>
      <c r="B31">
        <v>1</v>
      </c>
      <c r="E31" t="s">
        <v>55</v>
      </c>
      <c r="F31" t="s">
        <v>56</v>
      </c>
      <c r="G31" t="s">
        <v>57</v>
      </c>
      <c r="H31" t="s">
        <v>16</v>
      </c>
      <c r="I31">
        <v>0.01</v>
      </c>
      <c r="J31">
        <v>0</v>
      </c>
      <c r="O31">
        <f t="shared" si="2"/>
        <v>71.12</v>
      </c>
      <c r="P31">
        <f t="shared" si="3"/>
        <v>1.27</v>
      </c>
      <c r="Q31">
        <f t="shared" si="4"/>
        <v>0.27</v>
      </c>
      <c r="R31">
        <f t="shared" si="5"/>
        <v>0.1</v>
      </c>
      <c r="S31">
        <f t="shared" si="6"/>
        <v>69.58</v>
      </c>
      <c r="T31">
        <f t="shared" si="7"/>
        <v>0</v>
      </c>
      <c r="U31">
        <f t="shared" si="8"/>
        <v>0.42141749999999994</v>
      </c>
      <c r="V31">
        <f t="shared" si="9"/>
        <v>0</v>
      </c>
      <c r="W31">
        <f t="shared" si="10"/>
        <v>0</v>
      </c>
      <c r="X31">
        <f t="shared" si="11"/>
        <v>70.97</v>
      </c>
      <c r="Y31">
        <f t="shared" si="11"/>
        <v>31.31</v>
      </c>
      <c r="AA31">
        <v>0</v>
      </c>
      <c r="AB31">
        <f t="shared" si="12"/>
        <v>554.49749999999995</v>
      </c>
      <c r="AC31">
        <f>(ES31)</f>
        <v>27.86</v>
      </c>
      <c r="AD31">
        <f>((ET31*1.25))</f>
        <v>3.3875000000000002</v>
      </c>
      <c r="AE31">
        <f>((EU31*1.25))</f>
        <v>0.78749999999999998</v>
      </c>
      <c r="AF31">
        <f>((EV31*1.15))</f>
        <v>523.25</v>
      </c>
      <c r="AG31">
        <f>(AP31)</f>
        <v>0</v>
      </c>
      <c r="AH31">
        <f>((EW31*1.15))</f>
        <v>40.25</v>
      </c>
      <c r="AI31">
        <f>((EX31*1.25))</f>
        <v>0</v>
      </c>
      <c r="AJ31">
        <f>(AS31)</f>
        <v>0</v>
      </c>
      <c r="AK31">
        <v>485.57</v>
      </c>
      <c r="AL31">
        <v>27.86</v>
      </c>
      <c r="AM31">
        <v>2.71</v>
      </c>
      <c r="AN31">
        <v>0.63</v>
      </c>
      <c r="AO31">
        <v>455</v>
      </c>
      <c r="AP31">
        <v>0</v>
      </c>
      <c r="AQ31">
        <v>35</v>
      </c>
      <c r="AR31">
        <v>0</v>
      </c>
      <c r="AS31">
        <v>0</v>
      </c>
      <c r="AT31">
        <v>102</v>
      </c>
      <c r="AU31">
        <v>45</v>
      </c>
      <c r="AV31">
        <v>1.0469999999999999</v>
      </c>
      <c r="AW31">
        <v>1</v>
      </c>
      <c r="AX31">
        <v>1</v>
      </c>
      <c r="AY31">
        <v>1</v>
      </c>
      <c r="AZ31">
        <v>12.7</v>
      </c>
      <c r="BA31">
        <v>12.7</v>
      </c>
      <c r="BB31">
        <v>7.58</v>
      </c>
      <c r="BC31">
        <v>4.5599999999999996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2</v>
      </c>
      <c r="BJ31" t="s">
        <v>58</v>
      </c>
      <c r="BM31">
        <v>333</v>
      </c>
      <c r="BN31">
        <v>0</v>
      </c>
      <c r="BO31" t="s">
        <v>56</v>
      </c>
      <c r="BP31">
        <v>1</v>
      </c>
      <c r="BQ31">
        <v>40</v>
      </c>
      <c r="BR31">
        <v>0</v>
      </c>
      <c r="BS31">
        <v>12.7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102</v>
      </c>
      <c r="CA31">
        <v>45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14"/>
        <v>71.12</v>
      </c>
      <c r="CQ31">
        <f t="shared" si="15"/>
        <v>127.04159999999999</v>
      </c>
      <c r="CR31">
        <f t="shared" si="16"/>
        <v>26.884080749999999</v>
      </c>
      <c r="CS31">
        <f t="shared" si="17"/>
        <v>10.471308749999999</v>
      </c>
      <c r="CT31">
        <f t="shared" si="18"/>
        <v>6957.6029249999983</v>
      </c>
      <c r="CU31">
        <f t="shared" si="19"/>
        <v>0</v>
      </c>
      <c r="CV31">
        <f t="shared" si="20"/>
        <v>42.141749999999995</v>
      </c>
      <c r="CW31">
        <f t="shared" si="21"/>
        <v>0</v>
      </c>
      <c r="CX31">
        <f t="shared" si="21"/>
        <v>0</v>
      </c>
      <c r="CY31">
        <f t="shared" si="22"/>
        <v>70.971599999999995</v>
      </c>
      <c r="CZ31">
        <f t="shared" si="23"/>
        <v>31.311</v>
      </c>
      <c r="DC31" t="s">
        <v>3</v>
      </c>
      <c r="DD31" t="s">
        <v>3</v>
      </c>
      <c r="DE31" t="s">
        <v>37</v>
      </c>
      <c r="DF31" t="s">
        <v>37</v>
      </c>
      <c r="DG31" t="s">
        <v>38</v>
      </c>
      <c r="DH31" t="s">
        <v>3</v>
      </c>
      <c r="DI31" t="s">
        <v>38</v>
      </c>
      <c r="DJ31" t="s">
        <v>37</v>
      </c>
      <c r="DK31" t="s">
        <v>3</v>
      </c>
      <c r="DL31" t="s">
        <v>3</v>
      </c>
      <c r="DM31" t="s">
        <v>3</v>
      </c>
      <c r="DN31">
        <v>112</v>
      </c>
      <c r="DO31">
        <v>70</v>
      </c>
      <c r="DP31">
        <v>1.0469999999999999</v>
      </c>
      <c r="DQ31">
        <v>1</v>
      </c>
      <c r="DR31">
        <v>1</v>
      </c>
      <c r="DS31">
        <v>1</v>
      </c>
      <c r="DT31">
        <v>1</v>
      </c>
      <c r="DU31">
        <v>1010</v>
      </c>
      <c r="DV31" t="s">
        <v>16</v>
      </c>
      <c r="DW31" t="s">
        <v>16</v>
      </c>
      <c r="DX31">
        <v>100</v>
      </c>
      <c r="EE31">
        <v>18003297</v>
      </c>
      <c r="EF31">
        <v>40</v>
      </c>
      <c r="EG31" t="s">
        <v>52</v>
      </c>
      <c r="EH31">
        <v>0</v>
      </c>
      <c r="EI31" t="s">
        <v>3</v>
      </c>
      <c r="EJ31">
        <v>2</v>
      </c>
      <c r="EK31">
        <v>333</v>
      </c>
      <c r="EL31" t="s">
        <v>53</v>
      </c>
      <c r="EM31" t="s">
        <v>54</v>
      </c>
      <c r="EO31" t="s">
        <v>3</v>
      </c>
      <c r="EQ31">
        <v>0</v>
      </c>
      <c r="ER31">
        <v>485.57</v>
      </c>
      <c r="ES31">
        <v>27.86</v>
      </c>
      <c r="ET31">
        <v>2.71</v>
      </c>
      <c r="EU31">
        <v>0.63</v>
      </c>
      <c r="EV31">
        <v>455</v>
      </c>
      <c r="EW31">
        <v>35</v>
      </c>
      <c r="EX31">
        <v>0</v>
      </c>
      <c r="EY31">
        <v>0</v>
      </c>
      <c r="EZ31">
        <v>0</v>
      </c>
      <c r="FQ31">
        <v>0</v>
      </c>
      <c r="FR31">
        <f t="shared" si="24"/>
        <v>0</v>
      </c>
      <c r="FS31">
        <v>0</v>
      </c>
      <c r="FX31">
        <v>102</v>
      </c>
      <c r="FY31">
        <v>45</v>
      </c>
    </row>
    <row r="33" spans="1:43">
      <c r="A33" s="2">
        <v>51</v>
      </c>
      <c r="B33" s="2">
        <f>B20</f>
        <v>1</v>
      </c>
      <c r="C33" s="2">
        <f>A20</f>
        <v>3</v>
      </c>
      <c r="D33" s="2">
        <f>ROW(A20)</f>
        <v>20</v>
      </c>
      <c r="E33" s="2"/>
      <c r="F33" s="2" t="str">
        <f>IF(F20&lt;&gt;"",F20,"")</f>
        <v>Новая локальная смета</v>
      </c>
      <c r="G33" s="2" t="str">
        <f>IF(G20&lt;&gt;"",G20,"")</f>
        <v>Новая локальная смета</v>
      </c>
      <c r="H33" s="2"/>
      <c r="I33" s="2"/>
      <c r="J33" s="2"/>
      <c r="K33" s="2"/>
      <c r="L33" s="2"/>
      <c r="M33" s="2"/>
      <c r="N33" s="2"/>
      <c r="O33" s="2">
        <f t="shared" ref="O33:Y33" si="27">ROUND(AB33,2)</f>
        <v>1097.53</v>
      </c>
      <c r="P33" s="2">
        <f t="shared" si="27"/>
        <v>22.82</v>
      </c>
      <c r="Q33" s="2">
        <f t="shared" si="27"/>
        <v>3.61</v>
      </c>
      <c r="R33" s="2">
        <f t="shared" si="27"/>
        <v>0.64</v>
      </c>
      <c r="S33" s="2">
        <f t="shared" si="27"/>
        <v>1071.0999999999999</v>
      </c>
      <c r="T33" s="2">
        <f t="shared" si="27"/>
        <v>0</v>
      </c>
      <c r="U33" s="2">
        <f t="shared" si="27"/>
        <v>7</v>
      </c>
      <c r="V33" s="2">
        <f t="shared" si="27"/>
        <v>0</v>
      </c>
      <c r="W33" s="2">
        <f t="shared" si="27"/>
        <v>0</v>
      </c>
      <c r="X33" s="2">
        <f t="shared" si="27"/>
        <v>1132.1099999999999</v>
      </c>
      <c r="Y33" s="2">
        <f t="shared" si="27"/>
        <v>522.41</v>
      </c>
      <c r="Z33" s="2"/>
      <c r="AA33" s="2"/>
      <c r="AB33" s="2">
        <f>ROUND(SUMIF(AA24:AA31,"=0",O24:O31),2)</f>
        <v>1097.53</v>
      </c>
      <c r="AC33" s="2">
        <f>ROUND(SUMIF(AA24:AA31,"=0",P24:P31),2)</f>
        <v>22.82</v>
      </c>
      <c r="AD33" s="2">
        <f>ROUND(SUMIF(AA24:AA31,"=0",Q24:Q31),2)</f>
        <v>3.61</v>
      </c>
      <c r="AE33" s="2">
        <f>ROUND(SUMIF(AA24:AA31,"=0",R24:R31),2)</f>
        <v>0.64</v>
      </c>
      <c r="AF33" s="2">
        <f>ROUND(SUMIF(AA24:AA31,"=0",S24:S31),2)</f>
        <v>1071.0999999999999</v>
      </c>
      <c r="AG33" s="2">
        <f>ROUND(SUMIF(AA24:AA31,"=0",T24:T31),2)</f>
        <v>0</v>
      </c>
      <c r="AH33" s="2">
        <f>ROUND(SUMIF(AA24:AA31,"=0",U24:U31),2)</f>
        <v>7</v>
      </c>
      <c r="AI33" s="2">
        <f>ROUND(SUMIF(AA24:AA31,"=0",V24:V31),2)</f>
        <v>0</v>
      </c>
      <c r="AJ33" s="2">
        <f>ROUND(SUMIF(AA24:AA31,"=0",W24:W31),2)</f>
        <v>0</v>
      </c>
      <c r="AK33" s="2">
        <f>ROUND(SUMIF(AA24:AA31,"=0",X24:X31),2)</f>
        <v>1132.1099999999999</v>
      </c>
      <c r="AL33" s="2">
        <f>ROUND(SUMIF(AA24:AA31,"=0",Y24:Y31),2)</f>
        <v>522.41</v>
      </c>
      <c r="AM33" s="2"/>
      <c r="AN33" s="2">
        <f>ROUND(AO33,2)</f>
        <v>0</v>
      </c>
      <c r="AO33" s="2">
        <f>ROUND(SUMIF(AA24:AA31,"=0",FQ24:FQ31),2)</f>
        <v>0</v>
      </c>
      <c r="AP33" s="2">
        <f>ROUND(AQ33,2)</f>
        <v>0</v>
      </c>
      <c r="AQ33" s="2">
        <f>ROUND(SUM(FR24:FR31),2)</f>
        <v>0</v>
      </c>
    </row>
    <row r="35" spans="1:43">
      <c r="A35" s="3">
        <v>50</v>
      </c>
      <c r="B35" s="3">
        <v>0</v>
      </c>
      <c r="C35" s="3">
        <v>0</v>
      </c>
      <c r="D35" s="3">
        <v>1</v>
      </c>
      <c r="E35" s="3">
        <v>201</v>
      </c>
      <c r="F35" s="3">
        <f>Source!O33</f>
        <v>1097.53</v>
      </c>
      <c r="G35" s="3" t="s">
        <v>59</v>
      </c>
      <c r="H35" s="3" t="s">
        <v>60</v>
      </c>
      <c r="I35" s="3"/>
      <c r="J35" s="3"/>
      <c r="K35" s="3">
        <v>201</v>
      </c>
      <c r="L35" s="3">
        <v>1</v>
      </c>
      <c r="M35" s="3">
        <v>3</v>
      </c>
      <c r="N35" s="3" t="s">
        <v>3</v>
      </c>
    </row>
    <row r="36" spans="1:43">
      <c r="A36" s="3">
        <v>50</v>
      </c>
      <c r="B36" s="3">
        <v>0</v>
      </c>
      <c r="C36" s="3">
        <v>0</v>
      </c>
      <c r="D36" s="3">
        <v>1</v>
      </c>
      <c r="E36" s="3">
        <v>202</v>
      </c>
      <c r="F36" s="3">
        <f>Source!P33</f>
        <v>22.82</v>
      </c>
      <c r="G36" s="3" t="s">
        <v>61</v>
      </c>
      <c r="H36" s="3" t="s">
        <v>62</v>
      </c>
      <c r="I36" s="3"/>
      <c r="J36" s="3"/>
      <c r="K36" s="3">
        <v>202</v>
      </c>
      <c r="L36" s="3">
        <v>2</v>
      </c>
      <c r="M36" s="3">
        <v>3</v>
      </c>
      <c r="N36" s="3" t="s">
        <v>3</v>
      </c>
    </row>
    <row r="37" spans="1:43">
      <c r="A37" s="3">
        <v>50</v>
      </c>
      <c r="B37" s="3">
        <v>0</v>
      </c>
      <c r="C37" s="3">
        <v>0</v>
      </c>
      <c r="D37" s="3">
        <v>1</v>
      </c>
      <c r="E37" s="3">
        <v>222</v>
      </c>
      <c r="F37" s="3">
        <f>Source!AN33</f>
        <v>0</v>
      </c>
      <c r="G37" s="3" t="s">
        <v>63</v>
      </c>
      <c r="H37" s="3" t="s">
        <v>64</v>
      </c>
      <c r="I37" s="3"/>
      <c r="J37" s="3"/>
      <c r="K37" s="3">
        <v>222</v>
      </c>
      <c r="L37" s="3">
        <v>3</v>
      </c>
      <c r="M37" s="3">
        <v>3</v>
      </c>
      <c r="N37" s="3" t="s">
        <v>3</v>
      </c>
    </row>
    <row r="38" spans="1:43">
      <c r="A38" s="3">
        <v>50</v>
      </c>
      <c r="B38" s="3">
        <v>0</v>
      </c>
      <c r="C38" s="3">
        <v>0</v>
      </c>
      <c r="D38" s="3">
        <v>1</v>
      </c>
      <c r="E38" s="3">
        <v>216</v>
      </c>
      <c r="F38" s="3">
        <f>Source!AP33</f>
        <v>0</v>
      </c>
      <c r="G38" s="3" t="s">
        <v>65</v>
      </c>
      <c r="H38" s="3" t="s">
        <v>66</v>
      </c>
      <c r="I38" s="3"/>
      <c r="J38" s="3"/>
      <c r="K38" s="3">
        <v>216</v>
      </c>
      <c r="L38" s="3">
        <v>4</v>
      </c>
      <c r="M38" s="3">
        <v>3</v>
      </c>
      <c r="N38" s="3" t="s">
        <v>3</v>
      </c>
    </row>
    <row r="39" spans="1:43">
      <c r="A39" s="3">
        <v>50</v>
      </c>
      <c r="B39" s="3">
        <v>0</v>
      </c>
      <c r="C39" s="3">
        <v>0</v>
      </c>
      <c r="D39" s="3">
        <v>1</v>
      </c>
      <c r="E39" s="3">
        <v>203</v>
      </c>
      <c r="F39" s="3">
        <f>Source!Q33</f>
        <v>3.61</v>
      </c>
      <c r="G39" s="3" t="s">
        <v>67</v>
      </c>
      <c r="H39" s="3" t="s">
        <v>68</v>
      </c>
      <c r="I39" s="3"/>
      <c r="J39" s="3"/>
      <c r="K39" s="3">
        <v>203</v>
      </c>
      <c r="L39" s="3">
        <v>5</v>
      </c>
      <c r="M39" s="3">
        <v>3</v>
      </c>
      <c r="N39" s="3" t="s">
        <v>3</v>
      </c>
    </row>
    <row r="40" spans="1:43">
      <c r="A40" s="3">
        <v>50</v>
      </c>
      <c r="B40" s="3">
        <v>0</v>
      </c>
      <c r="C40" s="3">
        <v>0</v>
      </c>
      <c r="D40" s="3">
        <v>1</v>
      </c>
      <c r="E40" s="3">
        <v>204</v>
      </c>
      <c r="F40" s="3">
        <f>Source!R33</f>
        <v>0.64</v>
      </c>
      <c r="G40" s="3" t="s">
        <v>69</v>
      </c>
      <c r="H40" s="3" t="s">
        <v>70</v>
      </c>
      <c r="I40" s="3"/>
      <c r="J40" s="3"/>
      <c r="K40" s="3">
        <v>204</v>
      </c>
      <c r="L40" s="3">
        <v>6</v>
      </c>
      <c r="M40" s="3">
        <v>3</v>
      </c>
      <c r="N40" s="3" t="s">
        <v>3</v>
      </c>
    </row>
    <row r="41" spans="1:43">
      <c r="A41" s="3">
        <v>50</v>
      </c>
      <c r="B41" s="3">
        <v>0</v>
      </c>
      <c r="C41" s="3">
        <v>0</v>
      </c>
      <c r="D41" s="3">
        <v>1</v>
      </c>
      <c r="E41" s="3">
        <v>205</v>
      </c>
      <c r="F41" s="3">
        <f>Source!S33</f>
        <v>1071.0999999999999</v>
      </c>
      <c r="G41" s="3" t="s">
        <v>71</v>
      </c>
      <c r="H41" s="3" t="s">
        <v>72</v>
      </c>
      <c r="I41" s="3"/>
      <c r="J41" s="3"/>
      <c r="K41" s="3">
        <v>205</v>
      </c>
      <c r="L41" s="3">
        <v>7</v>
      </c>
      <c r="M41" s="3">
        <v>3</v>
      </c>
      <c r="N41" s="3" t="s">
        <v>3</v>
      </c>
    </row>
    <row r="42" spans="1:43">
      <c r="A42" s="3">
        <v>50</v>
      </c>
      <c r="B42" s="3">
        <v>0</v>
      </c>
      <c r="C42" s="3">
        <v>0</v>
      </c>
      <c r="D42" s="3">
        <v>1</v>
      </c>
      <c r="E42" s="3">
        <v>206</v>
      </c>
      <c r="F42" s="3">
        <f>Source!T33</f>
        <v>0</v>
      </c>
      <c r="G42" s="3" t="s">
        <v>73</v>
      </c>
      <c r="H42" s="3" t="s">
        <v>74</v>
      </c>
      <c r="I42" s="3"/>
      <c r="J42" s="3"/>
      <c r="K42" s="3">
        <v>206</v>
      </c>
      <c r="L42" s="3">
        <v>8</v>
      </c>
      <c r="M42" s="3">
        <v>3</v>
      </c>
      <c r="N42" s="3" t="s">
        <v>3</v>
      </c>
    </row>
    <row r="43" spans="1:43">
      <c r="A43" s="3">
        <v>50</v>
      </c>
      <c r="B43" s="3">
        <v>0</v>
      </c>
      <c r="C43" s="3">
        <v>0</v>
      </c>
      <c r="D43" s="3">
        <v>1</v>
      </c>
      <c r="E43" s="3">
        <v>207</v>
      </c>
      <c r="F43" s="3">
        <f>Source!U33</f>
        <v>7</v>
      </c>
      <c r="G43" s="3" t="s">
        <v>75</v>
      </c>
      <c r="H43" s="3" t="s">
        <v>76</v>
      </c>
      <c r="I43" s="3"/>
      <c r="J43" s="3"/>
      <c r="K43" s="3">
        <v>207</v>
      </c>
      <c r="L43" s="3">
        <v>9</v>
      </c>
      <c r="M43" s="3">
        <v>3</v>
      </c>
      <c r="N43" s="3" t="s">
        <v>3</v>
      </c>
    </row>
    <row r="44" spans="1:43">
      <c r="A44" s="3">
        <v>50</v>
      </c>
      <c r="B44" s="3">
        <v>0</v>
      </c>
      <c r="C44" s="3">
        <v>0</v>
      </c>
      <c r="D44" s="3">
        <v>1</v>
      </c>
      <c r="E44" s="3">
        <v>208</v>
      </c>
      <c r="F44" s="3">
        <f>Source!V33</f>
        <v>0</v>
      </c>
      <c r="G44" s="3" t="s">
        <v>77</v>
      </c>
      <c r="H44" s="3" t="s">
        <v>78</v>
      </c>
      <c r="I44" s="3"/>
      <c r="J44" s="3"/>
      <c r="K44" s="3">
        <v>208</v>
      </c>
      <c r="L44" s="3">
        <v>10</v>
      </c>
      <c r="M44" s="3">
        <v>3</v>
      </c>
      <c r="N44" s="3" t="s">
        <v>3</v>
      </c>
    </row>
    <row r="45" spans="1:43">
      <c r="A45" s="3">
        <v>50</v>
      </c>
      <c r="B45" s="3">
        <v>0</v>
      </c>
      <c r="C45" s="3">
        <v>0</v>
      </c>
      <c r="D45" s="3">
        <v>1</v>
      </c>
      <c r="E45" s="3">
        <v>209</v>
      </c>
      <c r="F45" s="3">
        <f>Source!W33</f>
        <v>0</v>
      </c>
      <c r="G45" s="3" t="s">
        <v>79</v>
      </c>
      <c r="H45" s="3" t="s">
        <v>80</v>
      </c>
      <c r="I45" s="3"/>
      <c r="J45" s="3"/>
      <c r="K45" s="3">
        <v>209</v>
      </c>
      <c r="L45" s="3">
        <v>11</v>
      </c>
      <c r="M45" s="3">
        <v>3</v>
      </c>
      <c r="N45" s="3" t="s">
        <v>3</v>
      </c>
    </row>
    <row r="46" spans="1:43">
      <c r="A46" s="3">
        <v>50</v>
      </c>
      <c r="B46" s="3">
        <v>0</v>
      </c>
      <c r="C46" s="3">
        <v>0</v>
      </c>
      <c r="D46" s="3">
        <v>1</v>
      </c>
      <c r="E46" s="3">
        <v>210</v>
      </c>
      <c r="F46" s="3">
        <f>Source!X33</f>
        <v>1132.1099999999999</v>
      </c>
      <c r="G46" s="3" t="s">
        <v>81</v>
      </c>
      <c r="H46" s="3" t="s">
        <v>82</v>
      </c>
      <c r="I46" s="3"/>
      <c r="J46" s="3"/>
      <c r="K46" s="3">
        <v>210</v>
      </c>
      <c r="L46" s="3">
        <v>12</v>
      </c>
      <c r="M46" s="3">
        <v>3</v>
      </c>
      <c r="N46" s="3" t="s">
        <v>3</v>
      </c>
    </row>
    <row r="47" spans="1:43">
      <c r="A47" s="3">
        <v>50</v>
      </c>
      <c r="B47" s="3">
        <v>0</v>
      </c>
      <c r="C47" s="3">
        <v>0</v>
      </c>
      <c r="D47" s="3">
        <v>1</v>
      </c>
      <c r="E47" s="3">
        <v>211</v>
      </c>
      <c r="F47" s="3">
        <f>Source!Y33</f>
        <v>522.41</v>
      </c>
      <c r="G47" s="3" t="s">
        <v>83</v>
      </c>
      <c r="H47" s="3" t="s">
        <v>84</v>
      </c>
      <c r="I47" s="3"/>
      <c r="J47" s="3"/>
      <c r="K47" s="3">
        <v>211</v>
      </c>
      <c r="L47" s="3">
        <v>13</v>
      </c>
      <c r="M47" s="3">
        <v>3</v>
      </c>
      <c r="N47" s="3" t="s">
        <v>3</v>
      </c>
    </row>
    <row r="48" spans="1:43">
      <c r="A48" s="3">
        <v>50</v>
      </c>
      <c r="B48" s="3">
        <v>0</v>
      </c>
      <c r="C48" s="3">
        <v>0</v>
      </c>
      <c r="D48" s="3">
        <v>2</v>
      </c>
      <c r="E48" s="3">
        <v>0</v>
      </c>
      <c r="F48" s="3">
        <f>ROUND(Source!F40*1.78,2)</f>
        <v>1.1399999999999999</v>
      </c>
      <c r="G48" s="3" t="s">
        <v>85</v>
      </c>
      <c r="H48" s="3" t="s">
        <v>86</v>
      </c>
      <c r="I48" s="3"/>
      <c r="J48" s="3"/>
      <c r="K48" s="3">
        <v>212</v>
      </c>
      <c r="L48" s="3">
        <v>14</v>
      </c>
      <c r="M48" s="3">
        <v>3</v>
      </c>
      <c r="N48" s="3" t="s">
        <v>3</v>
      </c>
    </row>
    <row r="49" spans="1:43">
      <c r="A49" s="3">
        <v>50</v>
      </c>
      <c r="B49" s="3">
        <v>1</v>
      </c>
      <c r="C49" s="3">
        <v>0</v>
      </c>
      <c r="D49" s="3">
        <v>2</v>
      </c>
      <c r="E49" s="3">
        <v>0</v>
      </c>
      <c r="F49" s="3">
        <f>ROUND(Source!F35+Source!F46+Source!F47+Source!F48,2)</f>
        <v>2753.19</v>
      </c>
      <c r="G49" s="3" t="s">
        <v>87</v>
      </c>
      <c r="H49" s="3" t="s">
        <v>88</v>
      </c>
      <c r="I49" s="3"/>
      <c r="J49" s="3"/>
      <c r="K49" s="3">
        <v>212</v>
      </c>
      <c r="L49" s="3">
        <v>15</v>
      </c>
      <c r="M49" s="3">
        <v>0</v>
      </c>
      <c r="N49" s="3" t="s">
        <v>3</v>
      </c>
    </row>
    <row r="50" spans="1:43">
      <c r="A50" s="3">
        <v>50</v>
      </c>
      <c r="B50" s="3">
        <v>1</v>
      </c>
      <c r="C50" s="3">
        <v>0</v>
      </c>
      <c r="D50" s="3">
        <v>2</v>
      </c>
      <c r="E50" s="3">
        <v>0</v>
      </c>
      <c r="F50" s="3">
        <f>ROUND(Source!F49*0.18,2)</f>
        <v>495.57</v>
      </c>
      <c r="G50" s="3" t="s">
        <v>89</v>
      </c>
      <c r="H50" s="3" t="s">
        <v>90</v>
      </c>
      <c r="I50" s="3"/>
      <c r="J50" s="3"/>
      <c r="K50" s="3">
        <v>212</v>
      </c>
      <c r="L50" s="3">
        <v>16</v>
      </c>
      <c r="M50" s="3">
        <v>0</v>
      </c>
      <c r="N50" s="3" t="s">
        <v>3</v>
      </c>
    </row>
    <row r="51" spans="1:43">
      <c r="A51" s="3">
        <v>50</v>
      </c>
      <c r="B51" s="3">
        <v>1</v>
      </c>
      <c r="C51" s="3">
        <v>0</v>
      </c>
      <c r="D51" s="3">
        <v>2</v>
      </c>
      <c r="E51" s="3">
        <v>0</v>
      </c>
      <c r="F51" s="3">
        <f>ROUND(Source!F49+Source!F50,2)</f>
        <v>3248.76</v>
      </c>
      <c r="G51" s="3" t="s">
        <v>91</v>
      </c>
      <c r="H51" s="3" t="s">
        <v>92</v>
      </c>
      <c r="I51" s="3"/>
      <c r="J51" s="3"/>
      <c r="K51" s="3">
        <v>212</v>
      </c>
      <c r="L51" s="3">
        <v>17</v>
      </c>
      <c r="M51" s="3">
        <v>0</v>
      </c>
      <c r="N51" s="3" t="s">
        <v>3</v>
      </c>
    </row>
    <row r="53" spans="1:43">
      <c r="A53" s="2">
        <v>51</v>
      </c>
      <c r="B53" s="2">
        <f>B12</f>
        <v>1</v>
      </c>
      <c r="C53" s="2">
        <f>A12</f>
        <v>1</v>
      </c>
      <c r="D53" s="2">
        <f>ROW(A12)</f>
        <v>12</v>
      </c>
      <c r="E53" s="2"/>
      <c r="F53" s="2" t="str">
        <f>IF(F12&lt;&gt;"",F12,"")</f>
        <v>Новый объект</v>
      </c>
      <c r="G53" s="2" t="str">
        <f>IF(G12&lt;&gt;"",G12,"")</f>
        <v>Новый объект</v>
      </c>
      <c r="H53" s="2"/>
      <c r="I53" s="2"/>
      <c r="J53" s="2"/>
      <c r="K53" s="2"/>
      <c r="L53" s="2"/>
      <c r="M53" s="2"/>
      <c r="N53" s="2"/>
      <c r="O53" s="2">
        <f t="shared" ref="O53:Y53" si="28">ROUND(O33,2)</f>
        <v>1097.53</v>
      </c>
      <c r="P53" s="2">
        <f t="shared" si="28"/>
        <v>22.82</v>
      </c>
      <c r="Q53" s="2">
        <f t="shared" si="28"/>
        <v>3.61</v>
      </c>
      <c r="R53" s="2">
        <f t="shared" si="28"/>
        <v>0.64</v>
      </c>
      <c r="S53" s="2">
        <f t="shared" si="28"/>
        <v>1071.0999999999999</v>
      </c>
      <c r="T53" s="2">
        <f t="shared" si="28"/>
        <v>0</v>
      </c>
      <c r="U53" s="2">
        <f t="shared" si="28"/>
        <v>7</v>
      </c>
      <c r="V53" s="2">
        <f t="shared" si="28"/>
        <v>0</v>
      </c>
      <c r="W53" s="2">
        <f t="shared" si="28"/>
        <v>0</v>
      </c>
      <c r="X53" s="2">
        <f t="shared" si="28"/>
        <v>1132.1099999999999</v>
      </c>
      <c r="Y53" s="2">
        <f t="shared" si="28"/>
        <v>522.41</v>
      </c>
      <c r="Z53" s="2"/>
      <c r="AA53" s="2"/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/>
      <c r="AN53" s="2">
        <f>ROUND(AN33,2)</f>
        <v>0</v>
      </c>
      <c r="AO53" s="2">
        <v>0</v>
      </c>
      <c r="AP53" s="2">
        <f>ROUND(AP33,2)</f>
        <v>0</v>
      </c>
      <c r="AQ53" s="2">
        <v>0</v>
      </c>
    </row>
    <row r="55" spans="1:43">
      <c r="A55" s="3">
        <v>50</v>
      </c>
      <c r="B55" s="3">
        <v>0</v>
      </c>
      <c r="C55" s="3">
        <v>0</v>
      </c>
      <c r="D55" s="3">
        <v>1</v>
      </c>
      <c r="E55" s="3">
        <v>201</v>
      </c>
      <c r="F55" s="3">
        <f>Source!O53</f>
        <v>1097.53</v>
      </c>
      <c r="G55" s="3" t="s">
        <v>59</v>
      </c>
      <c r="H55" s="3" t="s">
        <v>60</v>
      </c>
      <c r="I55" s="3"/>
      <c r="J55" s="3"/>
      <c r="K55" s="3">
        <v>201</v>
      </c>
      <c r="L55" s="3">
        <v>1</v>
      </c>
      <c r="M55" s="3">
        <v>3</v>
      </c>
      <c r="N55" s="3" t="s">
        <v>3</v>
      </c>
    </row>
    <row r="56" spans="1:43">
      <c r="A56" s="3">
        <v>50</v>
      </c>
      <c r="B56" s="3">
        <v>0</v>
      </c>
      <c r="C56" s="3">
        <v>0</v>
      </c>
      <c r="D56" s="3">
        <v>1</v>
      </c>
      <c r="E56" s="3">
        <v>202</v>
      </c>
      <c r="F56" s="3">
        <f>Source!P53</f>
        <v>22.82</v>
      </c>
      <c r="G56" s="3" t="s">
        <v>61</v>
      </c>
      <c r="H56" s="3" t="s">
        <v>62</v>
      </c>
      <c r="I56" s="3"/>
      <c r="J56" s="3"/>
      <c r="K56" s="3">
        <v>202</v>
      </c>
      <c r="L56" s="3">
        <v>2</v>
      </c>
      <c r="M56" s="3">
        <v>3</v>
      </c>
      <c r="N56" s="3" t="s">
        <v>3</v>
      </c>
    </row>
    <row r="57" spans="1:43">
      <c r="A57" s="3">
        <v>50</v>
      </c>
      <c r="B57" s="3">
        <v>0</v>
      </c>
      <c r="C57" s="3">
        <v>0</v>
      </c>
      <c r="D57" s="3">
        <v>1</v>
      </c>
      <c r="E57" s="3">
        <v>222</v>
      </c>
      <c r="F57" s="3">
        <f>Source!AN53</f>
        <v>0</v>
      </c>
      <c r="G57" s="3" t="s">
        <v>63</v>
      </c>
      <c r="H57" s="3" t="s">
        <v>64</v>
      </c>
      <c r="I57" s="3"/>
      <c r="J57" s="3"/>
      <c r="K57" s="3">
        <v>222</v>
      </c>
      <c r="L57" s="3">
        <v>3</v>
      </c>
      <c r="M57" s="3">
        <v>3</v>
      </c>
      <c r="N57" s="3" t="s">
        <v>3</v>
      </c>
    </row>
    <row r="58" spans="1:43">
      <c r="A58" s="3">
        <v>50</v>
      </c>
      <c r="B58" s="3">
        <v>0</v>
      </c>
      <c r="C58" s="3">
        <v>0</v>
      </c>
      <c r="D58" s="3">
        <v>1</v>
      </c>
      <c r="E58" s="3">
        <v>216</v>
      </c>
      <c r="F58" s="3">
        <f>Source!AP53</f>
        <v>0</v>
      </c>
      <c r="G58" s="3" t="s">
        <v>65</v>
      </c>
      <c r="H58" s="3" t="s">
        <v>66</v>
      </c>
      <c r="I58" s="3"/>
      <c r="J58" s="3"/>
      <c r="K58" s="3">
        <v>216</v>
      </c>
      <c r="L58" s="3">
        <v>4</v>
      </c>
      <c r="M58" s="3">
        <v>3</v>
      </c>
      <c r="N58" s="3" t="s">
        <v>3</v>
      </c>
    </row>
    <row r="59" spans="1:43">
      <c r="A59" s="3">
        <v>50</v>
      </c>
      <c r="B59" s="3">
        <v>0</v>
      </c>
      <c r="C59" s="3">
        <v>0</v>
      </c>
      <c r="D59" s="3">
        <v>1</v>
      </c>
      <c r="E59" s="3">
        <v>203</v>
      </c>
      <c r="F59" s="3">
        <f>Source!Q53</f>
        <v>3.61</v>
      </c>
      <c r="G59" s="3" t="s">
        <v>67</v>
      </c>
      <c r="H59" s="3" t="s">
        <v>68</v>
      </c>
      <c r="I59" s="3"/>
      <c r="J59" s="3"/>
      <c r="K59" s="3">
        <v>203</v>
      </c>
      <c r="L59" s="3">
        <v>5</v>
      </c>
      <c r="M59" s="3">
        <v>3</v>
      </c>
      <c r="N59" s="3" t="s">
        <v>3</v>
      </c>
    </row>
    <row r="60" spans="1:43">
      <c r="A60" s="3">
        <v>50</v>
      </c>
      <c r="B60" s="3">
        <v>0</v>
      </c>
      <c r="C60" s="3">
        <v>0</v>
      </c>
      <c r="D60" s="3">
        <v>1</v>
      </c>
      <c r="E60" s="3">
        <v>204</v>
      </c>
      <c r="F60" s="3">
        <f>Source!R53</f>
        <v>0.64</v>
      </c>
      <c r="G60" s="3" t="s">
        <v>69</v>
      </c>
      <c r="H60" s="3" t="s">
        <v>70</v>
      </c>
      <c r="I60" s="3"/>
      <c r="J60" s="3"/>
      <c r="K60" s="3">
        <v>204</v>
      </c>
      <c r="L60" s="3">
        <v>6</v>
      </c>
      <c r="M60" s="3">
        <v>3</v>
      </c>
      <c r="N60" s="3" t="s">
        <v>3</v>
      </c>
    </row>
    <row r="61" spans="1:43">
      <c r="A61" s="3">
        <v>50</v>
      </c>
      <c r="B61" s="3">
        <v>0</v>
      </c>
      <c r="C61" s="3">
        <v>0</v>
      </c>
      <c r="D61" s="3">
        <v>1</v>
      </c>
      <c r="E61" s="3">
        <v>205</v>
      </c>
      <c r="F61" s="3">
        <f>Source!S53</f>
        <v>1071.0999999999999</v>
      </c>
      <c r="G61" s="3" t="s">
        <v>71</v>
      </c>
      <c r="H61" s="3" t="s">
        <v>72</v>
      </c>
      <c r="I61" s="3"/>
      <c r="J61" s="3"/>
      <c r="K61" s="3">
        <v>205</v>
      </c>
      <c r="L61" s="3">
        <v>7</v>
      </c>
      <c r="M61" s="3">
        <v>3</v>
      </c>
      <c r="N61" s="3" t="s">
        <v>3</v>
      </c>
    </row>
    <row r="62" spans="1:43">
      <c r="A62" s="3">
        <v>50</v>
      </c>
      <c r="B62" s="3">
        <v>0</v>
      </c>
      <c r="C62" s="3">
        <v>0</v>
      </c>
      <c r="D62" s="3">
        <v>1</v>
      </c>
      <c r="E62" s="3">
        <v>206</v>
      </c>
      <c r="F62" s="3">
        <f>Source!T53</f>
        <v>0</v>
      </c>
      <c r="G62" s="3" t="s">
        <v>73</v>
      </c>
      <c r="H62" s="3" t="s">
        <v>74</v>
      </c>
      <c r="I62" s="3"/>
      <c r="J62" s="3"/>
      <c r="K62" s="3">
        <v>206</v>
      </c>
      <c r="L62" s="3">
        <v>8</v>
      </c>
      <c r="M62" s="3">
        <v>3</v>
      </c>
      <c r="N62" s="3" t="s">
        <v>3</v>
      </c>
    </row>
    <row r="63" spans="1:43">
      <c r="A63" s="3">
        <v>50</v>
      </c>
      <c r="B63" s="3">
        <v>0</v>
      </c>
      <c r="C63" s="3">
        <v>0</v>
      </c>
      <c r="D63" s="3">
        <v>1</v>
      </c>
      <c r="E63" s="3">
        <v>207</v>
      </c>
      <c r="F63" s="3">
        <f>Source!U53</f>
        <v>7</v>
      </c>
      <c r="G63" s="3" t="s">
        <v>75</v>
      </c>
      <c r="H63" s="3" t="s">
        <v>76</v>
      </c>
      <c r="I63" s="3"/>
      <c r="J63" s="3"/>
      <c r="K63" s="3">
        <v>207</v>
      </c>
      <c r="L63" s="3">
        <v>9</v>
      </c>
      <c r="M63" s="3">
        <v>3</v>
      </c>
      <c r="N63" s="3" t="s">
        <v>3</v>
      </c>
    </row>
    <row r="64" spans="1:43">
      <c r="A64" s="3">
        <v>50</v>
      </c>
      <c r="B64" s="3">
        <v>0</v>
      </c>
      <c r="C64" s="3">
        <v>0</v>
      </c>
      <c r="D64" s="3">
        <v>1</v>
      </c>
      <c r="E64" s="3">
        <v>208</v>
      </c>
      <c r="F64" s="3">
        <f>Source!V53</f>
        <v>0</v>
      </c>
      <c r="G64" s="3" t="s">
        <v>77</v>
      </c>
      <c r="H64" s="3" t="s">
        <v>78</v>
      </c>
      <c r="I64" s="3"/>
      <c r="J64" s="3"/>
      <c r="K64" s="3">
        <v>208</v>
      </c>
      <c r="L64" s="3">
        <v>10</v>
      </c>
      <c r="M64" s="3">
        <v>3</v>
      </c>
      <c r="N64" s="3" t="s">
        <v>3</v>
      </c>
    </row>
    <row r="65" spans="1:14">
      <c r="A65" s="3">
        <v>50</v>
      </c>
      <c r="B65" s="3">
        <v>0</v>
      </c>
      <c r="C65" s="3">
        <v>0</v>
      </c>
      <c r="D65" s="3">
        <v>1</v>
      </c>
      <c r="E65" s="3">
        <v>209</v>
      </c>
      <c r="F65" s="3">
        <f>Source!W53</f>
        <v>0</v>
      </c>
      <c r="G65" s="3" t="s">
        <v>79</v>
      </c>
      <c r="H65" s="3" t="s">
        <v>80</v>
      </c>
      <c r="I65" s="3"/>
      <c r="J65" s="3"/>
      <c r="K65" s="3">
        <v>209</v>
      </c>
      <c r="L65" s="3">
        <v>11</v>
      </c>
      <c r="M65" s="3">
        <v>3</v>
      </c>
      <c r="N65" s="3" t="s">
        <v>3</v>
      </c>
    </row>
    <row r="66" spans="1:14">
      <c r="A66" s="3">
        <v>50</v>
      </c>
      <c r="B66" s="3">
        <v>0</v>
      </c>
      <c r="C66" s="3">
        <v>0</v>
      </c>
      <c r="D66" s="3">
        <v>1</v>
      </c>
      <c r="E66" s="3">
        <v>210</v>
      </c>
      <c r="F66" s="3">
        <f>Source!X53</f>
        <v>1132.1099999999999</v>
      </c>
      <c r="G66" s="3" t="s">
        <v>81</v>
      </c>
      <c r="H66" s="3" t="s">
        <v>82</v>
      </c>
      <c r="I66" s="3"/>
      <c r="J66" s="3"/>
      <c r="K66" s="3">
        <v>210</v>
      </c>
      <c r="L66" s="3">
        <v>12</v>
      </c>
      <c r="M66" s="3">
        <v>3</v>
      </c>
      <c r="N66" s="3" t="s">
        <v>3</v>
      </c>
    </row>
    <row r="67" spans="1:14">
      <c r="A67" s="3">
        <v>50</v>
      </c>
      <c r="B67" s="3">
        <v>0</v>
      </c>
      <c r="C67" s="3">
        <v>0</v>
      </c>
      <c r="D67" s="3">
        <v>1</v>
      </c>
      <c r="E67" s="3">
        <v>211</v>
      </c>
      <c r="F67" s="3">
        <f>Source!Y53</f>
        <v>522.41</v>
      </c>
      <c r="G67" s="3" t="s">
        <v>83</v>
      </c>
      <c r="H67" s="3" t="s">
        <v>84</v>
      </c>
      <c r="I67" s="3"/>
      <c r="J67" s="3"/>
      <c r="K67" s="3">
        <v>211</v>
      </c>
      <c r="L67" s="3">
        <v>13</v>
      </c>
      <c r="M67" s="3">
        <v>3</v>
      </c>
      <c r="N67" s="3" t="s">
        <v>3</v>
      </c>
    </row>
    <row r="71" spans="1:14">
      <c r="A71">
        <v>65</v>
      </c>
      <c r="C71">
        <v>1</v>
      </c>
      <c r="D71">
        <v>0</v>
      </c>
      <c r="E71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CB14"/>
  <sheetViews>
    <sheetView workbookViewId="0"/>
  </sheetViews>
  <sheetFormatPr defaultRowHeight="12.75"/>
  <sheetData>
    <row r="1" spans="1:80">
      <c r="A1">
        <f>ROW(Source!A24)</f>
        <v>24</v>
      </c>
      <c r="B1">
        <v>18315457</v>
      </c>
      <c r="C1">
        <v>18315456</v>
      </c>
      <c r="D1">
        <v>7157835</v>
      </c>
      <c r="E1">
        <v>7157832</v>
      </c>
      <c r="F1">
        <v>1</v>
      </c>
      <c r="G1">
        <v>7157832</v>
      </c>
      <c r="H1">
        <v>1</v>
      </c>
      <c r="I1" t="s">
        <v>93</v>
      </c>
      <c r="J1" t="s">
        <v>3</v>
      </c>
      <c r="K1" t="s">
        <v>94</v>
      </c>
      <c r="L1">
        <v>1191</v>
      </c>
      <c r="N1">
        <v>1013</v>
      </c>
      <c r="O1" t="s">
        <v>95</v>
      </c>
      <c r="P1" t="s">
        <v>95</v>
      </c>
      <c r="Q1">
        <v>1</v>
      </c>
      <c r="Y1">
        <v>45.7</v>
      </c>
      <c r="AA1">
        <v>0</v>
      </c>
      <c r="AB1">
        <v>0</v>
      </c>
      <c r="AC1">
        <v>0</v>
      </c>
      <c r="AD1">
        <v>0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45.7</v>
      </c>
      <c r="AU1" t="s">
        <v>3</v>
      </c>
      <c r="AV1">
        <v>1</v>
      </c>
      <c r="AW1">
        <v>2</v>
      </c>
      <c r="AX1">
        <v>18315457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B1">
        <v>0</v>
      </c>
    </row>
    <row r="2" spans="1:80">
      <c r="A2">
        <f>ROW(Source!A24)</f>
        <v>24</v>
      </c>
      <c r="B2">
        <v>18315458</v>
      </c>
      <c r="C2">
        <v>18315456</v>
      </c>
      <c r="D2">
        <v>7182702</v>
      </c>
      <c r="E2">
        <v>7157832</v>
      </c>
      <c r="F2">
        <v>1</v>
      </c>
      <c r="G2">
        <v>7157832</v>
      </c>
      <c r="H2">
        <v>3</v>
      </c>
      <c r="I2" t="s">
        <v>96</v>
      </c>
      <c r="J2" t="s">
        <v>3</v>
      </c>
      <c r="K2" t="s">
        <v>97</v>
      </c>
      <c r="L2">
        <v>1348</v>
      </c>
      <c r="N2">
        <v>1009</v>
      </c>
      <c r="O2" t="s">
        <v>98</v>
      </c>
      <c r="P2" t="s">
        <v>98</v>
      </c>
      <c r="Q2">
        <v>1000</v>
      </c>
      <c r="Y2">
        <v>0.09</v>
      </c>
      <c r="AA2">
        <v>0</v>
      </c>
      <c r="AB2">
        <v>0</v>
      </c>
      <c r="AC2">
        <v>0</v>
      </c>
      <c r="AD2">
        <v>0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0.09</v>
      </c>
      <c r="AU2" t="s">
        <v>3</v>
      </c>
      <c r="AV2">
        <v>0</v>
      </c>
      <c r="AW2">
        <v>2</v>
      </c>
      <c r="AX2">
        <v>18315458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B2">
        <v>0</v>
      </c>
    </row>
    <row r="3" spans="1:80">
      <c r="A3">
        <f>ROW(Source!A25)</f>
        <v>25</v>
      </c>
      <c r="B3">
        <v>18315460</v>
      </c>
      <c r="C3">
        <v>18315459</v>
      </c>
      <c r="D3">
        <v>7157835</v>
      </c>
      <c r="E3">
        <v>7157832</v>
      </c>
      <c r="F3">
        <v>1</v>
      </c>
      <c r="G3">
        <v>7157832</v>
      </c>
      <c r="H3">
        <v>1</v>
      </c>
      <c r="I3" t="s">
        <v>93</v>
      </c>
      <c r="J3" t="s">
        <v>3</v>
      </c>
      <c r="K3" t="s">
        <v>94</v>
      </c>
      <c r="L3">
        <v>1191</v>
      </c>
      <c r="N3">
        <v>1013</v>
      </c>
      <c r="O3" t="s">
        <v>95</v>
      </c>
      <c r="P3" t="s">
        <v>95</v>
      </c>
      <c r="Q3">
        <v>1</v>
      </c>
      <c r="Y3">
        <v>212</v>
      </c>
      <c r="AA3">
        <v>0</v>
      </c>
      <c r="AB3">
        <v>0</v>
      </c>
      <c r="AC3">
        <v>0</v>
      </c>
      <c r="AD3">
        <v>0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212</v>
      </c>
      <c r="AU3" t="s">
        <v>3</v>
      </c>
      <c r="AV3">
        <v>1</v>
      </c>
      <c r="AW3">
        <v>2</v>
      </c>
      <c r="AX3">
        <v>18315460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B3">
        <v>0</v>
      </c>
    </row>
    <row r="4" spans="1:80">
      <c r="A4">
        <f>ROW(Source!A25)</f>
        <v>25</v>
      </c>
      <c r="B4">
        <v>18315461</v>
      </c>
      <c r="C4">
        <v>18315459</v>
      </c>
      <c r="D4">
        <v>7233003</v>
      </c>
      <c r="E4">
        <v>1</v>
      </c>
      <c r="F4">
        <v>1</v>
      </c>
      <c r="G4">
        <v>7157832</v>
      </c>
      <c r="H4">
        <v>3</v>
      </c>
      <c r="I4" t="s">
        <v>99</v>
      </c>
      <c r="J4" t="s">
        <v>100</v>
      </c>
      <c r="K4" t="s">
        <v>101</v>
      </c>
      <c r="L4">
        <v>1348</v>
      </c>
      <c r="N4">
        <v>1009</v>
      </c>
      <c r="O4" t="s">
        <v>98</v>
      </c>
      <c r="P4" t="s">
        <v>98</v>
      </c>
      <c r="Q4">
        <v>1000</v>
      </c>
      <c r="Y4">
        <v>7.9000000000000008E-3</v>
      </c>
      <c r="AA4">
        <v>483.86</v>
      </c>
      <c r="AB4">
        <v>0</v>
      </c>
      <c r="AC4">
        <v>0</v>
      </c>
      <c r="AD4">
        <v>0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7.9000000000000008E-3</v>
      </c>
      <c r="AU4" t="s">
        <v>3</v>
      </c>
      <c r="AV4">
        <v>0</v>
      </c>
      <c r="AW4">
        <v>2</v>
      </c>
      <c r="AX4">
        <v>18315461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B4">
        <v>0</v>
      </c>
    </row>
    <row r="5" spans="1:80">
      <c r="A5">
        <f>ROW(Source!A25)</f>
        <v>25</v>
      </c>
      <c r="B5">
        <v>18315462</v>
      </c>
      <c r="C5">
        <v>18315459</v>
      </c>
      <c r="D5">
        <v>7233164</v>
      </c>
      <c r="E5">
        <v>1</v>
      </c>
      <c r="F5">
        <v>1</v>
      </c>
      <c r="G5">
        <v>7157832</v>
      </c>
      <c r="H5">
        <v>3</v>
      </c>
      <c r="I5" t="s">
        <v>102</v>
      </c>
      <c r="J5" t="s">
        <v>103</v>
      </c>
      <c r="K5" t="s">
        <v>104</v>
      </c>
      <c r="L5">
        <v>1348</v>
      </c>
      <c r="N5">
        <v>1009</v>
      </c>
      <c r="O5" t="s">
        <v>98</v>
      </c>
      <c r="P5" t="s">
        <v>98</v>
      </c>
      <c r="Q5">
        <v>1000</v>
      </c>
      <c r="Y5">
        <v>1.0800000000000001E-2</v>
      </c>
      <c r="AA5">
        <v>17750.86</v>
      </c>
      <c r="AB5">
        <v>0</v>
      </c>
      <c r="AC5">
        <v>0</v>
      </c>
      <c r="AD5">
        <v>0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1.0800000000000001E-2</v>
      </c>
      <c r="AU5" t="s">
        <v>3</v>
      </c>
      <c r="AV5">
        <v>0</v>
      </c>
      <c r="AW5">
        <v>2</v>
      </c>
      <c r="AX5">
        <v>18315462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B5">
        <v>0</v>
      </c>
    </row>
    <row r="6" spans="1:80">
      <c r="A6">
        <f>ROW(Source!A25)</f>
        <v>25</v>
      </c>
      <c r="B6">
        <v>18315463</v>
      </c>
      <c r="C6">
        <v>18315459</v>
      </c>
      <c r="D6">
        <v>7232436</v>
      </c>
      <c r="E6">
        <v>1</v>
      </c>
      <c r="F6">
        <v>1</v>
      </c>
      <c r="G6">
        <v>7157832</v>
      </c>
      <c r="H6">
        <v>3</v>
      </c>
      <c r="I6" t="s">
        <v>105</v>
      </c>
      <c r="J6" t="s">
        <v>106</v>
      </c>
      <c r="K6" t="s">
        <v>107</v>
      </c>
      <c r="L6">
        <v>1346</v>
      </c>
      <c r="N6">
        <v>1009</v>
      </c>
      <c r="O6" t="s">
        <v>108</v>
      </c>
      <c r="P6" t="s">
        <v>108</v>
      </c>
      <c r="Q6">
        <v>1</v>
      </c>
      <c r="Y6">
        <v>3.4</v>
      </c>
      <c r="AA6">
        <v>9.86</v>
      </c>
      <c r="AB6">
        <v>0</v>
      </c>
      <c r="AC6">
        <v>0</v>
      </c>
      <c r="AD6">
        <v>0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3.4</v>
      </c>
      <c r="AU6" t="s">
        <v>3</v>
      </c>
      <c r="AV6">
        <v>0</v>
      </c>
      <c r="AW6">
        <v>2</v>
      </c>
      <c r="AX6">
        <v>18315463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B6">
        <v>0</v>
      </c>
    </row>
    <row r="7" spans="1:80">
      <c r="A7">
        <f>ROW(Source!A25)</f>
        <v>25</v>
      </c>
      <c r="B7">
        <v>18315464</v>
      </c>
      <c r="C7">
        <v>18315459</v>
      </c>
      <c r="D7">
        <v>7173530</v>
      </c>
      <c r="E7">
        <v>7157832</v>
      </c>
      <c r="F7">
        <v>1</v>
      </c>
      <c r="G7">
        <v>7157832</v>
      </c>
      <c r="H7">
        <v>3</v>
      </c>
      <c r="I7" t="s">
        <v>29</v>
      </c>
      <c r="J7" t="s">
        <v>3</v>
      </c>
      <c r="K7" t="s">
        <v>30</v>
      </c>
      <c r="L7">
        <v>1035</v>
      </c>
      <c r="N7">
        <v>1013</v>
      </c>
      <c r="O7" t="s">
        <v>31</v>
      </c>
      <c r="P7" t="s">
        <v>31</v>
      </c>
      <c r="Q7">
        <v>1</v>
      </c>
      <c r="Y7">
        <v>100</v>
      </c>
      <c r="AA7">
        <v>0</v>
      </c>
      <c r="AB7">
        <v>0</v>
      </c>
      <c r="AC7">
        <v>0</v>
      </c>
      <c r="AD7">
        <v>0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3</v>
      </c>
      <c r="AT7">
        <v>100</v>
      </c>
      <c r="AU7" t="s">
        <v>3</v>
      </c>
      <c r="AV7">
        <v>0</v>
      </c>
      <c r="AW7">
        <v>2</v>
      </c>
      <c r="AX7">
        <v>18315464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B7">
        <v>0</v>
      </c>
    </row>
    <row r="8" spans="1:80">
      <c r="A8">
        <f>ROW(Source!A27)</f>
        <v>27</v>
      </c>
      <c r="B8">
        <v>18315467</v>
      </c>
      <c r="C8">
        <v>18315466</v>
      </c>
      <c r="D8">
        <v>7157835</v>
      </c>
      <c r="E8">
        <v>7157832</v>
      </c>
      <c r="F8">
        <v>1</v>
      </c>
      <c r="G8">
        <v>7157832</v>
      </c>
      <c r="H8">
        <v>1</v>
      </c>
      <c r="I8" t="s">
        <v>93</v>
      </c>
      <c r="J8" t="s">
        <v>3</v>
      </c>
      <c r="K8" t="s">
        <v>94</v>
      </c>
      <c r="L8">
        <v>1191</v>
      </c>
      <c r="N8">
        <v>1013</v>
      </c>
      <c r="O8" t="s">
        <v>95</v>
      </c>
      <c r="P8" t="s">
        <v>95</v>
      </c>
      <c r="Q8">
        <v>1</v>
      </c>
      <c r="Y8">
        <v>3.1739999999999995</v>
      </c>
      <c r="AA8">
        <v>0</v>
      </c>
      <c r="AB8">
        <v>0</v>
      </c>
      <c r="AC8">
        <v>0</v>
      </c>
      <c r="AD8">
        <v>0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2.76</v>
      </c>
      <c r="AU8" t="s">
        <v>38</v>
      </c>
      <c r="AV8">
        <v>1</v>
      </c>
      <c r="AW8">
        <v>2</v>
      </c>
      <c r="AX8">
        <v>18315467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B8">
        <v>0</v>
      </c>
    </row>
    <row r="9" spans="1:80">
      <c r="A9">
        <f>ROW(Source!A27)</f>
        <v>27</v>
      </c>
      <c r="B9">
        <v>18315470</v>
      </c>
      <c r="C9">
        <v>18315466</v>
      </c>
      <c r="D9">
        <v>7159942</v>
      </c>
      <c r="E9">
        <v>7157832</v>
      </c>
      <c r="F9">
        <v>1</v>
      </c>
      <c r="G9">
        <v>7157832</v>
      </c>
      <c r="H9">
        <v>2</v>
      </c>
      <c r="I9" t="s">
        <v>109</v>
      </c>
      <c r="J9" t="s">
        <v>3</v>
      </c>
      <c r="K9" t="s">
        <v>110</v>
      </c>
      <c r="L9">
        <v>1344</v>
      </c>
      <c r="N9">
        <v>1008</v>
      </c>
      <c r="O9" t="s">
        <v>111</v>
      </c>
      <c r="P9" t="s">
        <v>111</v>
      </c>
      <c r="Q9">
        <v>1</v>
      </c>
      <c r="Y9">
        <v>0.13750000000000001</v>
      </c>
      <c r="AA9">
        <v>0</v>
      </c>
      <c r="AB9">
        <v>1</v>
      </c>
      <c r="AC9">
        <v>0</v>
      </c>
      <c r="AD9">
        <v>0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0.11</v>
      </c>
      <c r="AU9" t="s">
        <v>37</v>
      </c>
      <c r="AV9">
        <v>0</v>
      </c>
      <c r="AW9">
        <v>2</v>
      </c>
      <c r="AX9">
        <v>18315470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B9">
        <v>0</v>
      </c>
    </row>
    <row r="10" spans="1:80">
      <c r="A10">
        <f>ROW(Source!A27)</f>
        <v>27</v>
      </c>
      <c r="B10">
        <v>18315468</v>
      </c>
      <c r="C10">
        <v>18315466</v>
      </c>
      <c r="D10">
        <v>7231491</v>
      </c>
      <c r="E10">
        <v>1</v>
      </c>
      <c r="F10">
        <v>1</v>
      </c>
      <c r="G10">
        <v>7157832</v>
      </c>
      <c r="H10">
        <v>2</v>
      </c>
      <c r="I10" t="s">
        <v>112</v>
      </c>
      <c r="J10" t="s">
        <v>113</v>
      </c>
      <c r="K10" t="s">
        <v>114</v>
      </c>
      <c r="L10">
        <v>1368</v>
      </c>
      <c r="N10">
        <v>1011</v>
      </c>
      <c r="O10" t="s">
        <v>115</v>
      </c>
      <c r="P10" t="s">
        <v>115</v>
      </c>
      <c r="Q10">
        <v>1</v>
      </c>
      <c r="Y10">
        <v>1.2500000000000001E-2</v>
      </c>
      <c r="AA10">
        <v>0</v>
      </c>
      <c r="AB10">
        <v>0.64</v>
      </c>
      <c r="AC10">
        <v>0.04</v>
      </c>
      <c r="AD10">
        <v>0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0.01</v>
      </c>
      <c r="AU10" t="s">
        <v>37</v>
      </c>
      <c r="AV10">
        <v>0</v>
      </c>
      <c r="AW10">
        <v>2</v>
      </c>
      <c r="AX10">
        <v>18315468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B10">
        <v>0</v>
      </c>
    </row>
    <row r="11" spans="1:80">
      <c r="A11">
        <f>ROW(Source!A27)</f>
        <v>27</v>
      </c>
      <c r="B11">
        <v>18315469</v>
      </c>
      <c r="C11">
        <v>18315466</v>
      </c>
      <c r="D11">
        <v>7231445</v>
      </c>
      <c r="E11">
        <v>1</v>
      </c>
      <c r="F11">
        <v>1</v>
      </c>
      <c r="G11">
        <v>7157832</v>
      </c>
      <c r="H11">
        <v>2</v>
      </c>
      <c r="I11" t="s">
        <v>116</v>
      </c>
      <c r="J11" t="s">
        <v>117</v>
      </c>
      <c r="K11" t="s">
        <v>118</v>
      </c>
      <c r="L11">
        <v>1368</v>
      </c>
      <c r="N11">
        <v>1011</v>
      </c>
      <c r="O11" t="s">
        <v>115</v>
      </c>
      <c r="P11" t="s">
        <v>115</v>
      </c>
      <c r="Q11">
        <v>1</v>
      </c>
      <c r="Y11">
        <v>2.5000000000000001E-2</v>
      </c>
      <c r="AA11">
        <v>0</v>
      </c>
      <c r="AB11">
        <v>2.36</v>
      </c>
      <c r="AC11">
        <v>0.1</v>
      </c>
      <c r="AD11">
        <v>0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0.02</v>
      </c>
      <c r="AU11" t="s">
        <v>37</v>
      </c>
      <c r="AV11">
        <v>0</v>
      </c>
      <c r="AW11">
        <v>2</v>
      </c>
      <c r="AX11">
        <v>18315469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B11">
        <v>0</v>
      </c>
    </row>
    <row r="12" spans="1:80">
      <c r="A12">
        <f>ROW(Source!A27)</f>
        <v>27</v>
      </c>
      <c r="B12">
        <v>18315471</v>
      </c>
      <c r="C12">
        <v>18315466</v>
      </c>
      <c r="D12">
        <v>7232224</v>
      </c>
      <c r="E12">
        <v>1</v>
      </c>
      <c r="F12">
        <v>1</v>
      </c>
      <c r="G12">
        <v>7157832</v>
      </c>
      <c r="H12">
        <v>3</v>
      </c>
      <c r="I12" t="s">
        <v>119</v>
      </c>
      <c r="J12" t="s">
        <v>120</v>
      </c>
      <c r="K12" t="s">
        <v>121</v>
      </c>
      <c r="L12">
        <v>1346</v>
      </c>
      <c r="N12">
        <v>1009</v>
      </c>
      <c r="O12" t="s">
        <v>108</v>
      </c>
      <c r="P12" t="s">
        <v>108</v>
      </c>
      <c r="Q12">
        <v>1</v>
      </c>
      <c r="Y12">
        <v>0.02</v>
      </c>
      <c r="AA12">
        <v>148.68</v>
      </c>
      <c r="AB12">
        <v>0</v>
      </c>
      <c r="AC12">
        <v>0</v>
      </c>
      <c r="AD12">
        <v>0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0.02</v>
      </c>
      <c r="AU12" t="s">
        <v>3</v>
      </c>
      <c r="AV12">
        <v>0</v>
      </c>
      <c r="AW12">
        <v>2</v>
      </c>
      <c r="AX12">
        <v>18315471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B12">
        <v>0</v>
      </c>
    </row>
    <row r="13" spans="1:80">
      <c r="A13">
        <f>ROW(Source!A27)</f>
        <v>27</v>
      </c>
      <c r="B13">
        <v>18315472</v>
      </c>
      <c r="C13">
        <v>18315466</v>
      </c>
      <c r="D13">
        <v>7525003</v>
      </c>
      <c r="E13">
        <v>7157832</v>
      </c>
      <c r="F13">
        <v>1</v>
      </c>
      <c r="G13">
        <v>7157832</v>
      </c>
      <c r="H13">
        <v>3</v>
      </c>
      <c r="I13" t="s">
        <v>43</v>
      </c>
      <c r="J13" t="s">
        <v>3</v>
      </c>
      <c r="K13" t="s">
        <v>44</v>
      </c>
      <c r="L13">
        <v>1354</v>
      </c>
      <c r="N13">
        <v>1010</v>
      </c>
      <c r="O13" t="s">
        <v>35</v>
      </c>
      <c r="P13" t="s">
        <v>35</v>
      </c>
      <c r="Q13">
        <v>1</v>
      </c>
      <c r="Y13">
        <v>1</v>
      </c>
      <c r="AA13">
        <v>0</v>
      </c>
      <c r="AB13">
        <v>0</v>
      </c>
      <c r="AC13">
        <v>0</v>
      </c>
      <c r="AD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3</v>
      </c>
      <c r="AT13">
        <v>1</v>
      </c>
      <c r="AU13" t="s">
        <v>3</v>
      </c>
      <c r="AV13">
        <v>0</v>
      </c>
      <c r="AW13">
        <v>2</v>
      </c>
      <c r="AX13">
        <v>18315472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B13">
        <v>0</v>
      </c>
    </row>
    <row r="14" spans="1:80">
      <c r="A14">
        <f>ROW(Source!A27)</f>
        <v>27</v>
      </c>
      <c r="B14">
        <v>18315473</v>
      </c>
      <c r="C14">
        <v>18315466</v>
      </c>
      <c r="D14">
        <v>7525012</v>
      </c>
      <c r="E14">
        <v>7157832</v>
      </c>
      <c r="F14">
        <v>1</v>
      </c>
      <c r="G14">
        <v>7157832</v>
      </c>
      <c r="H14">
        <v>3</v>
      </c>
      <c r="I14" t="s">
        <v>46</v>
      </c>
      <c r="J14" t="s">
        <v>3</v>
      </c>
      <c r="K14" t="s">
        <v>47</v>
      </c>
      <c r="L14">
        <v>1354</v>
      </c>
      <c r="N14">
        <v>1010</v>
      </c>
      <c r="O14" t="s">
        <v>35</v>
      </c>
      <c r="P14" t="s">
        <v>35</v>
      </c>
      <c r="Q14">
        <v>1</v>
      </c>
      <c r="Y14">
        <v>2</v>
      </c>
      <c r="AA14">
        <v>0</v>
      </c>
      <c r="AB14">
        <v>0</v>
      </c>
      <c r="AC14">
        <v>0</v>
      </c>
      <c r="AD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3</v>
      </c>
      <c r="AT14">
        <v>2</v>
      </c>
      <c r="AU14" t="s">
        <v>3</v>
      </c>
      <c r="AV14">
        <v>0</v>
      </c>
      <c r="AW14">
        <v>2</v>
      </c>
      <c r="AX14">
        <v>18315473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B1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AR14"/>
  <sheetViews>
    <sheetView workbookViewId="0"/>
  </sheetViews>
  <sheetFormatPr defaultRowHeight="12.75"/>
  <sheetData>
    <row r="1" spans="1:44">
      <c r="A1">
        <f>ROW(Source!A24)</f>
        <v>24</v>
      </c>
      <c r="B1">
        <v>18315457</v>
      </c>
      <c r="C1">
        <v>18315456</v>
      </c>
      <c r="D1">
        <v>7157835</v>
      </c>
      <c r="E1">
        <v>7157832</v>
      </c>
      <c r="F1">
        <v>1</v>
      </c>
      <c r="G1">
        <v>7157832</v>
      </c>
      <c r="H1">
        <v>1</v>
      </c>
      <c r="I1" t="s">
        <v>93</v>
      </c>
      <c r="J1" t="s">
        <v>3</v>
      </c>
      <c r="K1" t="s">
        <v>94</v>
      </c>
      <c r="L1">
        <v>1191</v>
      </c>
      <c r="N1">
        <v>1013</v>
      </c>
      <c r="O1" t="s">
        <v>95</v>
      </c>
      <c r="P1" t="s">
        <v>95</v>
      </c>
      <c r="Q1">
        <v>1</v>
      </c>
      <c r="X1">
        <v>45.7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3</v>
      </c>
      <c r="AG1">
        <v>45.7</v>
      </c>
      <c r="AH1">
        <v>2</v>
      </c>
      <c r="AI1">
        <v>18315457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ROW(Source!A24)</f>
        <v>24</v>
      </c>
      <c r="B2">
        <v>18315458</v>
      </c>
      <c r="C2">
        <v>18315456</v>
      </c>
      <c r="D2">
        <v>7182702</v>
      </c>
      <c r="E2">
        <v>7157832</v>
      </c>
      <c r="F2">
        <v>1</v>
      </c>
      <c r="G2">
        <v>7157832</v>
      </c>
      <c r="H2">
        <v>3</v>
      </c>
      <c r="I2" t="s">
        <v>96</v>
      </c>
      <c r="J2" t="s">
        <v>3</v>
      </c>
      <c r="K2" t="s">
        <v>97</v>
      </c>
      <c r="L2">
        <v>1348</v>
      </c>
      <c r="N2">
        <v>1009</v>
      </c>
      <c r="O2" t="s">
        <v>98</v>
      </c>
      <c r="P2" t="s">
        <v>98</v>
      </c>
      <c r="Q2">
        <v>1000</v>
      </c>
      <c r="X2">
        <v>0.09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3</v>
      </c>
      <c r="AG2">
        <v>0.09</v>
      </c>
      <c r="AH2">
        <v>2</v>
      </c>
      <c r="AI2">
        <v>18315458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ROW(Source!A25)</f>
        <v>25</v>
      </c>
      <c r="B3">
        <v>18315460</v>
      </c>
      <c r="C3">
        <v>18315459</v>
      </c>
      <c r="D3">
        <v>7157835</v>
      </c>
      <c r="E3">
        <v>7157832</v>
      </c>
      <c r="F3">
        <v>1</v>
      </c>
      <c r="G3">
        <v>7157832</v>
      </c>
      <c r="H3">
        <v>1</v>
      </c>
      <c r="I3" t="s">
        <v>93</v>
      </c>
      <c r="J3" t="s">
        <v>3</v>
      </c>
      <c r="K3" t="s">
        <v>94</v>
      </c>
      <c r="L3">
        <v>1191</v>
      </c>
      <c r="N3">
        <v>1013</v>
      </c>
      <c r="O3" t="s">
        <v>95</v>
      </c>
      <c r="P3" t="s">
        <v>95</v>
      </c>
      <c r="Q3">
        <v>1</v>
      </c>
      <c r="X3">
        <v>212</v>
      </c>
      <c r="Y3">
        <v>0</v>
      </c>
      <c r="Z3">
        <v>0</v>
      </c>
      <c r="AA3">
        <v>0</v>
      </c>
      <c r="AB3">
        <v>0</v>
      </c>
      <c r="AC3">
        <v>0</v>
      </c>
      <c r="AD3">
        <v>1</v>
      </c>
      <c r="AE3">
        <v>1</v>
      </c>
      <c r="AF3" t="s">
        <v>3</v>
      </c>
      <c r="AG3">
        <v>212</v>
      </c>
      <c r="AH3">
        <v>2</v>
      </c>
      <c r="AI3">
        <v>18315460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ROW(Source!A25)</f>
        <v>25</v>
      </c>
      <c r="B4">
        <v>18315461</v>
      </c>
      <c r="C4">
        <v>18315459</v>
      </c>
      <c r="D4">
        <v>7233003</v>
      </c>
      <c r="E4">
        <v>1</v>
      </c>
      <c r="F4">
        <v>1</v>
      </c>
      <c r="G4">
        <v>7157832</v>
      </c>
      <c r="H4">
        <v>3</v>
      </c>
      <c r="I4" t="s">
        <v>99</v>
      </c>
      <c r="J4" t="s">
        <v>100</v>
      </c>
      <c r="K4" t="s">
        <v>101</v>
      </c>
      <c r="L4">
        <v>1348</v>
      </c>
      <c r="N4">
        <v>1009</v>
      </c>
      <c r="O4" t="s">
        <v>98</v>
      </c>
      <c r="P4" t="s">
        <v>98</v>
      </c>
      <c r="Q4">
        <v>1000</v>
      </c>
      <c r="X4">
        <v>7.9000000000000008E-3</v>
      </c>
      <c r="Y4">
        <v>483.86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7.9000000000000008E-3</v>
      </c>
      <c r="AH4">
        <v>2</v>
      </c>
      <c r="AI4">
        <v>18315461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ROW(Source!A25)</f>
        <v>25</v>
      </c>
      <c r="B5">
        <v>18315462</v>
      </c>
      <c r="C5">
        <v>18315459</v>
      </c>
      <c r="D5">
        <v>7233164</v>
      </c>
      <c r="E5">
        <v>1</v>
      </c>
      <c r="F5">
        <v>1</v>
      </c>
      <c r="G5">
        <v>7157832</v>
      </c>
      <c r="H5">
        <v>3</v>
      </c>
      <c r="I5" t="s">
        <v>102</v>
      </c>
      <c r="J5" t="s">
        <v>103</v>
      </c>
      <c r="K5" t="s">
        <v>104</v>
      </c>
      <c r="L5">
        <v>1348</v>
      </c>
      <c r="N5">
        <v>1009</v>
      </c>
      <c r="O5" t="s">
        <v>98</v>
      </c>
      <c r="P5" t="s">
        <v>98</v>
      </c>
      <c r="Q5">
        <v>1000</v>
      </c>
      <c r="X5">
        <v>1.0800000000000001E-2</v>
      </c>
      <c r="Y5">
        <v>17750.86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1.0800000000000001E-2</v>
      </c>
      <c r="AH5">
        <v>2</v>
      </c>
      <c r="AI5">
        <v>18315462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ROW(Source!A25)</f>
        <v>25</v>
      </c>
      <c r="B6">
        <v>18315463</v>
      </c>
      <c r="C6">
        <v>18315459</v>
      </c>
      <c r="D6">
        <v>7232436</v>
      </c>
      <c r="E6">
        <v>1</v>
      </c>
      <c r="F6">
        <v>1</v>
      </c>
      <c r="G6">
        <v>7157832</v>
      </c>
      <c r="H6">
        <v>3</v>
      </c>
      <c r="I6" t="s">
        <v>105</v>
      </c>
      <c r="J6" t="s">
        <v>106</v>
      </c>
      <c r="K6" t="s">
        <v>107</v>
      </c>
      <c r="L6">
        <v>1346</v>
      </c>
      <c r="N6">
        <v>1009</v>
      </c>
      <c r="O6" t="s">
        <v>108</v>
      </c>
      <c r="P6" t="s">
        <v>108</v>
      </c>
      <c r="Q6">
        <v>1</v>
      </c>
      <c r="X6">
        <v>3.4</v>
      </c>
      <c r="Y6">
        <v>9.86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3.4</v>
      </c>
      <c r="AH6">
        <v>2</v>
      </c>
      <c r="AI6">
        <v>18315463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ROW(Source!A25)</f>
        <v>25</v>
      </c>
      <c r="B7">
        <v>18315464</v>
      </c>
      <c r="C7">
        <v>18315459</v>
      </c>
      <c r="D7">
        <v>7173530</v>
      </c>
      <c r="E7">
        <v>7157832</v>
      </c>
      <c r="F7">
        <v>1</v>
      </c>
      <c r="G7">
        <v>7157832</v>
      </c>
      <c r="H7">
        <v>3</v>
      </c>
      <c r="I7" t="s">
        <v>29</v>
      </c>
      <c r="J7" t="s">
        <v>3</v>
      </c>
      <c r="K7" t="s">
        <v>30</v>
      </c>
      <c r="L7">
        <v>1035</v>
      </c>
      <c r="N7">
        <v>1013</v>
      </c>
      <c r="O7" t="s">
        <v>31</v>
      </c>
      <c r="P7" t="s">
        <v>31</v>
      </c>
      <c r="Q7">
        <v>1</v>
      </c>
      <c r="X7">
        <v>100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t="s">
        <v>3</v>
      </c>
      <c r="AG7">
        <v>100</v>
      </c>
      <c r="AH7">
        <v>2</v>
      </c>
      <c r="AI7">
        <v>18315464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ROW(Source!A27)</f>
        <v>27</v>
      </c>
      <c r="B8">
        <v>18315467</v>
      </c>
      <c r="C8">
        <v>18315466</v>
      </c>
      <c r="D8">
        <v>7157835</v>
      </c>
      <c r="E8">
        <v>7157832</v>
      </c>
      <c r="F8">
        <v>1</v>
      </c>
      <c r="G8">
        <v>7157832</v>
      </c>
      <c r="H8">
        <v>1</v>
      </c>
      <c r="I8" t="s">
        <v>93</v>
      </c>
      <c r="J8" t="s">
        <v>3</v>
      </c>
      <c r="K8" t="s">
        <v>94</v>
      </c>
      <c r="L8">
        <v>1191</v>
      </c>
      <c r="N8">
        <v>1013</v>
      </c>
      <c r="O8" t="s">
        <v>95</v>
      </c>
      <c r="P8" t="s">
        <v>95</v>
      </c>
      <c r="Q8">
        <v>1</v>
      </c>
      <c r="X8">
        <v>2.76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1</v>
      </c>
      <c r="AF8" t="s">
        <v>38</v>
      </c>
      <c r="AG8">
        <v>3.1739999999999995</v>
      </c>
      <c r="AH8">
        <v>2</v>
      </c>
      <c r="AI8">
        <v>18315467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ROW(Source!A27)</f>
        <v>27</v>
      </c>
      <c r="B9">
        <v>18315470</v>
      </c>
      <c r="C9">
        <v>18315466</v>
      </c>
      <c r="D9">
        <v>7159942</v>
      </c>
      <c r="E9">
        <v>7157832</v>
      </c>
      <c r="F9">
        <v>1</v>
      </c>
      <c r="G9">
        <v>7157832</v>
      </c>
      <c r="H9">
        <v>2</v>
      </c>
      <c r="I9" t="s">
        <v>109</v>
      </c>
      <c r="J9" t="s">
        <v>3</v>
      </c>
      <c r="K9" t="s">
        <v>110</v>
      </c>
      <c r="L9">
        <v>1344</v>
      </c>
      <c r="N9">
        <v>1008</v>
      </c>
      <c r="O9" t="s">
        <v>111</v>
      </c>
      <c r="P9" t="s">
        <v>111</v>
      </c>
      <c r="Q9">
        <v>1</v>
      </c>
      <c r="X9">
        <v>0.11</v>
      </c>
      <c r="Y9">
        <v>0</v>
      </c>
      <c r="Z9">
        <v>1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37</v>
      </c>
      <c r="AG9">
        <v>0.13750000000000001</v>
      </c>
      <c r="AH9">
        <v>2</v>
      </c>
      <c r="AI9">
        <v>18315470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ROW(Source!A27)</f>
        <v>27</v>
      </c>
      <c r="B10">
        <v>18315468</v>
      </c>
      <c r="C10">
        <v>18315466</v>
      </c>
      <c r="D10">
        <v>7231491</v>
      </c>
      <c r="E10">
        <v>1</v>
      </c>
      <c r="F10">
        <v>1</v>
      </c>
      <c r="G10">
        <v>7157832</v>
      </c>
      <c r="H10">
        <v>2</v>
      </c>
      <c r="I10" t="s">
        <v>112</v>
      </c>
      <c r="J10" t="s">
        <v>113</v>
      </c>
      <c r="K10" t="s">
        <v>114</v>
      </c>
      <c r="L10">
        <v>1368</v>
      </c>
      <c r="N10">
        <v>1011</v>
      </c>
      <c r="O10" t="s">
        <v>115</v>
      </c>
      <c r="P10" t="s">
        <v>115</v>
      </c>
      <c r="Q10">
        <v>1</v>
      </c>
      <c r="X10">
        <v>0.01</v>
      </c>
      <c r="Y10">
        <v>0</v>
      </c>
      <c r="Z10">
        <v>0.64</v>
      </c>
      <c r="AA10">
        <v>0.04</v>
      </c>
      <c r="AB10">
        <v>0</v>
      </c>
      <c r="AC10">
        <v>0</v>
      </c>
      <c r="AD10">
        <v>1</v>
      </c>
      <c r="AE10">
        <v>0</v>
      </c>
      <c r="AF10" t="s">
        <v>37</v>
      </c>
      <c r="AG10">
        <v>1.2500000000000001E-2</v>
      </c>
      <c r="AH10">
        <v>2</v>
      </c>
      <c r="AI10">
        <v>18315468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ROW(Source!A27)</f>
        <v>27</v>
      </c>
      <c r="B11">
        <v>18315469</v>
      </c>
      <c r="C11">
        <v>18315466</v>
      </c>
      <c r="D11">
        <v>7231445</v>
      </c>
      <c r="E11">
        <v>1</v>
      </c>
      <c r="F11">
        <v>1</v>
      </c>
      <c r="G11">
        <v>7157832</v>
      </c>
      <c r="H11">
        <v>2</v>
      </c>
      <c r="I11" t="s">
        <v>116</v>
      </c>
      <c r="J11" t="s">
        <v>117</v>
      </c>
      <c r="K11" t="s">
        <v>118</v>
      </c>
      <c r="L11">
        <v>1368</v>
      </c>
      <c r="N11">
        <v>1011</v>
      </c>
      <c r="O11" t="s">
        <v>115</v>
      </c>
      <c r="P11" t="s">
        <v>115</v>
      </c>
      <c r="Q11">
        <v>1</v>
      </c>
      <c r="X11">
        <v>0.02</v>
      </c>
      <c r="Y11">
        <v>0</v>
      </c>
      <c r="Z11">
        <v>2.36</v>
      </c>
      <c r="AA11">
        <v>0.1</v>
      </c>
      <c r="AB11">
        <v>0</v>
      </c>
      <c r="AC11">
        <v>0</v>
      </c>
      <c r="AD11">
        <v>1</v>
      </c>
      <c r="AE11">
        <v>0</v>
      </c>
      <c r="AF11" t="s">
        <v>37</v>
      </c>
      <c r="AG11">
        <v>2.5000000000000001E-2</v>
      </c>
      <c r="AH11">
        <v>2</v>
      </c>
      <c r="AI11">
        <v>18315469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ROW(Source!A27)</f>
        <v>27</v>
      </c>
      <c r="B12">
        <v>18315471</v>
      </c>
      <c r="C12">
        <v>18315466</v>
      </c>
      <c r="D12">
        <v>7232224</v>
      </c>
      <c r="E12">
        <v>1</v>
      </c>
      <c r="F12">
        <v>1</v>
      </c>
      <c r="G12">
        <v>7157832</v>
      </c>
      <c r="H12">
        <v>3</v>
      </c>
      <c r="I12" t="s">
        <v>119</v>
      </c>
      <c r="J12" t="s">
        <v>120</v>
      </c>
      <c r="K12" t="s">
        <v>121</v>
      </c>
      <c r="L12">
        <v>1346</v>
      </c>
      <c r="N12">
        <v>1009</v>
      </c>
      <c r="O12" t="s">
        <v>108</v>
      </c>
      <c r="P12" t="s">
        <v>108</v>
      </c>
      <c r="Q12">
        <v>1</v>
      </c>
      <c r="X12">
        <v>0.02</v>
      </c>
      <c r="Y12">
        <v>148.68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0.02</v>
      </c>
      <c r="AH12">
        <v>2</v>
      </c>
      <c r="AI12">
        <v>18315471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ROW(Source!A27)</f>
        <v>27</v>
      </c>
      <c r="B13">
        <v>18315472</v>
      </c>
      <c r="C13">
        <v>18315466</v>
      </c>
      <c r="D13">
        <v>7525003</v>
      </c>
      <c r="E13">
        <v>7157832</v>
      </c>
      <c r="F13">
        <v>1</v>
      </c>
      <c r="G13">
        <v>7157832</v>
      </c>
      <c r="H13">
        <v>3</v>
      </c>
      <c r="I13" t="s">
        <v>43</v>
      </c>
      <c r="J13" t="s">
        <v>3</v>
      </c>
      <c r="K13" t="s">
        <v>44</v>
      </c>
      <c r="L13">
        <v>1354</v>
      </c>
      <c r="N13">
        <v>1010</v>
      </c>
      <c r="O13" t="s">
        <v>35</v>
      </c>
      <c r="P13" t="s">
        <v>35</v>
      </c>
      <c r="Q13">
        <v>1</v>
      </c>
      <c r="X13">
        <v>1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 t="s">
        <v>3</v>
      </c>
      <c r="AG13">
        <v>1</v>
      </c>
      <c r="AH13">
        <v>2</v>
      </c>
      <c r="AI13">
        <v>18315472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ROW(Source!A27)</f>
        <v>27</v>
      </c>
      <c r="B14">
        <v>18315473</v>
      </c>
      <c r="C14">
        <v>18315466</v>
      </c>
      <c r="D14">
        <v>7525012</v>
      </c>
      <c r="E14">
        <v>7157832</v>
      </c>
      <c r="F14">
        <v>1</v>
      </c>
      <c r="G14">
        <v>7157832</v>
      </c>
      <c r="H14">
        <v>3</v>
      </c>
      <c r="I14" t="s">
        <v>46</v>
      </c>
      <c r="J14" t="s">
        <v>3</v>
      </c>
      <c r="K14" t="s">
        <v>47</v>
      </c>
      <c r="L14">
        <v>1354</v>
      </c>
      <c r="N14">
        <v>1010</v>
      </c>
      <c r="O14" t="s">
        <v>35</v>
      </c>
      <c r="P14" t="s">
        <v>35</v>
      </c>
      <c r="Q14">
        <v>1</v>
      </c>
      <c r="X14">
        <v>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3</v>
      </c>
      <c r="AG14">
        <v>2</v>
      </c>
      <c r="AH14">
        <v>2</v>
      </c>
      <c r="AI14">
        <v>18315473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RV_Data</vt:lpstr>
      <vt:lpstr>Акт КС-2 по ТСН-2001</vt:lpstr>
      <vt:lpstr>Смета по ТСН-2001</vt:lpstr>
      <vt:lpstr>Source</vt:lpstr>
      <vt:lpstr>SmtRes</vt:lpstr>
      <vt:lpstr>EtalonRes</vt:lpstr>
      <vt:lpstr>ClcRes</vt:lpstr>
      <vt:lpstr>'Акт КС-2 по ТСН-2001'!Заголовки_для_печати</vt:lpstr>
      <vt:lpstr>'Смета по ТСН-2001'!Заголовки_для_печати</vt:lpstr>
      <vt:lpstr>'Акт КС-2 по ТСН-2001'!Область_печати</vt:lpstr>
      <vt:lpstr>'Смета по ТСН-2001'!Область_печати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2012-02-06T08:04:15Z</dcterms:created>
  <dcterms:modified xsi:type="dcterms:W3CDTF">2012-02-06T08:04:15Z</dcterms:modified>
</cp:coreProperties>
</file>