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80" windowHeight="1110" firstSheet="1" activeTab="4"/>
  </bookViews>
  <sheets>
    <sheet name="UnionSheet" sheetId="6" state="hidden" r:id="rId1"/>
    <sheet name="Смета 14 граф(Форма 4Т)" sheetId="5" r:id="rId2"/>
    <sheet name="ItogVidRab" sheetId="8" state="hidden" r:id="rId3"/>
    <sheet name="Смета для ТЕР(14гр)" sheetId="7" r:id="rId4"/>
    <sheet name="Смета 14 граф(Форма 4Т)_1" sheetId="9" r:id="rId5"/>
    <sheet name="Source" sheetId="1" r:id="rId6"/>
    <sheet name="SourceObSm" sheetId="2" r:id="rId7"/>
    <sheet name="SmtRes" sheetId="3" r:id="rId8"/>
    <sheet name="EtalonRes" sheetId="4" r:id="rId9"/>
  </sheets>
  <definedNames>
    <definedName name="_xlnm.Print_Titles" localSheetId="1">'Смета 14 граф(Форма 4Т)'!$21:$21</definedName>
    <definedName name="_xlnm.Print_Titles" localSheetId="4">'Смета 14 граф(Форма 4Т)_1'!$21:$21</definedName>
    <definedName name="_xlnm.Print_Titles" localSheetId="3">'Смета для ТЕР(14гр)'!$21:$25</definedName>
    <definedName name="_xlnm.Print_Area" localSheetId="1">'Смета 14 граф(Форма 4Т)'!$A$1:$N$93</definedName>
    <definedName name="_xlnm.Print_Area" localSheetId="4">'Смета 14 граф(Форма 4Т)_1'!$A$1:$N$93</definedName>
    <definedName name="_xlnm.Print_Area" localSheetId="3">'Смета для ТЕР(14гр)'!$A$1:$N$104</definedName>
  </definedNames>
  <calcPr calcId="124519"/>
</workbook>
</file>

<file path=xl/calcChain.xml><?xml version="1.0" encoding="utf-8"?>
<calcChain xmlns="http://schemas.openxmlformats.org/spreadsheetml/2006/main">
  <c r="I91" i="9"/>
  <c r="I88"/>
  <c r="C91"/>
  <c r="C88"/>
  <c r="K85"/>
  <c r="F85"/>
  <c r="A85"/>
  <c r="K84"/>
  <c r="F84"/>
  <c r="A84"/>
  <c r="K83"/>
  <c r="F83"/>
  <c r="A83"/>
  <c r="K82"/>
  <c r="F82"/>
  <c r="A82"/>
  <c r="K81"/>
  <c r="F81"/>
  <c r="A81"/>
  <c r="K80"/>
  <c r="F80"/>
  <c r="A80"/>
  <c r="K79"/>
  <c r="F79"/>
  <c r="A79"/>
  <c r="K78"/>
  <c r="F78"/>
  <c r="A78"/>
  <c r="K77"/>
  <c r="F77"/>
  <c r="A77"/>
  <c r="K76"/>
  <c r="F76"/>
  <c r="A76"/>
  <c r="K75"/>
  <c r="F75"/>
  <c r="A75"/>
  <c r="K74"/>
  <c r="F74"/>
  <c r="A74"/>
  <c r="J2" i="6"/>
  <c r="I2"/>
  <c r="J1"/>
  <c r="I1"/>
  <c r="N63" i="9"/>
  <c r="N62"/>
  <c r="M63"/>
  <c r="M62"/>
  <c r="L62"/>
  <c r="I63"/>
  <c r="I62"/>
  <c r="H63"/>
  <c r="H62"/>
  <c r="G62"/>
  <c r="K60"/>
  <c r="F60"/>
  <c r="A60"/>
  <c r="K59"/>
  <c r="F59"/>
  <c r="A59"/>
  <c r="K58"/>
  <c r="F58"/>
  <c r="A58"/>
  <c r="K57"/>
  <c r="F57"/>
  <c r="A57"/>
  <c r="K56"/>
  <c r="F56"/>
  <c r="A56"/>
  <c r="K55"/>
  <c r="F55"/>
  <c r="A55"/>
  <c r="K54"/>
  <c r="F54"/>
  <c r="A54"/>
  <c r="K53"/>
  <c r="F53"/>
  <c r="A53"/>
  <c r="K52"/>
  <c r="F52"/>
  <c r="A52"/>
  <c r="K51"/>
  <c r="F51"/>
  <c r="A51"/>
  <c r="K50"/>
  <c r="F50"/>
  <c r="A50"/>
  <c r="K49"/>
  <c r="F49"/>
  <c r="A49"/>
  <c r="N37"/>
  <c r="N36"/>
  <c r="M37"/>
  <c r="M36"/>
  <c r="L36"/>
  <c r="I37"/>
  <c r="I36"/>
  <c r="H37"/>
  <c r="H36"/>
  <c r="G36"/>
  <c r="A36"/>
  <c r="L33"/>
  <c r="K33"/>
  <c r="G33"/>
  <c r="D33"/>
  <c r="L32"/>
  <c r="K32"/>
  <c r="G32"/>
  <c r="D32"/>
  <c r="B31"/>
  <c r="AD29"/>
  <c r="AC29"/>
  <c r="AB29"/>
  <c r="AA29"/>
  <c r="Z29"/>
  <c r="N30"/>
  <c r="N29"/>
  <c r="M30"/>
  <c r="M29"/>
  <c r="L29"/>
  <c r="K30"/>
  <c r="K29"/>
  <c r="J30"/>
  <c r="J29"/>
  <c r="X29"/>
  <c r="W29"/>
  <c r="V29"/>
  <c r="U29"/>
  <c r="T29"/>
  <c r="I30"/>
  <c r="I29"/>
  <c r="H30"/>
  <c r="H29"/>
  <c r="G29"/>
  <c r="F30"/>
  <c r="F29"/>
  <c r="E30"/>
  <c r="E29"/>
  <c r="D29"/>
  <c r="C29"/>
  <c r="B30"/>
  <c r="A29"/>
  <c r="L27"/>
  <c r="K27"/>
  <c r="G27"/>
  <c r="D27"/>
  <c r="L26"/>
  <c r="K26"/>
  <c r="G26"/>
  <c r="D26"/>
  <c r="B25"/>
  <c r="AD23"/>
  <c r="AC23"/>
  <c r="AB23"/>
  <c r="AA23"/>
  <c r="Z23"/>
  <c r="N24"/>
  <c r="N23"/>
  <c r="M24"/>
  <c r="M23"/>
  <c r="L23"/>
  <c r="K24"/>
  <c r="K23"/>
  <c r="J24"/>
  <c r="J23"/>
  <c r="X23"/>
  <c r="W23"/>
  <c r="V23"/>
  <c r="U23"/>
  <c r="T23"/>
  <c r="I24"/>
  <c r="I23"/>
  <c r="H24"/>
  <c r="H23"/>
  <c r="G23"/>
  <c r="F24"/>
  <c r="F23"/>
  <c r="E24"/>
  <c r="E23"/>
  <c r="D23"/>
  <c r="C23"/>
  <c r="B24"/>
  <c r="A23"/>
  <c r="A22"/>
  <c r="J15"/>
  <c r="L15"/>
  <c r="J14"/>
  <c r="L14"/>
  <c r="J13"/>
  <c r="L13"/>
  <c r="B10"/>
  <c r="B8"/>
  <c r="B6"/>
  <c r="D102" i="7"/>
  <c r="C102"/>
  <c r="M2" i="8"/>
  <c r="L2"/>
  <c r="K2"/>
  <c r="J2"/>
  <c r="I2"/>
  <c r="H2"/>
  <c r="G2"/>
  <c r="F2"/>
  <c r="E2"/>
  <c r="D2"/>
  <c r="C2"/>
  <c r="B2"/>
  <c r="M1"/>
  <c r="L1"/>
  <c r="K1"/>
  <c r="J1"/>
  <c r="I1"/>
  <c r="H1"/>
  <c r="G1"/>
  <c r="F1"/>
  <c r="E1"/>
  <c r="D1"/>
  <c r="C1"/>
  <c r="B1"/>
  <c r="N83" i="7"/>
  <c r="N82"/>
  <c r="K83"/>
  <c r="K82"/>
  <c r="J82"/>
  <c r="L82"/>
  <c r="I82"/>
  <c r="A82"/>
  <c r="I80"/>
  <c r="A80"/>
  <c r="I79"/>
  <c r="A79"/>
  <c r="I78"/>
  <c r="A78"/>
  <c r="N77"/>
  <c r="A77"/>
  <c r="N76"/>
  <c r="A76"/>
  <c r="I75"/>
  <c r="A75"/>
  <c r="J74"/>
  <c r="A74"/>
  <c r="K73"/>
  <c r="A73"/>
  <c r="K72"/>
  <c r="A72"/>
  <c r="I71"/>
  <c r="A71"/>
  <c r="L70"/>
  <c r="A70"/>
  <c r="I69"/>
  <c r="A69"/>
  <c r="N52"/>
  <c r="N51"/>
  <c r="K52"/>
  <c r="K51"/>
  <c r="J51"/>
  <c r="L51"/>
  <c r="I51"/>
  <c r="A51"/>
  <c r="L49"/>
  <c r="H49"/>
  <c r="I49"/>
  <c r="F49"/>
  <c r="E49"/>
  <c r="D49"/>
  <c r="C49"/>
  <c r="B49"/>
  <c r="L48"/>
  <c r="H48"/>
  <c r="I48"/>
  <c r="F48"/>
  <c r="E48"/>
  <c r="D48"/>
  <c r="C48"/>
  <c r="B48"/>
  <c r="L47"/>
  <c r="H47"/>
  <c r="I47"/>
  <c r="F47"/>
  <c r="E47"/>
  <c r="D47"/>
  <c r="C47"/>
  <c r="B47"/>
  <c r="L46"/>
  <c r="H46"/>
  <c r="I46"/>
  <c r="F46"/>
  <c r="E46"/>
  <c r="D46"/>
  <c r="C46"/>
  <c r="B46"/>
  <c r="L45"/>
  <c r="H45"/>
  <c r="I45"/>
  <c r="F45"/>
  <c r="E45"/>
  <c r="D45"/>
  <c r="C45"/>
  <c r="B45"/>
  <c r="I43"/>
  <c r="I42"/>
  <c r="D42"/>
  <c r="I41"/>
  <c r="D41"/>
  <c r="C40"/>
  <c r="Z38"/>
  <c r="N39"/>
  <c r="Y38"/>
  <c r="N38"/>
  <c r="L38"/>
  <c r="X38"/>
  <c r="K39"/>
  <c r="W38"/>
  <c r="K38"/>
  <c r="V38"/>
  <c r="J38"/>
  <c r="T38"/>
  <c r="I38"/>
  <c r="M39"/>
  <c r="M38"/>
  <c r="H38"/>
  <c r="G39"/>
  <c r="G38"/>
  <c r="F39"/>
  <c r="F38"/>
  <c r="E38"/>
  <c r="D38"/>
  <c r="B38"/>
  <c r="A38"/>
  <c r="L37"/>
  <c r="H37"/>
  <c r="I37"/>
  <c r="F37"/>
  <c r="E37"/>
  <c r="D37"/>
  <c r="C37"/>
  <c r="B37"/>
  <c r="L36"/>
  <c r="H36"/>
  <c r="I36"/>
  <c r="F36"/>
  <c r="E36"/>
  <c r="D36"/>
  <c r="C36"/>
  <c r="B36"/>
  <c r="L35"/>
  <c r="H35"/>
  <c r="I35"/>
  <c r="F35"/>
  <c r="E35"/>
  <c r="D35"/>
  <c r="C35"/>
  <c r="B35"/>
  <c r="L34"/>
  <c r="H34"/>
  <c r="I34"/>
  <c r="F34"/>
  <c r="E34"/>
  <c r="D34"/>
  <c r="C34"/>
  <c r="B34"/>
  <c r="L33"/>
  <c r="H33"/>
  <c r="I33"/>
  <c r="F33"/>
  <c r="E33"/>
  <c r="D33"/>
  <c r="C33"/>
  <c r="B33"/>
  <c r="I31"/>
  <c r="I30"/>
  <c r="D30"/>
  <c r="I29"/>
  <c r="D29"/>
  <c r="C28"/>
  <c r="Z26"/>
  <c r="N27"/>
  <c r="Y26"/>
  <c r="N26"/>
  <c r="L26"/>
  <c r="X26"/>
  <c r="K27"/>
  <c r="W26"/>
  <c r="K26"/>
  <c r="V26"/>
  <c r="J26"/>
  <c r="T26"/>
  <c r="I26"/>
  <c r="M27"/>
  <c r="M26"/>
  <c r="H26"/>
  <c r="G27"/>
  <c r="G26"/>
  <c r="F27"/>
  <c r="F26"/>
  <c r="E26"/>
  <c r="D26"/>
  <c r="B26"/>
  <c r="A26"/>
  <c r="M19"/>
  <c r="M18"/>
  <c r="M17"/>
  <c r="M16"/>
  <c r="M15"/>
  <c r="M14"/>
  <c r="M13"/>
  <c r="A12"/>
  <c r="A11"/>
  <c r="K8"/>
  <c r="A9"/>
  <c r="A8"/>
  <c r="K5"/>
  <c r="K4"/>
  <c r="M3"/>
  <c r="A1"/>
  <c r="I91" i="5"/>
  <c r="I88"/>
  <c r="C91"/>
  <c r="C88"/>
  <c r="K85"/>
  <c r="F85"/>
  <c r="A85"/>
  <c r="K84"/>
  <c r="F84"/>
  <c r="A84"/>
  <c r="K83"/>
  <c r="F83"/>
  <c r="A83"/>
  <c r="K82"/>
  <c r="F82"/>
  <c r="A82"/>
  <c r="K81"/>
  <c r="F81"/>
  <c r="A81"/>
  <c r="K80"/>
  <c r="F80"/>
  <c r="A80"/>
  <c r="K79"/>
  <c r="F79"/>
  <c r="A79"/>
  <c r="K78"/>
  <c r="F78"/>
  <c r="A78"/>
  <c r="K77"/>
  <c r="F77"/>
  <c r="A77"/>
  <c r="K76"/>
  <c r="F76"/>
  <c r="A76"/>
  <c r="K75"/>
  <c r="F75"/>
  <c r="A75"/>
  <c r="K74"/>
  <c r="F74"/>
  <c r="A74"/>
  <c r="N63"/>
  <c r="N62"/>
  <c r="M63"/>
  <c r="M62"/>
  <c r="L62"/>
  <c r="I63"/>
  <c r="I62"/>
  <c r="H63"/>
  <c r="H62"/>
  <c r="G62"/>
  <c r="K60"/>
  <c r="F60"/>
  <c r="A60"/>
  <c r="K59"/>
  <c r="F59"/>
  <c r="A59"/>
  <c r="K58"/>
  <c r="F58"/>
  <c r="A58"/>
  <c r="K57"/>
  <c r="F57"/>
  <c r="A57"/>
  <c r="K56"/>
  <c r="F56"/>
  <c r="A56"/>
  <c r="K55"/>
  <c r="F55"/>
  <c r="A55"/>
  <c r="K54"/>
  <c r="F54"/>
  <c r="A54"/>
  <c r="K53"/>
  <c r="F53"/>
  <c r="A53"/>
  <c r="K52"/>
  <c r="F52"/>
  <c r="A52"/>
  <c r="K51"/>
  <c r="F51"/>
  <c r="A51"/>
  <c r="K50"/>
  <c r="F50"/>
  <c r="A50"/>
  <c r="K49"/>
  <c r="F49"/>
  <c r="A49"/>
  <c r="N37"/>
  <c r="N36"/>
  <c r="M37"/>
  <c r="M36"/>
  <c r="L36"/>
  <c r="I37"/>
  <c r="I36"/>
  <c r="H37"/>
  <c r="H36"/>
  <c r="G36"/>
  <c r="A36"/>
  <c r="L33"/>
  <c r="K33"/>
  <c r="G33"/>
  <c r="D33"/>
  <c r="L32"/>
  <c r="K32"/>
  <c r="G32"/>
  <c r="D32"/>
  <c r="B31"/>
  <c r="AD29"/>
  <c r="AC29"/>
  <c r="AB29"/>
  <c r="AA29"/>
  <c r="Z29"/>
  <c r="N30"/>
  <c r="N29"/>
  <c r="M30"/>
  <c r="M29"/>
  <c r="L29"/>
  <c r="K30"/>
  <c r="K29"/>
  <c r="J30"/>
  <c r="J29"/>
  <c r="X29"/>
  <c r="W29"/>
  <c r="V29"/>
  <c r="U29"/>
  <c r="T29"/>
  <c r="I30"/>
  <c r="I29"/>
  <c r="H30"/>
  <c r="H29"/>
  <c r="G29"/>
  <c r="F30"/>
  <c r="F29"/>
  <c r="E30"/>
  <c r="E29"/>
  <c r="D29"/>
  <c r="C29"/>
  <c r="B30"/>
  <c r="A29"/>
  <c r="L27"/>
  <c r="K27"/>
  <c r="G27"/>
  <c r="D27"/>
  <c r="L26"/>
  <c r="K26"/>
  <c r="G26"/>
  <c r="D26"/>
  <c r="B25"/>
  <c r="AD23"/>
  <c r="AC23"/>
  <c r="AB23"/>
  <c r="AA23"/>
  <c r="Z23"/>
  <c r="N24"/>
  <c r="N23"/>
  <c r="M24"/>
  <c r="M23"/>
  <c r="L23"/>
  <c r="K24"/>
  <c r="K23"/>
  <c r="J24"/>
  <c r="J23"/>
  <c r="X23"/>
  <c r="W23"/>
  <c r="V23"/>
  <c r="U23"/>
  <c r="T23"/>
  <c r="I24"/>
  <c r="I23"/>
  <c r="H24"/>
  <c r="H23"/>
  <c r="G23"/>
  <c r="F24"/>
  <c r="F23"/>
  <c r="E24"/>
  <c r="E23"/>
  <c r="D23"/>
  <c r="C23"/>
  <c r="B24"/>
  <c r="A23"/>
  <c r="A22"/>
  <c r="J15"/>
  <c r="L15"/>
  <c r="J14"/>
  <c r="L14"/>
  <c r="J13"/>
  <c r="L13"/>
  <c r="B10"/>
  <c r="B8"/>
  <c r="B6"/>
  <c r="A1"/>
  <c r="A1" i="4"/>
  <c r="A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1" i="3"/>
  <c r="CY1"/>
  <c r="CZ1"/>
  <c r="DA1"/>
  <c r="A2"/>
  <c r="CY2"/>
  <c r="CZ2"/>
  <c r="DA2"/>
  <c r="A3"/>
  <c r="CY3"/>
  <c r="CZ3"/>
  <c r="DA3"/>
  <c r="A4"/>
  <c r="CY4"/>
  <c r="CZ4"/>
  <c r="DA4"/>
  <c r="A5"/>
  <c r="CY5"/>
  <c r="CZ5"/>
  <c r="DA5"/>
  <c r="A6"/>
  <c r="CY6"/>
  <c r="CZ6"/>
  <c r="DA6"/>
  <c r="A7"/>
  <c r="CY7"/>
  <c r="CZ7"/>
  <c r="DA7"/>
  <c r="A8"/>
  <c r="CY8"/>
  <c r="CZ8"/>
  <c r="DA8"/>
  <c r="A9"/>
  <c r="CY9"/>
  <c r="CZ9"/>
  <c r="DA9"/>
  <c r="A10"/>
  <c r="CY10"/>
  <c r="CZ10"/>
  <c r="DA10"/>
  <c r="A11"/>
  <c r="CY11"/>
  <c r="CZ11"/>
  <c r="DA11"/>
  <c r="A12"/>
  <c r="CY12"/>
  <c r="CZ12"/>
  <c r="DA12"/>
  <c r="A13"/>
  <c r="CY13"/>
  <c r="CZ13"/>
  <c r="DA13"/>
  <c r="A14"/>
  <c r="CY14"/>
  <c r="CZ14"/>
  <c r="DA14"/>
  <c r="A15"/>
  <c r="CY15"/>
  <c r="CZ15"/>
  <c r="DA15"/>
  <c r="A16"/>
  <c r="CY16"/>
  <c r="CZ16"/>
  <c r="DA16"/>
  <c r="A17"/>
  <c r="CY17"/>
  <c r="CZ17"/>
  <c r="DA17"/>
  <c r="A18"/>
  <c r="CY18"/>
  <c r="CZ18"/>
  <c r="DA18"/>
  <c r="A19"/>
  <c r="CY19"/>
  <c r="CZ19"/>
  <c r="DA19"/>
  <c r="A20"/>
  <c r="CY20"/>
  <c r="CZ20"/>
  <c r="DA20"/>
  <c r="A21"/>
  <c r="CY21"/>
  <c r="CZ21"/>
  <c r="DA21"/>
  <c r="A22"/>
  <c r="CY22"/>
  <c r="CZ22"/>
  <c r="DA22"/>
  <c r="A23"/>
  <c r="CY23"/>
  <c r="CZ23"/>
  <c r="DA23"/>
  <c r="A24"/>
  <c r="CY24"/>
  <c r="CZ24"/>
  <c r="DA24"/>
  <c r="A25"/>
  <c r="CY25"/>
  <c r="CZ25"/>
  <c r="DA25"/>
  <c r="A26"/>
  <c r="CY26"/>
  <c r="CZ26"/>
  <c r="DA26"/>
  <c r="A27"/>
  <c r="CY27"/>
  <c r="CZ27"/>
  <c r="DA27"/>
  <c r="A28"/>
  <c r="CY28"/>
  <c r="CZ28"/>
  <c r="DA28"/>
  <c r="A29"/>
  <c r="CY29"/>
  <c r="CZ29"/>
  <c r="DA29"/>
  <c r="A30"/>
  <c r="CY30"/>
  <c r="CZ30"/>
  <c r="DA30"/>
  <c r="A31"/>
  <c r="CY31"/>
  <c r="CZ31"/>
  <c r="DA31"/>
  <c r="A32"/>
  <c r="CY32"/>
  <c r="CZ32"/>
  <c r="DA32"/>
  <c r="A33"/>
  <c r="CY33"/>
  <c r="CZ33"/>
  <c r="DA33"/>
  <c r="A34"/>
  <c r="CY34"/>
  <c r="CZ34"/>
  <c r="DA34"/>
  <c r="A35"/>
  <c r="CY35"/>
  <c r="CZ35"/>
  <c r="DA35"/>
  <c r="A36"/>
  <c r="CY36"/>
  <c r="CZ36"/>
  <c r="DA36"/>
  <c r="D12" i="1"/>
  <c r="E18"/>
  <c r="Z18"/>
  <c r="AA18"/>
  <c r="AB18"/>
  <c r="AC18"/>
  <c r="AD18"/>
  <c r="AE18"/>
  <c r="AF18"/>
  <c r="AG18"/>
  <c r="AH18"/>
  <c r="AI18"/>
  <c r="AJ18"/>
  <c r="AK18"/>
  <c r="AL18"/>
  <c r="AM18"/>
  <c r="AN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BZ18"/>
  <c r="CA18"/>
  <c r="CB18"/>
  <c r="CC18"/>
  <c r="CD18"/>
  <c r="CE18"/>
  <c r="CF18"/>
  <c r="CG18"/>
  <c r="CH18"/>
  <c r="CI18"/>
  <c r="CJ18"/>
  <c r="CK18"/>
  <c r="CL18"/>
  <c r="CM18"/>
  <c r="CN18"/>
  <c r="CO18"/>
  <c r="CP18"/>
  <c r="CQ18"/>
  <c r="CR18"/>
  <c r="CS18"/>
  <c r="CT18"/>
  <c r="CU18"/>
  <c r="CV18"/>
  <c r="CW18"/>
  <c r="CX18"/>
  <c r="CY18"/>
  <c r="CZ18"/>
  <c r="DA18"/>
  <c r="DB18"/>
  <c r="DC18"/>
  <c r="DD18"/>
  <c r="DE18"/>
  <c r="DF18"/>
  <c r="DR18"/>
  <c r="DS18"/>
  <c r="DT18"/>
  <c r="DU18"/>
  <c r="DV18"/>
  <c r="DW18"/>
  <c r="DX18"/>
  <c r="DY18"/>
  <c r="DZ18"/>
  <c r="EA18"/>
  <c r="EB18"/>
  <c r="EC18"/>
  <c r="ED18"/>
  <c r="EE18"/>
  <c r="EF18"/>
  <c r="EV18"/>
  <c r="EW18"/>
  <c r="EX18"/>
  <c r="EY18"/>
  <c r="EZ18"/>
  <c r="FA18"/>
  <c r="FB18"/>
  <c r="FC18"/>
  <c r="FD18"/>
  <c r="FE18"/>
  <c r="FF18"/>
  <c r="FG18"/>
  <c r="FH18"/>
  <c r="FI18"/>
  <c r="FJ18"/>
  <c r="FK18"/>
  <c r="FL18"/>
  <c r="FM18"/>
  <c r="FN18"/>
  <c r="FO18"/>
  <c r="FP18"/>
  <c r="FQ18"/>
  <c r="FR18"/>
  <c r="FS18"/>
  <c r="FT18"/>
  <c r="FU18"/>
  <c r="FV18"/>
  <c r="FW18"/>
  <c r="FX18"/>
  <c r="FY18"/>
  <c r="FZ18"/>
  <c r="GA18"/>
  <c r="GB18"/>
  <c r="GC18"/>
  <c r="GD18"/>
  <c r="GE18"/>
  <c r="GF18"/>
  <c r="GG18"/>
  <c r="GH18"/>
  <c r="GI18"/>
  <c r="GJ18"/>
  <c r="GK18"/>
  <c r="GL18"/>
  <c r="GM18"/>
  <c r="GN18"/>
  <c r="GO18"/>
  <c r="GP18"/>
  <c r="GQ18"/>
  <c r="GR18"/>
  <c r="GS18"/>
  <c r="GT18"/>
  <c r="GU18"/>
  <c r="GV18"/>
  <c r="GW18"/>
  <c r="GX18"/>
  <c r="D20"/>
  <c r="E22"/>
  <c r="Z22"/>
  <c r="AA22"/>
  <c r="AM22"/>
  <c r="AN22"/>
  <c r="BD22"/>
  <c r="BE22"/>
  <c r="BF22"/>
  <c r="BG22"/>
  <c r="BH22"/>
  <c r="BI22"/>
  <c r="BJ22"/>
  <c r="BK22"/>
  <c r="BL22"/>
  <c r="BM22"/>
  <c r="BN22"/>
  <c r="BO22"/>
  <c r="BP22"/>
  <c r="BQ22"/>
  <c r="BR22"/>
  <c r="BS22"/>
  <c r="BT22"/>
  <c r="BU22"/>
  <c r="BV22"/>
  <c r="BW22"/>
  <c r="CM22"/>
  <c r="CN22"/>
  <c r="CO22"/>
  <c r="CP22"/>
  <c r="CQ22"/>
  <c r="CR22"/>
  <c r="CS22"/>
  <c r="CT22"/>
  <c r="CU22"/>
  <c r="CV22"/>
  <c r="CW22"/>
  <c r="CX22"/>
  <c r="CY22"/>
  <c r="CZ22"/>
  <c r="DA22"/>
  <c r="DB22"/>
  <c r="DC22"/>
  <c r="DD22"/>
  <c r="DE22"/>
  <c r="DF22"/>
  <c r="DR22"/>
  <c r="DS22"/>
  <c r="EE22"/>
  <c r="EF22"/>
  <c r="EV22"/>
  <c r="EW22"/>
  <c r="EX22"/>
  <c r="EY22"/>
  <c r="EZ22"/>
  <c r="FA22"/>
  <c r="FB22"/>
  <c r="FC22"/>
  <c r="FD22"/>
  <c r="FE22"/>
  <c r="FF22"/>
  <c r="FG22"/>
  <c r="FH22"/>
  <c r="FI22"/>
  <c r="FJ22"/>
  <c r="FK22"/>
  <c r="FL22"/>
  <c r="FM22"/>
  <c r="FN22"/>
  <c r="FO22"/>
  <c r="GE22"/>
  <c r="GF22"/>
  <c r="GG22"/>
  <c r="GH22"/>
  <c r="GI22"/>
  <c r="GJ22"/>
  <c r="GK22"/>
  <c r="GL22"/>
  <c r="GM22"/>
  <c r="GN22"/>
  <c r="GO22"/>
  <c r="GP22"/>
  <c r="GQ22"/>
  <c r="GR22"/>
  <c r="GS22"/>
  <c r="GT22"/>
  <c r="GU22"/>
  <c r="GV22"/>
  <c r="GW22"/>
  <c r="GX22"/>
  <c r="C24"/>
  <c r="D24"/>
  <c r="I24"/>
  <c r="CX1" i="3" s="1"/>
  <c r="AC24" i="1"/>
  <c r="AE24"/>
  <c r="AD24" s="1"/>
  <c r="CR24" s="1"/>
  <c r="Q24" s="1"/>
  <c r="AF24"/>
  <c r="AG24"/>
  <c r="AH24"/>
  <c r="AI24"/>
  <c r="CW24" s="1"/>
  <c r="V24" s="1"/>
  <c r="AJ24"/>
  <c r="CQ24"/>
  <c r="P24" s="1"/>
  <c r="CS24"/>
  <c r="R24" s="1"/>
  <c r="CT24"/>
  <c r="S24" s="1"/>
  <c r="CU24"/>
  <c r="T24" s="1"/>
  <c r="CV24"/>
  <c r="U24" s="1"/>
  <c r="CX24"/>
  <c r="W24" s="1"/>
  <c r="FR24"/>
  <c r="GL24"/>
  <c r="GO24"/>
  <c r="GP24"/>
  <c r="GV24"/>
  <c r="GX24"/>
  <c r="C25"/>
  <c r="D25"/>
  <c r="I25"/>
  <c r="CX11" i="3" s="1"/>
  <c r="AC25" i="1"/>
  <c r="AE25"/>
  <c r="AD25" s="1"/>
  <c r="CR25" s="1"/>
  <c r="Q25" s="1"/>
  <c r="AF25"/>
  <c r="AG25"/>
  <c r="AH25"/>
  <c r="AI25"/>
  <c r="CW25" s="1"/>
  <c r="V25" s="1"/>
  <c r="AJ25"/>
  <c r="CQ25"/>
  <c r="P25" s="1"/>
  <c r="CS25"/>
  <c r="R25" s="1"/>
  <c r="CT25"/>
  <c r="S25" s="1"/>
  <c r="CU25"/>
  <c r="T25" s="1"/>
  <c r="CV25"/>
  <c r="U25" s="1"/>
  <c r="CX25"/>
  <c r="W25" s="1"/>
  <c r="FR25"/>
  <c r="GL25"/>
  <c r="GO25"/>
  <c r="GP25"/>
  <c r="GV25"/>
  <c r="GX25"/>
  <c r="C26"/>
  <c r="D26"/>
  <c r="I26"/>
  <c r="CX19" i="3" s="1"/>
  <c r="AC26" i="1"/>
  <c r="AE26"/>
  <c r="AD26" s="1"/>
  <c r="CR26" s="1"/>
  <c r="Q26" s="1"/>
  <c r="AF26"/>
  <c r="AG26"/>
  <c r="CU26" s="1"/>
  <c r="T26" s="1"/>
  <c r="AH26"/>
  <c r="AI26"/>
  <c r="CW26" s="1"/>
  <c r="V26" s="1"/>
  <c r="AJ26"/>
  <c r="CT26"/>
  <c r="S26" s="1"/>
  <c r="CV26"/>
  <c r="U26" s="1"/>
  <c r="CX26"/>
  <c r="W26" s="1"/>
  <c r="FR26"/>
  <c r="GL26"/>
  <c r="GO26"/>
  <c r="GP26"/>
  <c r="GV26"/>
  <c r="GX26" s="1"/>
  <c r="CJ29" s="1"/>
  <c r="C27"/>
  <c r="D27"/>
  <c r="I27"/>
  <c r="CX29" i="3" s="1"/>
  <c r="AC27" i="1"/>
  <c r="AD27"/>
  <c r="AB27" s="1"/>
  <c r="AE27"/>
  <c r="AF27"/>
  <c r="CT27" s="1"/>
  <c r="S27" s="1"/>
  <c r="AG27"/>
  <c r="AH27"/>
  <c r="CV27" s="1"/>
  <c r="U27" s="1"/>
  <c r="AI27"/>
  <c r="AJ27"/>
  <c r="CX27" s="1"/>
  <c r="W27" s="1"/>
  <c r="CQ27"/>
  <c r="P27" s="1"/>
  <c r="CS27"/>
  <c r="R27" s="1"/>
  <c r="GK27" s="1"/>
  <c r="CU27"/>
  <c r="T27" s="1"/>
  <c r="CW27"/>
  <c r="V27" s="1"/>
  <c r="FR27"/>
  <c r="GL27"/>
  <c r="GO27"/>
  <c r="GP27"/>
  <c r="GV27"/>
  <c r="GX27"/>
  <c r="B29"/>
  <c r="B22" s="1"/>
  <c r="C29"/>
  <c r="C22" s="1"/>
  <c r="D29"/>
  <c r="D22" s="1"/>
  <c r="F29"/>
  <c r="F22" s="1"/>
  <c r="G29"/>
  <c r="G22" s="1"/>
  <c r="BX29"/>
  <c r="BX22" s="1"/>
  <c r="BY29"/>
  <c r="BY22" s="1"/>
  <c r="BZ29"/>
  <c r="BZ22" s="1"/>
  <c r="CC29"/>
  <c r="CC22" s="1"/>
  <c r="CD29"/>
  <c r="CD22" s="1"/>
  <c r="CG29"/>
  <c r="CG22" s="1"/>
  <c r="CI29"/>
  <c r="CI22" s="1"/>
  <c r="CK29"/>
  <c r="CK22" s="1"/>
  <c r="CL29"/>
  <c r="CL22" s="1"/>
  <c r="FP29"/>
  <c r="FP22" s="1"/>
  <c r="FQ29"/>
  <c r="FQ22" s="1"/>
  <c r="FR29"/>
  <c r="FR22" s="1"/>
  <c r="FU29"/>
  <c r="FU22" s="1"/>
  <c r="FV29"/>
  <c r="FV22" s="1"/>
  <c r="FY29"/>
  <c r="FY22" s="1"/>
  <c r="GA29"/>
  <c r="GA22" s="1"/>
  <c r="GB29"/>
  <c r="GB22" s="1"/>
  <c r="GC29"/>
  <c r="GC22" s="1"/>
  <c r="GD29"/>
  <c r="GD22" s="1"/>
  <c r="B58"/>
  <c r="B18" s="1"/>
  <c r="C58"/>
  <c r="C18" s="1"/>
  <c r="D58"/>
  <c r="D18" s="1"/>
  <c r="F58"/>
  <c r="F18" s="1"/>
  <c r="G58"/>
  <c r="G18" s="1"/>
  <c r="B20" i="2"/>
  <c r="B21"/>
  <c r="B24"/>
  <c r="B27"/>
  <c r="B30"/>
  <c r="B32"/>
  <c r="B33"/>
  <c r="B35"/>
  <c r="B36"/>
  <c r="B37"/>
  <c r="B39"/>
  <c r="B40"/>
  <c r="B41"/>
  <c r="B42"/>
  <c r="B43"/>
  <c r="B44"/>
  <c r="B45"/>
  <c r="CY27" i="1" l="1"/>
  <c r="X27" s="1"/>
  <c r="CZ27"/>
  <c r="Y27" s="1"/>
  <c r="CY25"/>
  <c r="X25" s="1"/>
  <c r="EC29" s="1"/>
  <c r="CZ25"/>
  <c r="Y25" s="1"/>
  <c r="ED29" s="1"/>
  <c r="DX29"/>
  <c r="DU29"/>
  <c r="CP25"/>
  <c r="O25" s="1"/>
  <c r="CZ24"/>
  <c r="Y24" s="1"/>
  <c r="CY24"/>
  <c r="X24" s="1"/>
  <c r="AF29"/>
  <c r="CP24"/>
  <c r="O24" s="1"/>
  <c r="DZ29"/>
  <c r="EA29"/>
  <c r="AH29"/>
  <c r="AI29"/>
  <c r="AD29"/>
  <c r="CJ22"/>
  <c r="BA29"/>
  <c r="DW29"/>
  <c r="GK25"/>
  <c r="GK24"/>
  <c r="AB26"/>
  <c r="EB29"/>
  <c r="DY29"/>
  <c r="AB25"/>
  <c r="AJ29"/>
  <c r="AG29"/>
  <c r="AB24"/>
  <c r="ET29"/>
  <c r="ER29"/>
  <c r="EP29"/>
  <c r="EL29"/>
  <c r="EH29"/>
  <c r="BB29"/>
  <c r="AZ29"/>
  <c r="AX29"/>
  <c r="AT29"/>
  <c r="AP29"/>
  <c r="CR27"/>
  <c r="Q27" s="1"/>
  <c r="DV29" s="1"/>
  <c r="CS26"/>
  <c r="R26" s="1"/>
  <c r="GK26" s="1"/>
  <c r="CQ26"/>
  <c r="P26" s="1"/>
  <c r="CP26" s="1"/>
  <c r="O26" s="1"/>
  <c r="CX36" i="3"/>
  <c r="CX34"/>
  <c r="CX32"/>
  <c r="CX30"/>
  <c r="CX28"/>
  <c r="CX26"/>
  <c r="CX24"/>
  <c r="CX22"/>
  <c r="CX20"/>
  <c r="CX18"/>
  <c r="CX16"/>
  <c r="CX14"/>
  <c r="CX12"/>
  <c r="CX10"/>
  <c r="CX8"/>
  <c r="CX6"/>
  <c r="CX4"/>
  <c r="CX2"/>
  <c r="EU29" i="1"/>
  <c r="ES29"/>
  <c r="EM29"/>
  <c r="EI29"/>
  <c r="EG29"/>
  <c r="BC29"/>
  <c r="AU29"/>
  <c r="AQ29"/>
  <c r="AO29"/>
  <c r="CX35" i="3"/>
  <c r="CX33"/>
  <c r="CX31"/>
  <c r="CX27"/>
  <c r="CX25"/>
  <c r="CX23"/>
  <c r="CX21"/>
  <c r="CX17"/>
  <c r="CX15"/>
  <c r="CX13"/>
  <c r="CX9"/>
  <c r="CX7"/>
  <c r="CX5"/>
  <c r="CX3"/>
  <c r="DV22" i="1" l="1"/>
  <c r="DI29"/>
  <c r="AT22"/>
  <c r="F47"/>
  <c r="U16" i="2" s="1"/>
  <c r="U18" s="1"/>
  <c r="AT58" i="1"/>
  <c r="AZ22"/>
  <c r="F40"/>
  <c r="AZ58"/>
  <c r="EH22"/>
  <c r="P38"/>
  <c r="G16" i="2" s="1"/>
  <c r="G18" s="1"/>
  <c r="EH58" i="1"/>
  <c r="EP22"/>
  <c r="P36"/>
  <c r="EP58"/>
  <c r="ET22"/>
  <c r="P42"/>
  <c r="ET58"/>
  <c r="AG22"/>
  <c r="T29"/>
  <c r="EB22"/>
  <c r="DO29"/>
  <c r="DW22"/>
  <c r="DJ29"/>
  <c r="AI22"/>
  <c r="V29"/>
  <c r="DZ22"/>
  <c r="DM29"/>
  <c r="GM24"/>
  <c r="GN24"/>
  <c r="AB29"/>
  <c r="GN25"/>
  <c r="GM25"/>
  <c r="DX22"/>
  <c r="DK29"/>
  <c r="EC22"/>
  <c r="DP29"/>
  <c r="CP27"/>
  <c r="O27" s="1"/>
  <c r="DT29" s="1"/>
  <c r="CZ26"/>
  <c r="Y26" s="1"/>
  <c r="F39"/>
  <c r="AQ58"/>
  <c r="AQ22"/>
  <c r="F45"/>
  <c r="BC58"/>
  <c r="BC22"/>
  <c r="EI58"/>
  <c r="EI22"/>
  <c r="P39"/>
  <c r="ES58"/>
  <c r="ES22"/>
  <c r="P49"/>
  <c r="F33"/>
  <c r="AO58"/>
  <c r="AO22"/>
  <c r="F48"/>
  <c r="AU58"/>
  <c r="AU22"/>
  <c r="EG58"/>
  <c r="EG22"/>
  <c r="P33"/>
  <c r="EM58"/>
  <c r="EM22"/>
  <c r="P48"/>
  <c r="H16" i="2" s="1"/>
  <c r="H18" s="1"/>
  <c r="EU58" i="1"/>
  <c r="EU22"/>
  <c r="P45"/>
  <c r="AP22"/>
  <c r="F38"/>
  <c r="V16" i="2" s="1"/>
  <c r="V18" s="1"/>
  <c r="AP58" i="1"/>
  <c r="AX22"/>
  <c r="F36"/>
  <c r="AX58"/>
  <c r="BB22"/>
  <c r="F42"/>
  <c r="BB58"/>
  <c r="EL22"/>
  <c r="P47"/>
  <c r="F16" i="2" s="1"/>
  <c r="F18" s="1"/>
  <c r="EL58" i="1"/>
  <c r="ER22"/>
  <c r="P40"/>
  <c r="ER58"/>
  <c r="AJ22"/>
  <c r="W29"/>
  <c r="DY22"/>
  <c r="DL29"/>
  <c r="F49"/>
  <c r="BA58"/>
  <c r="BA22"/>
  <c r="AD22"/>
  <c r="Q29"/>
  <c r="AH22"/>
  <c r="U29"/>
  <c r="EA22"/>
  <c r="DN29"/>
  <c r="AF22"/>
  <c r="S29"/>
  <c r="FW29"/>
  <c r="DU22"/>
  <c r="DH29"/>
  <c r="FX29"/>
  <c r="FZ29"/>
  <c r="ED22"/>
  <c r="DQ29"/>
  <c r="AE29"/>
  <c r="AC29"/>
  <c r="AL29"/>
  <c r="CY26"/>
  <c r="X26" s="1"/>
  <c r="GN26" s="1"/>
  <c r="W16" i="2" l="1"/>
  <c r="W18" s="1"/>
  <c r="DT22" i="1"/>
  <c r="DG29"/>
  <c r="DQ22"/>
  <c r="P55"/>
  <c r="DQ58"/>
  <c r="DH22"/>
  <c r="DH58"/>
  <c r="P32"/>
  <c r="AL22"/>
  <c r="Y29"/>
  <c r="AE22"/>
  <c r="R29"/>
  <c r="FX22"/>
  <c r="EO29"/>
  <c r="F44"/>
  <c r="Y16" i="2" s="1"/>
  <c r="Y18" s="1"/>
  <c r="S22" i="1"/>
  <c r="S58"/>
  <c r="DN22"/>
  <c r="DN58"/>
  <c r="P52"/>
  <c r="F51"/>
  <c r="U22"/>
  <c r="U58"/>
  <c r="F41"/>
  <c r="Q22"/>
  <c r="Q58"/>
  <c r="P76"/>
  <c r="EL18"/>
  <c r="AX18"/>
  <c r="F65"/>
  <c r="EU18"/>
  <c r="P74"/>
  <c r="EG18"/>
  <c r="P62"/>
  <c r="AU18"/>
  <c r="F77"/>
  <c r="EI18"/>
  <c r="P68"/>
  <c r="BC18"/>
  <c r="F74"/>
  <c r="DP22"/>
  <c r="DP58"/>
  <c r="P54"/>
  <c r="DK22"/>
  <c r="P44"/>
  <c r="J16" i="2" s="1"/>
  <c r="J18" s="1"/>
  <c r="DK58" i="1"/>
  <c r="DM22"/>
  <c r="P51"/>
  <c r="DM58"/>
  <c r="V22"/>
  <c r="F52"/>
  <c r="V58"/>
  <c r="DJ22"/>
  <c r="DJ58"/>
  <c r="P43"/>
  <c r="DO22"/>
  <c r="P53"/>
  <c r="DO58"/>
  <c r="T22"/>
  <c r="F50"/>
  <c r="T58"/>
  <c r="P71"/>
  <c r="ET18"/>
  <c r="P67"/>
  <c r="EH18"/>
  <c r="AT18"/>
  <c r="F76"/>
  <c r="GM26"/>
  <c r="AK29"/>
  <c r="FT29"/>
  <c r="CB29"/>
  <c r="CE29"/>
  <c r="AC22"/>
  <c r="P29"/>
  <c r="CF29"/>
  <c r="CH29"/>
  <c r="FZ22"/>
  <c r="EQ29"/>
  <c r="FW22"/>
  <c r="EN29"/>
  <c r="BA18"/>
  <c r="F78"/>
  <c r="DL22"/>
  <c r="DL58"/>
  <c r="P50"/>
  <c r="F53"/>
  <c r="W22"/>
  <c r="W58"/>
  <c r="P69"/>
  <c r="ER18"/>
  <c r="BB18"/>
  <c r="F71"/>
  <c r="AP18"/>
  <c r="F67"/>
  <c r="EM18"/>
  <c r="P77"/>
  <c r="AO18"/>
  <c r="F62"/>
  <c r="ES18"/>
  <c r="P78"/>
  <c r="AQ18"/>
  <c r="F68"/>
  <c r="GN27"/>
  <c r="GM27"/>
  <c r="AB22"/>
  <c r="O29"/>
  <c r="P65"/>
  <c r="EP18"/>
  <c r="AZ18"/>
  <c r="F69"/>
  <c r="DI22"/>
  <c r="P41"/>
  <c r="DI58"/>
  <c r="FS29"/>
  <c r="CA29"/>
  <c r="F31" l="1"/>
  <c r="O22"/>
  <c r="O58"/>
  <c r="W18"/>
  <c r="F82"/>
  <c r="DL18"/>
  <c r="P79"/>
  <c r="EN22"/>
  <c r="P34"/>
  <c r="EN58"/>
  <c r="EQ58"/>
  <c r="EQ22"/>
  <c r="P37"/>
  <c r="CH22"/>
  <c r="AY29"/>
  <c r="P22"/>
  <c r="F32"/>
  <c r="P58"/>
  <c r="CE22"/>
  <c r="AV29"/>
  <c r="CA22"/>
  <c r="AR29"/>
  <c r="DI18"/>
  <c r="P70"/>
  <c r="CF22"/>
  <c r="AW29"/>
  <c r="CB22"/>
  <c r="AS29"/>
  <c r="AK22"/>
  <c r="X29"/>
  <c r="T18"/>
  <c r="F79"/>
  <c r="DM18"/>
  <c r="P80"/>
  <c r="U18"/>
  <c r="F80"/>
  <c r="DN18"/>
  <c r="P81"/>
  <c r="S18"/>
  <c r="F73"/>
  <c r="P61"/>
  <c r="DH18"/>
  <c r="DQ18"/>
  <c r="P84"/>
  <c r="FS22"/>
  <c r="EJ29"/>
  <c r="FT22"/>
  <c r="EK29"/>
  <c r="DO18"/>
  <c r="P82"/>
  <c r="P72"/>
  <c r="DJ18"/>
  <c r="V18"/>
  <c r="F81"/>
  <c r="DK18"/>
  <c r="P73"/>
  <c r="DP18"/>
  <c r="P83"/>
  <c r="Q18"/>
  <c r="F70"/>
  <c r="EO58"/>
  <c r="EO22"/>
  <c r="P35"/>
  <c r="R22"/>
  <c r="F43"/>
  <c r="R58"/>
  <c r="F55"/>
  <c r="Y22"/>
  <c r="Y58"/>
  <c r="DG22"/>
  <c r="P31"/>
  <c r="DG58"/>
  <c r="DG18" l="1"/>
  <c r="P60"/>
  <c r="R18"/>
  <c r="F72"/>
  <c r="EK58"/>
  <c r="EK22"/>
  <c r="P46"/>
  <c r="E16" i="2" s="1"/>
  <c r="EJ22" i="1"/>
  <c r="P56"/>
  <c r="EJ58"/>
  <c r="X22"/>
  <c r="F54"/>
  <c r="X58"/>
  <c r="F46"/>
  <c r="T16" i="2" s="1"/>
  <c r="AS58" i="1"/>
  <c r="AS22"/>
  <c r="F35"/>
  <c r="AW58"/>
  <c r="AW22"/>
  <c r="AR22"/>
  <c r="F56"/>
  <c r="AR58"/>
  <c r="AV22"/>
  <c r="F34"/>
  <c r="AV58"/>
  <c r="P18"/>
  <c r="F61"/>
  <c r="P63"/>
  <c r="EN18"/>
  <c r="Y18"/>
  <c r="F84"/>
  <c r="EO18"/>
  <c r="P64"/>
  <c r="F37"/>
  <c r="AY58"/>
  <c r="AY22"/>
  <c r="EQ18"/>
  <c r="P66"/>
  <c r="O18"/>
  <c r="F60"/>
  <c r="AR18" l="1"/>
  <c r="F85"/>
  <c r="AW18"/>
  <c r="F64"/>
  <c r="X16" i="2"/>
  <c r="X18" s="1"/>
  <c r="T18"/>
  <c r="EJ18" i="1"/>
  <c r="P85"/>
  <c r="AY18"/>
  <c r="F66"/>
  <c r="AV18"/>
  <c r="F63"/>
  <c r="AS18"/>
  <c r="F75"/>
  <c r="X18"/>
  <c r="F83"/>
  <c r="I16" i="2"/>
  <c r="I18" s="1"/>
  <c r="E18"/>
  <c r="EK18" i="1"/>
  <c r="P75"/>
</calcChain>
</file>

<file path=xl/sharedStrings.xml><?xml version="1.0" encoding="utf-8"?>
<sst xmlns="http://schemas.openxmlformats.org/spreadsheetml/2006/main" count="1342" uniqueCount="254">
  <si>
    <t>Smeta.RU (Terminal)  (495) 974-1589</t>
  </si>
  <si>
    <t>_PS_</t>
  </si>
  <si>
    <t>Smeta.RU (Terminal)</t>
  </si>
  <si>
    <t/>
  </si>
  <si>
    <t>Новый объект</t>
  </si>
  <si>
    <t>Сметные нормы списания</t>
  </si>
  <si>
    <t>Коды ценников</t>
  </si>
  <si>
    <t>ТЕР Тверской обл. (ред. 2015)</t>
  </si>
  <si>
    <t>ТР для Версии 9: Центральные регионы (с учетом п-ма 2536-ИП/12/ГС от 27.11.12) от 10.11.2016 г</t>
  </si>
  <si>
    <t>ТЕР-2015</t>
  </si>
  <si>
    <t>Поправки  для НБ 2014 года от 03.03.2016 ЭТАЛОН</t>
  </si>
  <si>
    <t>Новая локальная смета</t>
  </si>
  <si>
    <t>1</t>
  </si>
  <si>
    <t>15-01-016-3</t>
  </si>
  <si>
    <t>Наружная облицовка по бетонной поверхности керамическими отдельными плитками на цементном растворе колонн</t>
  </si>
  <si>
    <t>100 м2 облицованной поверхности</t>
  </si>
  <si>
    <t>ТЕР (ред.2014)Тверской обл.изм.2,пр. № 337/пр,сб.15,гл.01,табл.016,поз.3</t>
  </si>
  <si>
    <t>)*1,25</t>
  </si>
  <si>
    <t>)*1,15</t>
  </si>
  <si>
    <t>Общестроительные работы</t>
  </si>
  <si>
    <t>Отделочные работы</t>
  </si>
  <si>
    <t>ФЕР-15</t>
  </si>
  <si>
    <t>Поправка: МДС 81-35.2004, п.4.7</t>
  </si>
  <si>
    <t>*0,9</t>
  </si>
  <si>
    <t>*0,85</t>
  </si>
  <si>
    <t>*0,8</t>
  </si>
  <si>
    <t>2</t>
  </si>
  <si>
    <t>15-01-016-2</t>
  </si>
  <si>
    <t>Наружная облицовка по бетонной поверхности керамическими отдельными плитками на цементном растворе стен</t>
  </si>
  <si>
    <t>ТЕР (ред.2014)Тверской обл.изм.2,пр. № 337/пр,сб.15,гл.01,табл.016,поз.2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</si>
  <si>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</si>
  <si>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</si>
  <si>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</si>
  <si>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</si>
  <si>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</si>
  <si>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</si>
  <si>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</si>
  <si>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</si>
  <si>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</si>
  <si>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</si>
  <si>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-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</si>
  <si>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</si>
  <si>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</si>
  <si>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</si>
  <si>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</si>
  <si>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</si>
  <si>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</si>
  <si>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</si>
  <si>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</si>
  <si>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</si>
  <si>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</si>
  <si>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</si>
  <si>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</si>
  <si>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</si>
  <si>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</si>
  <si>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</si>
  <si>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</si>
  <si>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</si>
  <si>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</si>
  <si>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</si>
  <si>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</si>
  <si>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</si>
  <si>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</si>
  <si>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</si>
  <si>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</si>
  <si>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</si>
  <si>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</si>
  <si>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</si>
  <si>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</si>
  <si>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</si>
  <si>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</si>
  <si>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</si>
  <si>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</si>
  <si>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</si>
  <si>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</si>
  <si>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</si>
  <si>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</si>
  <si>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</si>
  <si>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</si>
  <si>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</si>
  <si>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</si>
  <si>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</si>
  <si>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</si>
  <si>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СТР_РЕК</t>
  </si>
  <si>
    <t>СТРОИТЕЛЬСТВО и РЕКОНСТРУКЦИЯ  зданий и сооружений всех назначений</t>
  </si>
  <si>
    <t>РЕМ_ЖИЛ</t>
  </si>
  <si>
    <t>КАП. РЕМ. ЖИЛЫХ И ОБЩЕСТВЕННЫХ ЗДАНИЙ</t>
  </si>
  <si>
    <t>РЕМ_ПР</t>
  </si>
  <si>
    <t>КАП. РЕМ. ПРОИЗВОДСТВЕННЫХ ЗД, и СООРУЖЕНИЙ,  НАРУЖНЫХ ИНЖЕНЕРНЫХ СЕТЕЙ, УЛИЦ И ДОРОГ МЕСТНОГО ЗНАЧЕНИЯ, МОСТОВ И ПУТЕПРОВОДОВ</t>
  </si>
  <si>
    <t>УПР</t>
  </si>
  <si>
    <t>{вкл} - УПРОЩЕННОЕ НАЛОГООБЛОЖЕНИЕ</t>
  </si>
  <si>
    <t>Для всех  расценок. (  при применении упрощенной системы налогообложения)  · {УПР} - ( вкл.)    -  при упрощенной системе   ;  к = 0,9 к СП ( к= 0,7 к НР отменен с 1.01.11)  · {УПР} - ( выкл.) -  при  обычной системе налогообложения</t>
  </si>
  <si>
    <t>ХОЗ</t>
  </si>
  <si>
    <t>{вкл} - ХОЗЯЙСТВЕННЫЙ СПОСОБ</t>
  </si>
  <si>
    <t>Для всех  расценок. (  при хозяйственном способе производства работ):  · {ХОЗ} - ( вкл.)    -  при  хоз. способе (к=0,6 к НР )  · {ХОЗ} - ( выкл.) -  при обычном способе производства работ</t>
  </si>
  <si>
    <t>СЛЖ</t>
  </si>
  <si>
    <t>{вкл} -  При  РЕКОНСТРУКЦИИ сложных объектов, РЕКОНСТРУКЦИИ и КАП. РЕМОНТЕ объектов с дейст. яд. реакторами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</si>
  <si>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</si>
  <si>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М/Т/Я</t>
  </si>
  <si>
    <t>Работы по строительству мостов, тоннелей, метрополитенов, атомных станций, объектов с ядерным топливом и радиокативными отходами ( письмо Госстроя РФ № 2536-ИП/12/ГС от 27.11.12), коэффициенты к НР =0,85 и к СП-0,8 не назначаются</t>
  </si>
  <si>
    <t>ОПТ/В</t>
  </si>
  <si>
    <t>{вкл}    - Прокладка  МЕЖДУГОРОДНИХ  ВОЛОКОННО-ОПТИЧЕСКИХ ЛИНИЙ (для ФЕРм10, отд. 6 разд.3)  {выкл} - Прокладка  ГОРОДСКИХ               ВОЛОКОННО-ОПТИТЕСКИХ ЛИНИЙ  (для ФЕРм10, отд. 6 разд.3)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</si>
  <si>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</si>
  <si>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ЗАКР</t>
  </si>
  <si>
    <t>{вкл}   -  Обслуживающие и сопутстующие работы в тоннелях при  производве работ ЗАКРЫТЫМ СПОСОБОМ   {выкл} - Обслуживающие и сопутстующие работы в тоннелях при  производве работ  ОТКРЫТЫМ                       (ФЕР-29, разд.04 )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</si>
  <si>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</si>
  <si>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АВИ</t>
  </si>
  <si>
    <t>(вкл)   -  При работах по ДИСПЕТЧЕРЕЗАЦИИ управления движением АВИАТРАНСПОРТОМ {вкл}  (монтажные работы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</si>
  <si>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</si>
  <si>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АЭС</t>
  </si>
  <si>
    <t>(вкл)  -  Производство эл./монт. работ на АЭС ( ФЕРм -08 , отдел 01-03 ),  и контроль свар. швов  на АЭС {вкл}  (ФЕРм-39, отд. 02 и 03 )  (вык) -  Произовдство эл./монт. работ  и и контроль свар. швов на ОБЫЧНЫХ СООРУЖ,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</si>
  <si>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</si>
  <si>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К_НР_РЕМ</t>
  </si>
  <si>
    <t>при ремонте жилых и общественных зданий если  ( если {РЕМ_ЖИЛ}= [вкл.]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</si>
  <si>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</si>
  <si>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К_СП_РЕМ</t>
  </si>
  <si>
    <t>к нормам СП при капитальном ремонте зданий и сооружений всех назначений ( если или {РЕМ_ЖИЛ}=[вкл] , или (РЕМ_ПР}=[вкл] )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</si>
  <si>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</si>
  <si>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К_НР_05</t>
  </si>
  <si>
    <t>К нормам НР  с 1.01.2005 по 1.01.2011</t>
  </si>
  <si>
    <t>Для норм НР с 1.01.2011 года:  · {_ТЕК_НР} = 0.85  -  Коэффициент   учитывающий изменение нормы страховых взносов с  1.01.1 - (при расчете в текущем уровне цен  индексами по статьям затрат )  · {_ТЕК_НР} = 1,00  -  при расчет в текущем уровне цен и при уп</t>
  </si>
  <si>
    <t>К_НР_11</t>
  </si>
  <si>
    <t>Коэфф.  к НР для текущего уровня цен с 01.01.2011  при обычном и упрощенном налогообложении  при постатейной индексации</t>
  </si>
  <si>
    <t>К_СП_11</t>
  </si>
  <si>
    <t>Коэф. к  СП в текущем уровне цен  с 01.01.2011</t>
  </si>
  <si>
    <t>Для норм СП с 1.01.2011 года:  · {_ТЕК_СП} = 0.80  -  Коэффициент   учитывающий изменение нормы страховых взносов с  1.01.11 - (при расчете в текущем уровне цен  индексами по статьям затрат )  · {_ТЕК_СП} = 1,00  -  без учета</t>
  </si>
  <si>
    <t>К_НР_12</t>
  </si>
  <si>
    <t>Корректировка НР с 03.12.12   если (М/Т/Я) = {выкл.}</t>
  </si>
  <si>
    <t>К_СП_12</t>
  </si>
  <si>
    <t>Корректировка СП с 03.12.12  в текущем уровне цен по письму  2536-ИП/12/ГС от 27.11.12  ( если (М/Т/Я) = {выкл.} )</t>
  </si>
  <si>
    <t>К_НР_УПР</t>
  </si>
  <si>
    <t>Коэф. к  НР при упрощенном налогообложении    ( если {УПР} = [вкл] )</t>
  </si>
  <si>
    <t>К_СП_УПР</t>
  </si>
  <si>
    <t>Коэф. к СП при упрощенном налогообложении    ( если {УПР} = [вкл] )</t>
  </si>
  <si>
    <t>К_НР_ХОЗ</t>
  </si>
  <si>
    <t>Коэф. к НР при хозяйственном способе производства работ   ( если {ХОЗ}= {вкл} )</t>
  </si>
  <si>
    <t>К_НР_СЛЖ</t>
  </si>
  <si>
    <t>Коэф.  при реконструкции сложных объектов  и  кап. ремонте объектов с яд. реакторами   ( если {СЛЖ} = [вкл] )</t>
  </si>
  <si>
    <t>Р_ОКР</t>
  </si>
  <si>
    <t>Разрядность округления результата расчета НР и СП  ( с 01.01.2011 - до целых )</t>
  </si>
  <si>
    <t>К_НР_УПР_ПУ</t>
  </si>
  <si>
    <t>Коэф. к НР при упрощенном налогообложении ( если {УПР} = [вкл] ) для расценок на изготовление материалов, полуфабрикатов, а также металлических и трубопроводных заготовок, изготовляемых в построечных условиях</t>
  </si>
  <si>
    <t>Уровень цен</t>
  </si>
  <si>
    <t>Сборник индексов</t>
  </si>
  <si>
    <t>ТЕР Тверской области (ред. 2015 г.)</t>
  </si>
  <si>
    <t>Новый уровень цен</t>
  </si>
  <si>
    <t>_OBSM_</t>
  </si>
  <si>
    <t>1-1038-69</t>
  </si>
  <si>
    <t>Рабочий строитель среднего разряда 3,8</t>
  </si>
  <si>
    <t>чел.-ч</t>
  </si>
  <si>
    <t>2-69</t>
  </si>
  <si>
    <t>Затраты труда машинистов</t>
  </si>
  <si>
    <t>чел.час</t>
  </si>
  <si>
    <t>030101</t>
  </si>
  <si>
    <t>ЦЭМ Тверской обл.(редакции 2014), пр. №337/пр, сб.03,поз.0101</t>
  </si>
  <si>
    <t>Автопогрузчики 5 т</t>
  </si>
  <si>
    <t>маш.-ч</t>
  </si>
  <si>
    <t>030954</t>
  </si>
  <si>
    <t>ЦЭМ Тверской обл.(редакции 2014), пр. №337/пр, сб.03,поз.0954</t>
  </si>
  <si>
    <t>Подъемники грузоподъемностью до 500 кг одномачтовые, высота подъема 45 м</t>
  </si>
  <si>
    <t>101-0278</t>
  </si>
  <si>
    <t>ССЦ Тверской обл. (редакции 2014), пр. № 337/пр, сб.101, поз.0278</t>
  </si>
  <si>
    <t>Плитки керамические фасадные и ковры из них неглазурованные гладкие толщиной 9 мм</t>
  </si>
  <si>
    <t>м2</t>
  </si>
  <si>
    <t>101-1330</t>
  </si>
  <si>
    <t>ССЦ Тверской обл. (редакции 2014), пр. № 337/пр, сб.101, поз.1330</t>
  </si>
  <si>
    <t>Портландцемент пуццолановый общестроительного и специального назначения марки 400</t>
  </si>
  <si>
    <t>т</t>
  </si>
  <si>
    <t>101-1757</t>
  </si>
  <si>
    <t>ССЦ Тверской обл. (редакции 2014), пр. № 337/пр, сб.101, поз.1757</t>
  </si>
  <si>
    <t>Ветошь</t>
  </si>
  <si>
    <t>кг</t>
  </si>
  <si>
    <t>402-0078</t>
  </si>
  <si>
    <t>ССЦ Тверской обл. (редакции 2014), пр. № 337/пр, сб.402, поз.0078</t>
  </si>
  <si>
    <t>Раствор готовый отделочный тяжелый, цементный 1:3</t>
  </si>
  <si>
    <t>м3</t>
  </si>
  <si>
    <t>411-0001</t>
  </si>
  <si>
    <t>ССЦ Тверской обл. (редакции 2014), пр. № 337/пр, сб.411, поз.0001</t>
  </si>
  <si>
    <t>Вода</t>
  </si>
  <si>
    <t>Поправка: МДС 81-35.2004, п.4.7  Наименование: Работы, выполняемые при реконструкции зданий и сооружений работы, аналогичные технологическим процессам в новом строительстве (в том числе возведение новых конструктивных элементов) стоимость которых определена по соответствующим сборникам ФЕР, кроме сборника № 46 «Работы при реконструкции зданий и сооружений»</t>
  </si>
  <si>
    <t>Форма 4Т</t>
  </si>
  <si>
    <t>Наименование стройки</t>
  </si>
  <si>
    <t>Базисный уровень</t>
  </si>
  <si>
    <t>Текущий уровень</t>
  </si>
  <si>
    <t xml:space="preserve">Сметная стоимость </t>
  </si>
  <si>
    <t>тыс.руб.</t>
  </si>
  <si>
    <t xml:space="preserve">Нормативная трудоемкость  </t>
  </si>
  <si>
    <t>чел.ч.</t>
  </si>
  <si>
    <t xml:space="preserve">Сметная заработная плата  </t>
  </si>
  <si>
    <t>№ п.п.</t>
  </si>
  <si>
    <t>Код норматива, наименование, единица измерения</t>
  </si>
  <si>
    <t>Объем</t>
  </si>
  <si>
    <t>Базисная стоимость за единицу</t>
  </si>
  <si>
    <t>Базисная стоимость за всего</t>
  </si>
  <si>
    <t>Индекс\Цена</t>
  </si>
  <si>
    <t>Текущая стоимость всего</t>
  </si>
  <si>
    <t>Осн. З\П</t>
  </si>
  <si>
    <t>Эксп</t>
  </si>
  <si>
    <t>Материал</t>
  </si>
  <si>
    <t>В т.ч. з\п</t>
  </si>
  <si>
    <t>Составлена в базисных ценах на 01.2000 г. и текущих ценах на  декабрь 2017 года</t>
  </si>
  <si>
    <t>15-01-016-3
Наружная облицовка по бетонной поверхности керамическими отдельными плитками на цементном растворе колонн</t>
  </si>
  <si>
    <t xml:space="preserve">Накладные расходы </t>
  </si>
  <si>
    <t xml:space="preserve">Сметная прибыль </t>
  </si>
  <si>
    <t>ПОПРАВКИ К: ЭММ )*1,25; ЗПМ )*1,25; ОЗП )*1,15; Труд.Стр. )*1,15; Труд.Маш. )*1,25</t>
  </si>
  <si>
    <t>15-01-016-2
Наружная облицовка по бетонной поверхности керамическими отдельными плитками на цементном растворе стен</t>
  </si>
  <si>
    <t>*0,9*0,85</t>
  </si>
  <si>
    <t>*0,85*0,8</t>
  </si>
  <si>
    <t xml:space="preserve">  Отделочные работы</t>
  </si>
  <si>
    <t xml:space="preserve">    105 %*0,9*0,85 = 80 % от ФОТ = 6 278,27 (по стр. 1-2) </t>
  </si>
  <si>
    <t>в том числе</t>
  </si>
  <si>
    <t xml:space="preserve">    55 %*0,85*0,8 = 37 % от ФОТ = 6 278,27 (по стр. 1-2) </t>
  </si>
  <si>
    <t>Итого по смете с накладными расходами и сметной прибылью</t>
  </si>
  <si>
    <t xml:space="preserve">ИТОГО ПО СМЕТЕ: </t>
  </si>
  <si>
    <t>Составил:</t>
  </si>
  <si>
    <t>(должность, подпись, Ф.И.О)</t>
  </si>
  <si>
    <t>Проверил:</t>
  </si>
  <si>
    <t>Утверждаю</t>
  </si>
  <si>
    <t>Смету в сумме</t>
  </si>
  <si>
    <t>тыс. руб.</t>
  </si>
  <si>
    <t>"_____" __________________  2018 г.</t>
  </si>
  <si>
    <t xml:space="preserve">Строительные работы </t>
  </si>
  <si>
    <t xml:space="preserve">Монтажные работы </t>
  </si>
  <si>
    <t xml:space="preserve">Оборудование </t>
  </si>
  <si>
    <t xml:space="preserve">Прочие работы </t>
  </si>
  <si>
    <t xml:space="preserve">Нормативная трудоемкость </t>
  </si>
  <si>
    <t>чел.-ч.</t>
  </si>
  <si>
    <t xml:space="preserve">Средства на оплату труда </t>
  </si>
  <si>
    <t>Составлена в ценах ТЕР Тверской области (ред. 2015 г.) декабрь 2017 года</t>
  </si>
  <si>
    <t>№ п/п</t>
  </si>
  <si>
    <t>Шифр норм</t>
  </si>
  <si>
    <t>Наименование работ и затрат</t>
  </si>
  <si>
    <t>Единица измерения</t>
  </si>
  <si>
    <t>Кол-во</t>
  </si>
  <si>
    <t>Стоимость ед., руб.</t>
  </si>
  <si>
    <t>Общая стоимость, руб.</t>
  </si>
  <si>
    <t>Затраты труда, чел.-ч</t>
  </si>
  <si>
    <t>Экспл. машин</t>
  </si>
  <si>
    <t>Материалы</t>
  </si>
  <si>
    <t>в т.ч. оплата труда</t>
  </si>
  <si>
    <t>основных рабочих</t>
  </si>
  <si>
    <t>машинистов</t>
  </si>
  <si>
    <t>оплата труда</t>
  </si>
  <si>
    <t>в т.ч. зарплата</t>
  </si>
  <si>
    <t>на единицу</t>
  </si>
  <si>
    <t>всего</t>
  </si>
  <si>
    <r>
      <t>Наружная облицовка по бетонной поверхности керамическими отдельными плитками на цементном растворе колонн</t>
    </r>
    <r>
      <rPr>
        <i/>
        <sz val="10"/>
        <rFont val="Arial"/>
        <family val="2"/>
        <charset val="204"/>
      </rPr>
      <t xml:space="preserve">
К=(ЭММ, ЗПМ, ТЗМ))*1,25; (ОЗП, ТЗ))*1,15</t>
    </r>
  </si>
  <si>
    <t>Итого с НР и СП</t>
  </si>
  <si>
    <t>Материальные ресурсы:</t>
  </si>
  <si>
    <r>
      <t>Наружная облицовка по бетонной поверхности керамическими отдельными плитками на цементном растворе стен</t>
    </r>
    <r>
      <rPr>
        <i/>
        <sz val="10"/>
        <rFont val="Arial"/>
        <family val="2"/>
        <charset val="204"/>
      </rPr>
      <t xml:space="preserve">
К=(ЭММ, ЗПМ, ТЗМ))*1,25; (ОЗП, ТЗ))*1,15</t>
    </r>
  </si>
  <si>
    <t>NUM_VID_RAB=2;NAME_VID_RAB=Общестроительные работы</t>
  </si>
  <si>
    <t>Итого Общестроительные работы</t>
  </si>
  <si>
    <t>Стесненные условия 1,12</t>
  </si>
  <si>
    <t xml:space="preserve">Исполнил   </t>
  </si>
</sst>
</file>

<file path=xl/styles.xml><?xml version="1.0" encoding="utf-8"?>
<styleSheet xmlns="http://schemas.openxmlformats.org/spreadsheetml/2006/main">
  <numFmts count="3">
    <numFmt numFmtId="164" formatCode="#,##0.00;[Red]\-\ #,##0.00"/>
    <numFmt numFmtId="165" formatCode="#,##0.00############;[Red]\-\ #,##0.00############"/>
    <numFmt numFmtId="166" formatCode="#,##0.00####;[Red]\-\ #,##0.00####"/>
  </numFmts>
  <fonts count="24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Arial"/>
      <family val="2"/>
      <charset val="204"/>
    </font>
    <font>
      <i/>
      <sz val="11"/>
      <name val="Arial"/>
      <family val="2"/>
      <charset val="204"/>
    </font>
    <font>
      <i/>
      <sz val="10"/>
      <name val="Arial"/>
      <family val="2"/>
      <charset val="204"/>
    </font>
    <font>
      <sz val="12"/>
      <name val="Arial"/>
      <family val="2"/>
      <charset val="204"/>
    </font>
    <font>
      <b/>
      <sz val="13"/>
      <name val="Arial"/>
      <family val="2"/>
      <charset val="204"/>
    </font>
    <font>
      <u/>
      <sz val="11"/>
      <name val="Arial"/>
      <family val="2"/>
      <charset val="204"/>
    </font>
    <font>
      <i/>
      <sz val="11"/>
      <color rgb="FF008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3" fillId="0" borderId="0" xfId="0" applyFont="1"/>
    <xf numFmtId="0" fontId="12" fillId="0" borderId="0" xfId="0" applyFont="1" applyFill="1" applyAlignment="1"/>
    <xf numFmtId="0" fontId="14" fillId="0" borderId="0" xfId="0" applyFont="1" applyFill="1"/>
    <xf numFmtId="0" fontId="12" fillId="0" borderId="0" xfId="0" applyFont="1" applyFill="1" applyAlignment="1">
      <alignment horizontal="right"/>
    </xf>
    <xf numFmtId="0" fontId="14" fillId="0" borderId="0" xfId="0" applyFont="1" applyFill="1" applyAlignment="1"/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7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7" fillId="0" borderId="0" xfId="0" applyFont="1" applyFill="1" applyAlignment="1">
      <alignment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/>
    </xf>
    <xf numFmtId="49" fontId="14" fillId="0" borderId="7" xfId="0" applyNumberFormat="1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right" wrapText="1"/>
    </xf>
    <xf numFmtId="0" fontId="14" fillId="0" borderId="0" xfId="0" applyFont="1" applyAlignment="1">
      <alignment horizontal="left" vertical="top" wrapText="1"/>
    </xf>
    <xf numFmtId="0" fontId="18" fillId="0" borderId="0" xfId="0" applyFont="1" applyAlignment="1">
      <alignment horizontal="right" wrapText="1"/>
    </xf>
    <xf numFmtId="164" fontId="14" fillId="0" borderId="0" xfId="0" applyNumberFormat="1" applyFont="1" applyAlignment="1">
      <alignment horizontal="right" wrapText="1"/>
    </xf>
    <xf numFmtId="164" fontId="14" fillId="0" borderId="1" xfId="0" applyNumberFormat="1" applyFont="1" applyBorder="1" applyAlignment="1">
      <alignment horizontal="right"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164" fontId="18" fillId="0" borderId="0" xfId="0" applyNumberFormat="1" applyFont="1" applyAlignment="1">
      <alignment horizontal="right"/>
    </xf>
    <xf numFmtId="164" fontId="17" fillId="0" borderId="0" xfId="0" applyNumberFormat="1" applyFont="1" applyAlignment="1">
      <alignment horizontal="right"/>
    </xf>
    <xf numFmtId="164" fontId="17" fillId="0" borderId="1" xfId="0" applyNumberFormat="1" applyFont="1" applyBorder="1" applyAlignment="1">
      <alignment horizontal="right"/>
    </xf>
    <xf numFmtId="0" fontId="0" fillId="0" borderId="0" xfId="0" quotePrefix="1"/>
    <xf numFmtId="164" fontId="14" fillId="0" borderId="0" xfId="0" applyNumberFormat="1" applyFont="1" applyAlignment="1">
      <alignment horizontal="right"/>
    </xf>
    <xf numFmtId="0" fontId="14" fillId="0" borderId="0" xfId="0" quotePrefix="1" applyFont="1" applyAlignment="1">
      <alignment horizontal="left" wrapText="1"/>
    </xf>
    <xf numFmtId="0" fontId="17" fillId="0" borderId="0" xfId="0" applyFont="1" applyAlignment="1">
      <alignment horizontal="left" wrapText="1"/>
    </xf>
    <xf numFmtId="164" fontId="17" fillId="0" borderId="0" xfId="0" applyNumberFormat="1" applyFont="1" applyAlignment="1">
      <alignment horizontal="right"/>
    </xf>
    <xf numFmtId="165" fontId="14" fillId="0" borderId="0" xfId="0" applyNumberFormat="1" applyFont="1" applyAlignment="1">
      <alignment horizontal="right"/>
    </xf>
    <xf numFmtId="0" fontId="20" fillId="0" borderId="0" xfId="0" applyFont="1" applyAlignment="1">
      <alignment horizontal="right" vertical="center"/>
    </xf>
    <xf numFmtId="0" fontId="20" fillId="0" borderId="1" xfId="0" applyFont="1" applyBorder="1" applyAlignment="1">
      <alignment vertical="center"/>
    </xf>
    <xf numFmtId="0" fontId="20" fillId="0" borderId="0" xfId="0" applyFont="1" applyAlignment="1">
      <alignment horizontal="right"/>
    </xf>
    <xf numFmtId="0" fontId="12" fillId="0" borderId="0" xfId="0" applyFont="1" applyFill="1" applyBorder="1" applyAlignment="1">
      <alignment horizontal="center"/>
    </xf>
    <xf numFmtId="164" fontId="17" fillId="0" borderId="0" xfId="0" applyNumberFormat="1" applyFont="1" applyAlignment="1">
      <alignment horizontal="right"/>
    </xf>
    <xf numFmtId="0" fontId="14" fillId="0" borderId="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1" fillId="0" borderId="0" xfId="0" applyFont="1"/>
    <xf numFmtId="0" fontId="14" fillId="0" borderId="0" xfId="0" applyFont="1"/>
    <xf numFmtId="164" fontId="17" fillId="0" borderId="0" xfId="0" applyNumberFormat="1" applyFont="1" applyAlignment="1">
      <alignment horizontal="left" wrapText="1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wrapText="1"/>
    </xf>
    <xf numFmtId="0" fontId="14" fillId="0" borderId="0" xfId="0" applyFont="1" applyAlignment="1">
      <alignment horizontal="right" vertical="top" wrapText="1"/>
    </xf>
    <xf numFmtId="0" fontId="14" fillId="0" borderId="0" xfId="0" applyFont="1" applyAlignment="1">
      <alignment horizontal="right" vertical="top"/>
    </xf>
    <xf numFmtId="164" fontId="14" fillId="0" borderId="9" xfId="0" applyNumberFormat="1" applyFont="1" applyBorder="1" applyAlignment="1">
      <alignment horizontal="right"/>
    </xf>
    <xf numFmtId="166" fontId="14" fillId="0" borderId="0" xfId="0" applyNumberFormat="1" applyFont="1" applyAlignment="1">
      <alignment horizontal="right"/>
    </xf>
    <xf numFmtId="166" fontId="14" fillId="0" borderId="9" xfId="0" applyNumberFormat="1" applyFont="1" applyBorder="1" applyAlignment="1">
      <alignment horizontal="right"/>
    </xf>
    <xf numFmtId="0" fontId="14" fillId="0" borderId="0" xfId="0" applyFont="1" applyAlignment="1">
      <alignment horizontal="left" vertical="top"/>
    </xf>
    <xf numFmtId="164" fontId="14" fillId="0" borderId="0" xfId="0" applyNumberFormat="1" applyFont="1" applyAlignment="1">
      <alignment horizontal="right" vertical="top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right" vertical="top"/>
    </xf>
    <xf numFmtId="164" fontId="17" fillId="0" borderId="0" xfId="0" applyNumberFormat="1" applyFont="1" applyAlignment="1">
      <alignment horizontal="right" vertical="top"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horizontal="left" wrapText="1"/>
    </xf>
    <xf numFmtId="164" fontId="23" fillId="0" borderId="0" xfId="0" applyNumberFormat="1" applyFont="1" applyAlignment="1">
      <alignment horizontal="right" wrapText="1"/>
    </xf>
    <xf numFmtId="164" fontId="14" fillId="0" borderId="1" xfId="0" applyNumberFormat="1" applyFont="1" applyBorder="1" applyAlignment="1">
      <alignment horizontal="right"/>
    </xf>
    <xf numFmtId="166" fontId="14" fillId="0" borderId="1" xfId="0" applyNumberFormat="1" applyFont="1" applyBorder="1" applyAlignment="1">
      <alignment horizontal="right"/>
    </xf>
    <xf numFmtId="0" fontId="17" fillId="0" borderId="0" xfId="0" applyFont="1" applyAlignment="1">
      <alignment horizontal="right"/>
    </xf>
    <xf numFmtId="0" fontId="14" fillId="0" borderId="1" xfId="0" applyFont="1" applyBorder="1" applyAlignment="1">
      <alignment horizontal="right"/>
    </xf>
    <xf numFmtId="0" fontId="14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164" fontId="14" fillId="0" borderId="0" xfId="0" applyNumberFormat="1" applyFont="1" applyAlignment="1">
      <alignment horizontal="right"/>
    </xf>
    <xf numFmtId="0" fontId="12" fillId="0" borderId="3" xfId="0" applyFont="1" applyFill="1" applyBorder="1" applyAlignment="1">
      <alignment horizontal="center"/>
    </xf>
    <xf numFmtId="165" fontId="14" fillId="0" borderId="0" xfId="0" applyNumberFormat="1" applyFont="1" applyAlignment="1">
      <alignment horizontal="right"/>
    </xf>
    <xf numFmtId="0" fontId="17" fillId="0" borderId="0" xfId="0" applyFont="1" applyAlignment="1">
      <alignment horizontal="left" wrapText="1"/>
    </xf>
    <xf numFmtId="164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left" vertical="center" wrapText="1"/>
    </xf>
    <xf numFmtId="0" fontId="19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164" fontId="14" fillId="0" borderId="0" xfId="0" applyNumberFormat="1" applyFont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2" fontId="14" fillId="0" borderId="5" xfId="0" applyNumberFormat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right" vertical="center" wrapText="1"/>
    </xf>
    <xf numFmtId="164" fontId="14" fillId="0" borderId="0" xfId="0" applyNumberFormat="1" applyFont="1" applyFill="1" applyAlignment="1">
      <alignment horizontal="righ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9" fillId="0" borderId="0" xfId="0" applyFont="1" applyAlignment="1">
      <alignment horizontal="left"/>
    </xf>
    <xf numFmtId="0" fontId="14" fillId="0" borderId="0" xfId="0" applyFont="1" applyAlignment="1">
      <alignment horizontal="right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left" wrapText="1"/>
    </xf>
    <xf numFmtId="0" fontId="14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"/>
  <sheetViews>
    <sheetView workbookViewId="0"/>
  </sheetViews>
  <sheetFormatPr defaultRowHeight="12.75"/>
  <sheetData>
    <row r="1" spans="1:29">
      <c r="A1">
        <v>80</v>
      </c>
      <c r="B1">
        <v>37</v>
      </c>
      <c r="C1">
        <v>1</v>
      </c>
      <c r="D1">
        <v>1</v>
      </c>
      <c r="E1">
        <v>15001</v>
      </c>
      <c r="F1" t="s">
        <v>20</v>
      </c>
      <c r="G1" s="41" t="s">
        <v>206</v>
      </c>
      <c r="H1" s="41" t="s">
        <v>207</v>
      </c>
      <c r="I1">
        <f>Source!BZ25</f>
        <v>105</v>
      </c>
      <c r="J1">
        <f>Source!CA25</f>
        <v>55</v>
      </c>
      <c r="K1">
        <v>117</v>
      </c>
      <c r="L1">
        <v>6337.61</v>
      </c>
      <c r="M1">
        <v>3479.2</v>
      </c>
      <c r="N1">
        <v>25.07</v>
      </c>
      <c r="O1">
        <v>18.09</v>
      </c>
      <c r="P1">
        <v>2833.34</v>
      </c>
      <c r="Q1">
        <v>21</v>
      </c>
      <c r="R1">
        <v>0</v>
      </c>
      <c r="S1">
        <v>2797.83</v>
      </c>
      <c r="T1">
        <v>1294</v>
      </c>
      <c r="U1">
        <v>516.49</v>
      </c>
      <c r="V1">
        <v>190.22</v>
      </c>
      <c r="W1">
        <v>2.83</v>
      </c>
      <c r="X1">
        <v>0.99</v>
      </c>
      <c r="Y1">
        <v>323.44</v>
      </c>
      <c r="Z1">
        <v>21</v>
      </c>
      <c r="AA1">
        <v>0</v>
      </c>
      <c r="AB1">
        <v>181.65</v>
      </c>
      <c r="AC1">
        <v>89.87</v>
      </c>
    </row>
    <row r="2" spans="1:29">
      <c r="A2">
        <v>80</v>
      </c>
      <c r="B2">
        <v>37</v>
      </c>
      <c r="C2">
        <v>1</v>
      </c>
      <c r="D2">
        <v>2</v>
      </c>
      <c r="E2">
        <v>15001</v>
      </c>
      <c r="F2" t="s">
        <v>20</v>
      </c>
      <c r="G2" s="41" t="s">
        <v>206</v>
      </c>
      <c r="H2" s="41" t="s">
        <v>207</v>
      </c>
      <c r="I2">
        <f>Source!BZ27</f>
        <v>105</v>
      </c>
      <c r="J2">
        <f>Source!CA27</f>
        <v>55</v>
      </c>
      <c r="K2">
        <v>117</v>
      </c>
      <c r="L2">
        <v>5621.3</v>
      </c>
      <c r="M2">
        <v>2762.89</v>
      </c>
      <c r="N2">
        <v>25.07</v>
      </c>
      <c r="O2">
        <v>18.09</v>
      </c>
      <c r="P2">
        <v>2833.34</v>
      </c>
      <c r="Q2">
        <v>17</v>
      </c>
      <c r="R2">
        <v>0</v>
      </c>
      <c r="S2">
        <v>2224.7800000000002</v>
      </c>
      <c r="T2">
        <v>1028.96</v>
      </c>
      <c r="U2">
        <v>477.33</v>
      </c>
      <c r="V2">
        <v>151.06</v>
      </c>
      <c r="W2">
        <v>2.83</v>
      </c>
      <c r="X2">
        <v>0.99</v>
      </c>
      <c r="Y2">
        <v>323.44</v>
      </c>
      <c r="Z2">
        <v>17</v>
      </c>
      <c r="AA2">
        <v>0</v>
      </c>
      <c r="AB2">
        <v>144.44999999999999</v>
      </c>
      <c r="AC2">
        <v>71.459999999999994</v>
      </c>
    </row>
  </sheetData>
  <sortState ref="A1:AC2">
    <sortCondition ref="E1"/>
    <sortCondition descending="1" ref="B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2"/>
  <sheetViews>
    <sheetView workbookViewId="0"/>
  </sheetViews>
  <sheetFormatPr defaultRowHeight="12.75"/>
  <cols>
    <col min="1" max="1" width="5.7109375" customWidth="1"/>
    <col min="2" max="2" width="40.7109375" customWidth="1"/>
    <col min="3" max="9" width="12.7109375" customWidth="1"/>
    <col min="10" max="11" width="10.7109375" customWidth="1"/>
    <col min="12" max="14" width="12.7109375" customWidth="1"/>
    <col min="20" max="34" width="0" hidden="1" customWidth="1"/>
    <col min="35" max="35" width="84.7109375" hidden="1" customWidth="1"/>
    <col min="36" max="36" width="0" hidden="1" customWidth="1"/>
  </cols>
  <sheetData>
    <row r="1" spans="1:14">
      <c r="A1" s="11" t="str">
        <f>Source!B1</f>
        <v>Smeta.RU (Terminal)  (495) 974-1589</v>
      </c>
    </row>
    <row r="2" spans="1:14" ht="14.25">
      <c r="A2" s="12"/>
      <c r="B2" s="12"/>
      <c r="C2" s="12"/>
      <c r="D2" s="12"/>
      <c r="E2" s="12"/>
      <c r="F2" s="12"/>
      <c r="G2" s="13"/>
      <c r="H2" s="13"/>
      <c r="I2" s="13"/>
      <c r="J2" s="13"/>
      <c r="K2" s="13"/>
      <c r="L2" s="13"/>
      <c r="M2" s="13"/>
      <c r="N2" s="14" t="s">
        <v>180</v>
      </c>
    </row>
    <row r="3" spans="1:14" ht="14.25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15.75">
      <c r="A4" s="15"/>
      <c r="B4" s="97" t="s">
        <v>181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16"/>
    </row>
    <row r="5" spans="1:14" ht="15.75">
      <c r="A5" s="1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6"/>
    </row>
    <row r="6" spans="1:14" ht="15.75">
      <c r="A6" s="15"/>
      <c r="B6" s="97" t="str">
        <f>Source!G12</f>
        <v>Новый объект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16"/>
    </row>
    <row r="7" spans="1:14" ht="14.25">
      <c r="A7" s="18"/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8">
      <c r="A8" s="13"/>
      <c r="B8" s="98" t="str">
        <f>CONCATENATE( "ЛОКАЛЬНАЯ СМЕТА № ",IF(Source!F12&lt;&gt;"Новый объект", Source!F12, ""))</f>
        <v xml:space="preserve">ЛОКАЛЬНАЯ СМЕТА № 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20"/>
    </row>
    <row r="9" spans="1:14" ht="18">
      <c r="A9" s="13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0"/>
    </row>
    <row r="10" spans="1:14" ht="18">
      <c r="A10" s="22"/>
      <c r="B10" s="98" t="str">
        <f>Source!G12</f>
        <v>Новый объект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22"/>
    </row>
    <row r="11" spans="1:14" ht="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13"/>
      <c r="M11" s="13"/>
      <c r="N11" s="13"/>
    </row>
    <row r="12" spans="1:14" ht="14.25">
      <c r="A12" s="24"/>
      <c r="B12" s="24"/>
      <c r="C12" s="24"/>
      <c r="D12" s="24"/>
      <c r="E12" s="24"/>
      <c r="F12" s="24"/>
      <c r="G12" s="24"/>
      <c r="H12" s="24"/>
      <c r="I12" s="24"/>
      <c r="J12" s="99" t="s">
        <v>182</v>
      </c>
      <c r="K12" s="99"/>
      <c r="L12" s="99" t="s">
        <v>183</v>
      </c>
      <c r="M12" s="99"/>
      <c r="N12" s="24"/>
    </row>
    <row r="13" spans="1:14" ht="14.25">
      <c r="A13" s="93" t="s">
        <v>184</v>
      </c>
      <c r="B13" s="93"/>
      <c r="C13" s="93"/>
      <c r="D13" s="93"/>
      <c r="E13" s="93"/>
      <c r="F13" s="93"/>
      <c r="G13" s="93"/>
      <c r="H13" s="93"/>
      <c r="I13" s="93"/>
      <c r="J13" s="94">
        <f>(Source!F85/1000)</f>
        <v>1.48125</v>
      </c>
      <c r="K13" s="93"/>
      <c r="L13" s="94">
        <f>(Source!P85/1000)</f>
        <v>19.304479999999998</v>
      </c>
      <c r="M13" s="93"/>
      <c r="N13" s="25" t="s">
        <v>185</v>
      </c>
    </row>
    <row r="14" spans="1:14" ht="14.25">
      <c r="A14" s="93" t="s">
        <v>186</v>
      </c>
      <c r="B14" s="93"/>
      <c r="C14" s="93"/>
      <c r="D14" s="93"/>
      <c r="E14" s="93"/>
      <c r="F14" s="93"/>
      <c r="G14" s="93"/>
      <c r="H14" s="93"/>
      <c r="I14" s="93"/>
      <c r="J14" s="94">
        <f>(Source!F80+Source!F81)</f>
        <v>37.74147</v>
      </c>
      <c r="K14" s="93"/>
      <c r="L14" s="94">
        <f>(Source!P80+Source!P81)</f>
        <v>37.74147</v>
      </c>
      <c r="M14" s="93"/>
      <c r="N14" s="25" t="s">
        <v>187</v>
      </c>
    </row>
    <row r="15" spans="1:14" ht="14.25">
      <c r="A15" s="93" t="s">
        <v>188</v>
      </c>
      <c r="B15" s="93"/>
      <c r="C15" s="93"/>
      <c r="D15" s="93"/>
      <c r="E15" s="93"/>
      <c r="F15" s="93"/>
      <c r="G15" s="93"/>
      <c r="H15" s="93"/>
      <c r="I15" s="93"/>
      <c r="J15" s="94">
        <f>(Source!F73+ Source!F72)/1000</f>
        <v>0.34326000000000001</v>
      </c>
      <c r="K15" s="93"/>
      <c r="L15" s="94">
        <f>((Source!P73 + Source!P72)/1000)</f>
        <v>6.27827</v>
      </c>
      <c r="M15" s="93"/>
      <c r="N15" s="25" t="s">
        <v>185</v>
      </c>
    </row>
    <row r="16" spans="1:14" ht="14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30" ht="14.25">
      <c r="A17" s="13" t="s">
        <v>200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30" ht="14.25">
      <c r="A18" s="88" t="s">
        <v>189</v>
      </c>
      <c r="B18" s="88" t="s">
        <v>190</v>
      </c>
      <c r="C18" s="88" t="s">
        <v>191</v>
      </c>
      <c r="D18" s="88" t="s">
        <v>192</v>
      </c>
      <c r="E18" s="95"/>
      <c r="F18" s="95"/>
      <c r="G18" s="88" t="s">
        <v>193</v>
      </c>
      <c r="H18" s="95"/>
      <c r="I18" s="95"/>
      <c r="J18" s="88" t="s">
        <v>194</v>
      </c>
      <c r="K18" s="95"/>
      <c r="L18" s="88" t="s">
        <v>195</v>
      </c>
      <c r="M18" s="95"/>
      <c r="N18" s="96"/>
    </row>
    <row r="19" spans="1:30" ht="14.25">
      <c r="A19" s="89"/>
      <c r="B19" s="89"/>
      <c r="C19" s="89"/>
      <c r="D19" s="88" t="s">
        <v>81</v>
      </c>
      <c r="E19" s="26" t="s">
        <v>196</v>
      </c>
      <c r="F19" s="26" t="s">
        <v>197</v>
      </c>
      <c r="G19" s="90" t="s">
        <v>81</v>
      </c>
      <c r="H19" s="26" t="s">
        <v>196</v>
      </c>
      <c r="I19" s="26" t="s">
        <v>197</v>
      </c>
      <c r="J19" s="26" t="s">
        <v>196</v>
      </c>
      <c r="K19" s="26" t="s">
        <v>197</v>
      </c>
      <c r="L19" s="88" t="s">
        <v>81</v>
      </c>
      <c r="M19" s="26" t="s">
        <v>196</v>
      </c>
      <c r="N19" s="27" t="s">
        <v>197</v>
      </c>
    </row>
    <row r="20" spans="1:30" ht="14.25">
      <c r="A20" s="89"/>
      <c r="B20" s="89"/>
      <c r="C20" s="89"/>
      <c r="D20" s="89"/>
      <c r="E20" s="26" t="s">
        <v>198</v>
      </c>
      <c r="F20" s="26" t="s">
        <v>199</v>
      </c>
      <c r="G20" s="91"/>
      <c r="H20" s="26" t="s">
        <v>198</v>
      </c>
      <c r="I20" s="26" t="s">
        <v>199</v>
      </c>
      <c r="J20" s="26" t="s">
        <v>198</v>
      </c>
      <c r="K20" s="26" t="s">
        <v>199</v>
      </c>
      <c r="L20" s="89"/>
      <c r="M20" s="26" t="s">
        <v>198</v>
      </c>
      <c r="N20" s="27" t="s">
        <v>199</v>
      </c>
    </row>
    <row r="21" spans="1:30" ht="14.25">
      <c r="A21" s="28">
        <v>1</v>
      </c>
      <c r="B21" s="28">
        <v>2</v>
      </c>
      <c r="C21" s="28">
        <v>3</v>
      </c>
      <c r="D21" s="28">
        <v>4</v>
      </c>
      <c r="E21" s="28">
        <v>5</v>
      </c>
      <c r="F21" s="28">
        <v>6</v>
      </c>
      <c r="G21" s="29">
        <v>7</v>
      </c>
      <c r="H21" s="28">
        <v>8</v>
      </c>
      <c r="I21" s="28">
        <v>9</v>
      </c>
      <c r="J21" s="28">
        <v>10</v>
      </c>
      <c r="K21" s="28">
        <v>11</v>
      </c>
      <c r="L21" s="28">
        <v>12</v>
      </c>
      <c r="M21" s="28">
        <v>13</v>
      </c>
      <c r="N21" s="28">
        <v>14</v>
      </c>
    </row>
    <row r="22" spans="1:30" ht="15">
      <c r="A22" s="92" t="str">
        <f>IF(Source!C12="1", Source!F20, Source!G20)</f>
        <v>Новая локальная смета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</row>
    <row r="23" spans="1:30" ht="71.25">
      <c r="A23" s="85" t="str">
        <f>Source!E24</f>
        <v>1</v>
      </c>
      <c r="B23" s="32" t="s">
        <v>201</v>
      </c>
      <c r="C23" s="86">
        <f>Source!I24</f>
        <v>4.7E-2</v>
      </c>
      <c r="D23" s="34">
        <f>Source!AK24</f>
        <v>10449.219999999999</v>
      </c>
      <c r="E23" s="35">
        <f>Source!AO24</f>
        <v>3519.41</v>
      </c>
      <c r="F23" s="35">
        <f>Source!AM24</f>
        <v>48.1</v>
      </c>
      <c r="G23" s="87">
        <f>Source!O24</f>
        <v>516.49</v>
      </c>
      <c r="H23" s="35">
        <f>Source!S24</f>
        <v>190.22</v>
      </c>
      <c r="I23" s="35">
        <f>Source!Q24</f>
        <v>2.83</v>
      </c>
      <c r="J23" s="31">
        <f>Source!BA25</f>
        <v>18.29</v>
      </c>
      <c r="K23" s="31">
        <f>Source!BB25</f>
        <v>8.8699999999999992</v>
      </c>
      <c r="L23" s="87">
        <f>Source!O25</f>
        <v>6337.61</v>
      </c>
      <c r="M23" s="35">
        <f>Source!S25</f>
        <v>3479.2</v>
      </c>
      <c r="N23" s="35">
        <f>Source!Q25</f>
        <v>25.07</v>
      </c>
      <c r="T23">
        <f>G23</f>
        <v>516.49</v>
      </c>
      <c r="U23">
        <f>H23</f>
        <v>190.22</v>
      </c>
      <c r="V23">
        <f>H24</f>
        <v>323.44</v>
      </c>
      <c r="W23">
        <f>I23</f>
        <v>2.83</v>
      </c>
      <c r="X23">
        <f>I24</f>
        <v>0.99</v>
      </c>
      <c r="Z23">
        <f>L23</f>
        <v>6337.61</v>
      </c>
      <c r="AA23">
        <f>M23</f>
        <v>3479.2</v>
      </c>
      <c r="AB23">
        <f>M24</f>
        <v>2833.34</v>
      </c>
      <c r="AC23">
        <f>N23</f>
        <v>25.07</v>
      </c>
      <c r="AD23">
        <f>N24</f>
        <v>18.09</v>
      </c>
    </row>
    <row r="24" spans="1:30" ht="14.25">
      <c r="A24" s="85"/>
      <c r="B24" s="33" t="str">
        <f>Source!H24</f>
        <v>100 м2 облицованной поверхности</v>
      </c>
      <c r="C24" s="86"/>
      <c r="D24" s="34"/>
      <c r="E24" s="34">
        <f>Source!AL24</f>
        <v>6881.71</v>
      </c>
      <c r="F24" s="34">
        <f>Source!AN24</f>
        <v>16.829999999999998</v>
      </c>
      <c r="G24" s="87"/>
      <c r="H24" s="34">
        <f>Source!P24</f>
        <v>323.44</v>
      </c>
      <c r="I24" s="34">
        <f>Source!R24</f>
        <v>0.99</v>
      </c>
      <c r="J24" s="31">
        <f>Source!BC25</f>
        <v>8.76</v>
      </c>
      <c r="K24" s="31">
        <f>Source!BS25</f>
        <v>18.29</v>
      </c>
      <c r="L24" s="87"/>
      <c r="M24" s="34">
        <f>Source!P25</f>
        <v>2833.34</v>
      </c>
      <c r="N24" s="34">
        <f>Source!R25</f>
        <v>18.09</v>
      </c>
    </row>
    <row r="25" spans="1:30">
      <c r="B25" s="30" t="str">
        <f>"Объем: "&amp;Source!I24&amp;"=4,7/"&amp;"100"</f>
        <v>Объем: 0,047=4,7/100</v>
      </c>
    </row>
    <row r="26" spans="1:30" ht="14.25">
      <c r="A26" s="36"/>
      <c r="B26" s="37" t="s">
        <v>202</v>
      </c>
      <c r="C26" s="36"/>
      <c r="D26" s="36" t="str">
        <f>CONCATENATE(Source!FX24, "%")</f>
        <v>94,5%</v>
      </c>
      <c r="E26" s="36"/>
      <c r="F26" s="36"/>
      <c r="G26" s="38">
        <f>Source!X24</f>
        <v>181.65</v>
      </c>
      <c r="H26" s="36"/>
      <c r="I26" s="36"/>
      <c r="J26" s="36"/>
      <c r="K26" s="36" t="str">
        <f>CONCATENATE(Source!AT25, "%")</f>
        <v>80%</v>
      </c>
      <c r="L26" s="38">
        <f>Source!X25</f>
        <v>2797.83</v>
      </c>
      <c r="M26" s="36"/>
      <c r="N26" s="36"/>
    </row>
    <row r="27" spans="1:30" ht="14.25">
      <c r="A27" s="36"/>
      <c r="B27" s="37" t="s">
        <v>203</v>
      </c>
      <c r="C27" s="36"/>
      <c r="D27" s="36" t="str">
        <f>CONCATENATE(Source!FY24, "%")</f>
        <v>46,75%</v>
      </c>
      <c r="E27" s="36"/>
      <c r="F27" s="36"/>
      <c r="G27" s="38">
        <f>Source!Y24</f>
        <v>89.87</v>
      </c>
      <c r="H27" s="36"/>
      <c r="I27" s="36"/>
      <c r="J27" s="36"/>
      <c r="K27" s="36" t="str">
        <f>CONCATENATE(Source!AU25, "%")</f>
        <v>37%</v>
      </c>
      <c r="L27" s="38">
        <f>Source!Y25</f>
        <v>1294</v>
      </c>
      <c r="M27" s="36"/>
      <c r="N27" s="36"/>
    </row>
    <row r="28" spans="1:30">
      <c r="B28" s="84" t="s">
        <v>204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</row>
    <row r="29" spans="1:30" ht="71.25">
      <c r="A29" s="85" t="str">
        <f>Source!E26</f>
        <v>2</v>
      </c>
      <c r="B29" s="32" t="s">
        <v>205</v>
      </c>
      <c r="C29" s="86">
        <f>Source!I26</f>
        <v>4.7E-2</v>
      </c>
      <c r="D29" s="34">
        <f>Source!AK26</f>
        <v>9724.6299999999992</v>
      </c>
      <c r="E29" s="35">
        <f>Source!AO26</f>
        <v>2794.82</v>
      </c>
      <c r="F29" s="35">
        <f>Source!AM26</f>
        <v>48.1</v>
      </c>
      <c r="G29" s="87">
        <f>Source!O26</f>
        <v>477.33</v>
      </c>
      <c r="H29" s="35">
        <f>Source!S26</f>
        <v>151.06</v>
      </c>
      <c r="I29" s="35">
        <f>Source!Q26</f>
        <v>2.83</v>
      </c>
      <c r="J29" s="31">
        <f>Source!BA27</f>
        <v>18.29</v>
      </c>
      <c r="K29" s="31">
        <f>Source!BB27</f>
        <v>8.8699999999999992</v>
      </c>
      <c r="L29" s="87">
        <f>Source!O27</f>
        <v>5621.3</v>
      </c>
      <c r="M29" s="35">
        <f>Source!S27</f>
        <v>2762.89</v>
      </c>
      <c r="N29" s="35">
        <f>Source!Q27</f>
        <v>25.07</v>
      </c>
      <c r="T29">
        <f>G29</f>
        <v>477.33</v>
      </c>
      <c r="U29">
        <f>H29</f>
        <v>151.06</v>
      </c>
      <c r="V29">
        <f>H30</f>
        <v>323.44</v>
      </c>
      <c r="W29">
        <f>I29</f>
        <v>2.83</v>
      </c>
      <c r="X29">
        <f>I30</f>
        <v>0.99</v>
      </c>
      <c r="Z29">
        <f>L29</f>
        <v>5621.3</v>
      </c>
      <c r="AA29">
        <f>M29</f>
        <v>2762.89</v>
      </c>
      <c r="AB29">
        <f>M30</f>
        <v>2833.34</v>
      </c>
      <c r="AC29">
        <f>N29</f>
        <v>25.07</v>
      </c>
      <c r="AD29">
        <f>N30</f>
        <v>18.09</v>
      </c>
    </row>
    <row r="30" spans="1:30" ht="14.25">
      <c r="A30" s="85"/>
      <c r="B30" s="33" t="str">
        <f>Source!H26</f>
        <v>100 м2 облицованной поверхности</v>
      </c>
      <c r="C30" s="86"/>
      <c r="D30" s="34"/>
      <c r="E30" s="34">
        <f>Source!AL26</f>
        <v>6881.71</v>
      </c>
      <c r="F30" s="34">
        <f>Source!AN26</f>
        <v>16.829999999999998</v>
      </c>
      <c r="G30" s="87"/>
      <c r="H30" s="34">
        <f>Source!P26</f>
        <v>323.44</v>
      </c>
      <c r="I30" s="34">
        <f>Source!R26</f>
        <v>0.99</v>
      </c>
      <c r="J30" s="31">
        <f>Source!BC27</f>
        <v>8.76</v>
      </c>
      <c r="K30" s="31">
        <f>Source!BS27</f>
        <v>18.29</v>
      </c>
      <c r="L30" s="87"/>
      <c r="M30" s="34">
        <f>Source!P27</f>
        <v>2833.34</v>
      </c>
      <c r="N30" s="34">
        <f>Source!R27</f>
        <v>18.09</v>
      </c>
    </row>
    <row r="31" spans="1:30">
      <c r="B31" s="30" t="str">
        <f>"Объем: "&amp;Source!I26&amp;"=4,7/"&amp;"100"</f>
        <v>Объем: 0,047=4,7/100</v>
      </c>
    </row>
    <row r="32" spans="1:30" ht="14.25">
      <c r="A32" s="36"/>
      <c r="B32" s="37" t="s">
        <v>202</v>
      </c>
      <c r="C32" s="36"/>
      <c r="D32" s="36" t="str">
        <f>CONCATENATE(Source!FX26, "%")</f>
        <v>94,5%</v>
      </c>
      <c r="E32" s="36"/>
      <c r="F32" s="36"/>
      <c r="G32" s="38">
        <f>Source!X26</f>
        <v>144.44999999999999</v>
      </c>
      <c r="H32" s="36"/>
      <c r="I32" s="36"/>
      <c r="J32" s="36"/>
      <c r="K32" s="36" t="str">
        <f>CONCATENATE(Source!AT27, "%")</f>
        <v>80%</v>
      </c>
      <c r="L32" s="38">
        <f>Source!X27</f>
        <v>2224.7800000000002</v>
      </c>
      <c r="M32" s="36"/>
      <c r="N32" s="36"/>
    </row>
    <row r="33" spans="1:35" ht="14.25">
      <c r="A33" s="36"/>
      <c r="B33" s="37" t="s">
        <v>203</v>
      </c>
      <c r="C33" s="36"/>
      <c r="D33" s="36" t="str">
        <f>CONCATENATE(Source!FY26, "%")</f>
        <v>46,75%</v>
      </c>
      <c r="E33" s="36"/>
      <c r="F33" s="36"/>
      <c r="G33" s="38">
        <f>Source!Y26</f>
        <v>71.459999999999994</v>
      </c>
      <c r="H33" s="36"/>
      <c r="I33" s="36"/>
      <c r="J33" s="36"/>
      <c r="K33" s="36" t="str">
        <f>CONCATENATE(Source!AU27, "%")</f>
        <v>37%</v>
      </c>
      <c r="L33" s="38">
        <f>Source!Y27</f>
        <v>1028.96</v>
      </c>
      <c r="M33" s="36"/>
      <c r="N33" s="36"/>
    </row>
    <row r="34" spans="1:35">
      <c r="B34" s="84" t="s">
        <v>204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</row>
    <row r="36" spans="1:35" ht="15">
      <c r="A36" s="83" t="str">
        <f>CONCATENATE("ИТОГО по: ", Source!G29)</f>
        <v>ИТОГО по: Новая локальная смета</v>
      </c>
      <c r="B36" s="83"/>
      <c r="C36" s="83"/>
      <c r="D36" s="83"/>
      <c r="E36" s="83"/>
      <c r="F36" s="83"/>
      <c r="G36" s="39">
        <f>SUM(T22:T35)</f>
        <v>993.81999999999994</v>
      </c>
      <c r="H36" s="40">
        <f>SUM(U22:U35)</f>
        <v>341.28</v>
      </c>
      <c r="I36" s="40">
        <f>SUM(W22:W35)</f>
        <v>5.66</v>
      </c>
      <c r="J36" s="39"/>
      <c r="K36" s="39"/>
      <c r="L36" s="39">
        <f>SUM(Z22:Z35)</f>
        <v>11958.91</v>
      </c>
      <c r="M36" s="40">
        <f>SUM(AA22:AA35)</f>
        <v>6242.09</v>
      </c>
      <c r="N36" s="40">
        <f>SUM(AC22:AC35)</f>
        <v>50.14</v>
      </c>
    </row>
    <row r="37" spans="1:35" ht="15">
      <c r="A37" s="83"/>
      <c r="B37" s="83"/>
      <c r="C37" s="83"/>
      <c r="D37" s="83"/>
      <c r="E37" s="83"/>
      <c r="F37" s="83"/>
      <c r="G37" s="39"/>
      <c r="H37" s="39">
        <f>SUM(V22:V35)</f>
        <v>646.88</v>
      </c>
      <c r="I37" s="39">
        <f>SUM(X22:X35)</f>
        <v>1.98</v>
      </c>
      <c r="J37" s="39"/>
      <c r="K37" s="39"/>
      <c r="L37" s="39"/>
      <c r="M37" s="39">
        <f>SUM(AB22:AB35)</f>
        <v>5666.68</v>
      </c>
      <c r="N37" s="39">
        <f>SUM(AD22:AD35)</f>
        <v>36.18</v>
      </c>
    </row>
    <row r="39" spans="1:35" ht="15">
      <c r="A39" s="81" t="s">
        <v>202</v>
      </c>
      <c r="B39" s="81"/>
      <c r="C39" s="81"/>
      <c r="D39" s="81"/>
      <c r="E39" s="81"/>
      <c r="F39" s="82">
        <v>326.10000000000002</v>
      </c>
      <c r="G39" s="82"/>
      <c r="K39" s="82">
        <v>5022.6100000000006</v>
      </c>
      <c r="L39" s="82"/>
    </row>
    <row r="40" spans="1:35" ht="14.25">
      <c r="A40" s="77" t="s">
        <v>210</v>
      </c>
      <c r="B40" s="77"/>
      <c r="C40" s="77"/>
      <c r="D40" s="77"/>
      <c r="E40" s="77"/>
      <c r="F40" s="78"/>
      <c r="G40" s="78"/>
      <c r="K40" s="78"/>
      <c r="L40" s="78"/>
    </row>
    <row r="41" spans="1:35" ht="14.25">
      <c r="A41" s="77" t="s">
        <v>208</v>
      </c>
      <c r="B41" s="77"/>
      <c r="C41" s="77"/>
      <c r="D41" s="77"/>
      <c r="E41" s="77"/>
      <c r="F41" s="78"/>
      <c r="G41" s="78"/>
      <c r="K41" s="78"/>
      <c r="L41" s="78"/>
    </row>
    <row r="42" spans="1:35" ht="14.25">
      <c r="A42" s="77" t="s">
        <v>209</v>
      </c>
      <c r="B42" s="77"/>
      <c r="C42" s="77"/>
      <c r="D42" s="77"/>
      <c r="E42" s="77"/>
      <c r="F42" s="78">
        <v>326.10000000000002</v>
      </c>
      <c r="G42" s="78"/>
      <c r="K42" s="78">
        <v>5022.6100000000006</v>
      </c>
      <c r="L42" s="78"/>
      <c r="AI42" s="43" t="s">
        <v>209</v>
      </c>
    </row>
    <row r="43" spans="1:35" ht="15">
      <c r="A43" s="81" t="s">
        <v>203</v>
      </c>
      <c r="B43" s="81"/>
      <c r="C43" s="81"/>
      <c r="D43" s="81"/>
      <c r="E43" s="81"/>
      <c r="F43" s="82">
        <v>161.32999999999998</v>
      </c>
      <c r="G43" s="82"/>
      <c r="K43" s="82">
        <v>2322.96</v>
      </c>
      <c r="L43" s="82"/>
    </row>
    <row r="44" spans="1:35" ht="14.25">
      <c r="A44" s="77" t="s">
        <v>210</v>
      </c>
      <c r="B44" s="77"/>
      <c r="C44" s="77"/>
      <c r="D44" s="77"/>
      <c r="E44" s="77"/>
      <c r="F44" s="78"/>
      <c r="G44" s="78"/>
      <c r="K44" s="78"/>
      <c r="L44" s="78"/>
    </row>
    <row r="45" spans="1:35" ht="14.25">
      <c r="A45" s="77" t="s">
        <v>208</v>
      </c>
      <c r="B45" s="77"/>
      <c r="C45" s="77"/>
      <c r="D45" s="77"/>
      <c r="E45" s="77"/>
      <c r="F45" s="78"/>
      <c r="G45" s="78"/>
      <c r="K45" s="78"/>
      <c r="L45" s="78"/>
    </row>
    <row r="46" spans="1:35" ht="14.25">
      <c r="A46" s="77" t="s">
        <v>211</v>
      </c>
      <c r="B46" s="77"/>
      <c r="C46" s="77"/>
      <c r="D46" s="77"/>
      <c r="E46" s="77"/>
      <c r="F46" s="78">
        <v>161.32999999999998</v>
      </c>
      <c r="G46" s="78"/>
      <c r="K46" s="78">
        <v>2322.96</v>
      </c>
      <c r="L46" s="78"/>
      <c r="AI46" s="43" t="s">
        <v>211</v>
      </c>
    </row>
    <row r="47" spans="1:35" ht="15">
      <c r="A47" s="81" t="s">
        <v>212</v>
      </c>
      <c r="B47" s="81"/>
      <c r="C47" s="81"/>
      <c r="D47" s="81"/>
      <c r="E47" s="81"/>
      <c r="F47" s="82">
        <v>1481.25</v>
      </c>
      <c r="G47" s="82"/>
      <c r="K47" s="82">
        <v>19304.48</v>
      </c>
      <c r="L47" s="82"/>
    </row>
    <row r="49" spans="1:14" ht="14.25">
      <c r="A49" s="77" t="str">
        <f>Source!H31</f>
        <v>Прямые затраты</v>
      </c>
      <c r="B49" s="77"/>
      <c r="C49" s="77"/>
      <c r="D49" s="77"/>
      <c r="E49" s="77"/>
      <c r="F49" s="78">
        <f>Source!F31</f>
        <v>993.82</v>
      </c>
      <c r="G49" s="78"/>
      <c r="K49" s="78">
        <f>Source!P31</f>
        <v>11958.91</v>
      </c>
      <c r="L49" s="78"/>
    </row>
    <row r="50" spans="1:14" ht="14.25">
      <c r="A50" s="77" t="str">
        <f>Source!H32</f>
        <v>Стоимость материальных ресурсов (всего)</v>
      </c>
      <c r="B50" s="77"/>
      <c r="C50" s="77"/>
      <c r="D50" s="77"/>
      <c r="E50" s="77"/>
      <c r="F50" s="78">
        <f>Source!F32</f>
        <v>646.88</v>
      </c>
      <c r="G50" s="78"/>
      <c r="K50" s="78">
        <f>Source!P32</f>
        <v>5666.68</v>
      </c>
      <c r="L50" s="78"/>
    </row>
    <row r="51" spans="1:14" ht="14.25">
      <c r="A51" s="77" t="str">
        <f>Source!H35</f>
        <v>Стоимость материалов (всего)</v>
      </c>
      <c r="B51" s="77"/>
      <c r="C51" s="77"/>
      <c r="D51" s="77"/>
      <c r="E51" s="77"/>
      <c r="F51" s="78">
        <f>Source!F35</f>
        <v>646.88</v>
      </c>
      <c r="G51" s="78"/>
      <c r="K51" s="78">
        <f>Source!P35</f>
        <v>5666.68</v>
      </c>
      <c r="L51" s="78"/>
    </row>
    <row r="52" spans="1:14" ht="14.25">
      <c r="A52" s="77" t="str">
        <f>Source!H41</f>
        <v>Эксплуатация машин</v>
      </c>
      <c r="B52" s="77"/>
      <c r="C52" s="77"/>
      <c r="D52" s="77"/>
      <c r="E52" s="77"/>
      <c r="F52" s="78">
        <f>Source!F41</f>
        <v>5.66</v>
      </c>
      <c r="G52" s="78"/>
      <c r="K52" s="78">
        <f>Source!P41</f>
        <v>50.14</v>
      </c>
      <c r="L52" s="78"/>
    </row>
    <row r="53" spans="1:14" ht="14.25">
      <c r="A53" s="77" t="str">
        <f>Source!H43</f>
        <v>ЗП машинистов</v>
      </c>
      <c r="B53" s="77"/>
      <c r="C53" s="77"/>
      <c r="D53" s="77"/>
      <c r="E53" s="77"/>
      <c r="F53" s="78">
        <f>Source!F43</f>
        <v>1.98</v>
      </c>
      <c r="G53" s="78"/>
      <c r="K53" s="78">
        <f>Source!P43</f>
        <v>36.18</v>
      </c>
      <c r="L53" s="78"/>
    </row>
    <row r="54" spans="1:14" ht="14.25">
      <c r="A54" s="77" t="str">
        <f>Source!H44</f>
        <v>Основная ЗП рабочих</v>
      </c>
      <c r="B54" s="77"/>
      <c r="C54" s="77"/>
      <c r="D54" s="77"/>
      <c r="E54" s="77"/>
      <c r="F54" s="78">
        <f>Source!F44</f>
        <v>341.28</v>
      </c>
      <c r="G54" s="78"/>
      <c r="K54" s="78">
        <f>Source!P44</f>
        <v>6242.09</v>
      </c>
      <c r="L54" s="78"/>
    </row>
    <row r="55" spans="1:14" ht="14.25">
      <c r="A55" s="77" t="str">
        <f>Source!H46</f>
        <v>Строительные работы с НР и СП</v>
      </c>
      <c r="B55" s="77"/>
      <c r="C55" s="77"/>
      <c r="D55" s="77"/>
      <c r="E55" s="77"/>
      <c r="F55" s="78">
        <f>Source!F46</f>
        <v>1481.25</v>
      </c>
      <c r="G55" s="78"/>
      <c r="K55" s="78">
        <f>Source!P46</f>
        <v>19304.48</v>
      </c>
      <c r="L55" s="78"/>
    </row>
    <row r="56" spans="1:14" ht="14.25">
      <c r="A56" s="77" t="str">
        <f>Source!H51</f>
        <v>Трудозатраты строителей</v>
      </c>
      <c r="B56" s="77"/>
      <c r="C56" s="77"/>
      <c r="D56" s="77"/>
      <c r="E56" s="77"/>
      <c r="F56" s="80">
        <f>Source!F51</f>
        <v>37.586370000000002</v>
      </c>
      <c r="G56" s="80"/>
      <c r="K56" s="80">
        <f>Source!P51</f>
        <v>37.586370000000002</v>
      </c>
      <c r="L56" s="80"/>
    </row>
    <row r="57" spans="1:14" ht="14.25">
      <c r="A57" s="77" t="str">
        <f>Source!H52</f>
        <v>Трудозатраты машинистов</v>
      </c>
      <c r="B57" s="77"/>
      <c r="C57" s="77"/>
      <c r="D57" s="77"/>
      <c r="E57" s="77"/>
      <c r="F57" s="80">
        <f>Source!F52</f>
        <v>0.15510000000000002</v>
      </c>
      <c r="G57" s="80"/>
      <c r="K57" s="80">
        <f>Source!P52</f>
        <v>0.15510000000000002</v>
      </c>
      <c r="L57" s="80"/>
    </row>
    <row r="58" spans="1:14" ht="14.25">
      <c r="A58" s="77" t="str">
        <f>Source!H54</f>
        <v>Накладные расходы</v>
      </c>
      <c r="B58" s="77"/>
      <c r="C58" s="77"/>
      <c r="D58" s="77"/>
      <c r="E58" s="77"/>
      <c r="F58" s="78">
        <f>Source!F54</f>
        <v>326.10000000000002</v>
      </c>
      <c r="G58" s="78"/>
      <c r="K58" s="78">
        <f>Source!P54</f>
        <v>5022.6099999999997</v>
      </c>
      <c r="L58" s="78"/>
    </row>
    <row r="59" spans="1:14" ht="14.25">
      <c r="A59" s="77" t="str">
        <f>Source!H55</f>
        <v>Сметная прибыль</v>
      </c>
      <c r="B59" s="77"/>
      <c r="C59" s="77"/>
      <c r="D59" s="77"/>
      <c r="E59" s="77"/>
      <c r="F59" s="78">
        <f>Source!F55</f>
        <v>161.33000000000001</v>
      </c>
      <c r="G59" s="78"/>
      <c r="K59" s="78">
        <f>Source!P55</f>
        <v>2322.96</v>
      </c>
      <c r="L59" s="78"/>
    </row>
    <row r="60" spans="1:14" ht="14.25">
      <c r="A60" s="77" t="str">
        <f>Source!H56</f>
        <v>Всего с НР и СП</v>
      </c>
      <c r="B60" s="77"/>
      <c r="C60" s="77"/>
      <c r="D60" s="77"/>
      <c r="E60" s="77"/>
      <c r="F60" s="78">
        <f>Source!F56</f>
        <v>1481.25</v>
      </c>
      <c r="G60" s="78"/>
      <c r="K60" s="78">
        <f>Source!P56</f>
        <v>19304.48</v>
      </c>
      <c r="L60" s="78"/>
    </row>
    <row r="62" spans="1:14" ht="15">
      <c r="A62" s="83" t="s">
        <v>213</v>
      </c>
      <c r="B62" s="83"/>
      <c r="C62" s="83"/>
      <c r="D62" s="83"/>
      <c r="E62" s="83"/>
      <c r="F62" s="83"/>
      <c r="G62" s="39">
        <f>SUM(T1:T61)</f>
        <v>993.81999999999994</v>
      </c>
      <c r="H62" s="40">
        <f>SUM(U1:U61)</f>
        <v>341.28</v>
      </c>
      <c r="I62" s="40">
        <f>SUM(W1:W61)</f>
        <v>5.66</v>
      </c>
      <c r="J62" s="39"/>
      <c r="K62" s="39"/>
      <c r="L62" s="39">
        <f>SUM(Z1:Z61)</f>
        <v>11958.91</v>
      </c>
      <c r="M62" s="40">
        <f>SUM(AA1:AA61)</f>
        <v>6242.09</v>
      </c>
      <c r="N62" s="40">
        <f>SUM(AC1:AC61)</f>
        <v>50.14</v>
      </c>
    </row>
    <row r="63" spans="1:14" ht="15">
      <c r="A63" s="83"/>
      <c r="B63" s="83"/>
      <c r="C63" s="83"/>
      <c r="D63" s="83"/>
      <c r="E63" s="83"/>
      <c r="F63" s="83"/>
      <c r="G63" s="39"/>
      <c r="H63" s="39">
        <f>SUM(V1:V61)</f>
        <v>646.88</v>
      </c>
      <c r="I63" s="39">
        <f>SUM(X1:X61)</f>
        <v>1.98</v>
      </c>
      <c r="J63" s="39"/>
      <c r="K63" s="39"/>
      <c r="L63" s="39"/>
      <c r="M63" s="39">
        <f>SUM(AB1:AB61)</f>
        <v>5666.68</v>
      </c>
      <c r="N63" s="39">
        <f>SUM(AD1:AD61)</f>
        <v>36.18</v>
      </c>
    </row>
    <row r="65" spans="1:35" ht="15">
      <c r="A65" s="81" t="s">
        <v>202</v>
      </c>
      <c r="B65" s="81"/>
      <c r="C65" s="81"/>
      <c r="D65" s="81"/>
      <c r="E65" s="81"/>
      <c r="F65" s="82">
        <v>326.10000000000002</v>
      </c>
      <c r="G65" s="82"/>
      <c r="K65" s="82">
        <v>5022.6100000000006</v>
      </c>
      <c r="L65" s="82"/>
    </row>
    <row r="66" spans="1:35" ht="14.25">
      <c r="A66" s="77" t="s">
        <v>210</v>
      </c>
      <c r="B66" s="77"/>
      <c r="C66" s="77"/>
      <c r="D66" s="77"/>
      <c r="E66" s="77"/>
      <c r="F66" s="78"/>
      <c r="G66" s="78"/>
      <c r="K66" s="78"/>
      <c r="L66" s="78"/>
    </row>
    <row r="67" spans="1:35" ht="14.25">
      <c r="A67" s="77" t="s">
        <v>208</v>
      </c>
      <c r="B67" s="77"/>
      <c r="C67" s="77"/>
      <c r="D67" s="77"/>
      <c r="E67" s="77"/>
      <c r="F67" s="78"/>
      <c r="G67" s="78"/>
      <c r="K67" s="78"/>
      <c r="L67" s="78"/>
    </row>
    <row r="68" spans="1:35" ht="14.25">
      <c r="A68" s="77" t="s">
        <v>209</v>
      </c>
      <c r="B68" s="77"/>
      <c r="C68" s="77"/>
      <c r="D68" s="77"/>
      <c r="E68" s="77"/>
      <c r="F68" s="78">
        <v>326.10000000000002</v>
      </c>
      <c r="G68" s="78"/>
      <c r="K68" s="78">
        <v>5022.6100000000006</v>
      </c>
      <c r="L68" s="78"/>
      <c r="AI68" s="43" t="s">
        <v>209</v>
      </c>
    </row>
    <row r="69" spans="1:35" ht="15">
      <c r="A69" s="81" t="s">
        <v>203</v>
      </c>
      <c r="B69" s="81"/>
      <c r="C69" s="81"/>
      <c r="D69" s="81"/>
      <c r="E69" s="81"/>
      <c r="F69" s="82">
        <v>161.32999999999998</v>
      </c>
      <c r="G69" s="82"/>
      <c r="K69" s="82">
        <v>2322.96</v>
      </c>
      <c r="L69" s="82"/>
    </row>
    <row r="70" spans="1:35" ht="14.25">
      <c r="A70" s="77" t="s">
        <v>210</v>
      </c>
      <c r="B70" s="77"/>
      <c r="C70" s="77"/>
      <c r="D70" s="77"/>
      <c r="E70" s="77"/>
      <c r="F70" s="78"/>
      <c r="G70" s="78"/>
      <c r="K70" s="78"/>
      <c r="L70" s="78"/>
    </row>
    <row r="71" spans="1:35" ht="14.25">
      <c r="A71" s="77" t="s">
        <v>208</v>
      </c>
      <c r="B71" s="77"/>
      <c r="C71" s="77"/>
      <c r="D71" s="77"/>
      <c r="E71" s="77"/>
      <c r="F71" s="78"/>
      <c r="G71" s="78"/>
      <c r="K71" s="78"/>
      <c r="L71" s="78"/>
    </row>
    <row r="72" spans="1:35" ht="14.25">
      <c r="A72" s="77" t="s">
        <v>211</v>
      </c>
      <c r="B72" s="77"/>
      <c r="C72" s="77"/>
      <c r="D72" s="77"/>
      <c r="E72" s="77"/>
      <c r="F72" s="78">
        <v>161.32999999999998</v>
      </c>
      <c r="G72" s="78"/>
      <c r="K72" s="78">
        <v>2322.96</v>
      </c>
      <c r="L72" s="78"/>
      <c r="AI72" s="43" t="s">
        <v>211</v>
      </c>
    </row>
    <row r="73" spans="1:35" ht="15">
      <c r="A73" s="81" t="s">
        <v>212</v>
      </c>
      <c r="B73" s="81"/>
      <c r="C73" s="81"/>
      <c r="D73" s="81"/>
      <c r="E73" s="81"/>
      <c r="F73" s="82">
        <v>1481.25</v>
      </c>
      <c r="G73" s="82"/>
      <c r="K73" s="82">
        <v>19304.48</v>
      </c>
      <c r="L73" s="82"/>
    </row>
    <row r="74" spans="1:35" ht="14.25">
      <c r="A74" s="77" t="str">
        <f>Source!H60</f>
        <v>Прямые затраты</v>
      </c>
      <c r="B74" s="77"/>
      <c r="C74" s="77"/>
      <c r="D74" s="77"/>
      <c r="E74" s="77"/>
      <c r="F74" s="78">
        <f>Source!F60</f>
        <v>993.82</v>
      </c>
      <c r="G74" s="78"/>
      <c r="K74" s="78">
        <f>Source!P60</f>
        <v>11958.91</v>
      </c>
      <c r="L74" s="78"/>
    </row>
    <row r="75" spans="1:35" ht="14.25">
      <c r="A75" s="77" t="str">
        <f>Source!H61</f>
        <v>Стоимость материальных ресурсов (всего)</v>
      </c>
      <c r="B75" s="77"/>
      <c r="C75" s="77"/>
      <c r="D75" s="77"/>
      <c r="E75" s="77"/>
      <c r="F75" s="78">
        <f>Source!F61</f>
        <v>646.88</v>
      </c>
      <c r="G75" s="78"/>
      <c r="K75" s="78">
        <f>Source!P61</f>
        <v>5666.68</v>
      </c>
      <c r="L75" s="78"/>
    </row>
    <row r="76" spans="1:35" ht="14.25">
      <c r="A76" s="77" t="str">
        <f>Source!H64</f>
        <v>Стоимость материалов (всего)</v>
      </c>
      <c r="B76" s="77"/>
      <c r="C76" s="77"/>
      <c r="D76" s="77"/>
      <c r="E76" s="77"/>
      <c r="F76" s="78">
        <f>Source!F64</f>
        <v>646.88</v>
      </c>
      <c r="G76" s="78"/>
      <c r="K76" s="78">
        <f>Source!P64</f>
        <v>5666.68</v>
      </c>
      <c r="L76" s="78"/>
    </row>
    <row r="77" spans="1:35" ht="14.25">
      <c r="A77" s="77" t="str">
        <f>Source!H70</f>
        <v>Эксплуатация машин</v>
      </c>
      <c r="B77" s="77"/>
      <c r="C77" s="77"/>
      <c r="D77" s="77"/>
      <c r="E77" s="77"/>
      <c r="F77" s="78">
        <f>Source!F70</f>
        <v>5.66</v>
      </c>
      <c r="G77" s="78"/>
      <c r="K77" s="78">
        <f>Source!P70</f>
        <v>50.14</v>
      </c>
      <c r="L77" s="78"/>
    </row>
    <row r="78" spans="1:35" ht="14.25">
      <c r="A78" s="77" t="str">
        <f>Source!H72</f>
        <v>ЗП машинистов</v>
      </c>
      <c r="B78" s="77"/>
      <c r="C78" s="77"/>
      <c r="D78" s="77"/>
      <c r="E78" s="77"/>
      <c r="F78" s="78">
        <f>Source!F72</f>
        <v>1.98</v>
      </c>
      <c r="G78" s="78"/>
      <c r="K78" s="78">
        <f>Source!P72</f>
        <v>36.18</v>
      </c>
      <c r="L78" s="78"/>
    </row>
    <row r="79" spans="1:35" ht="14.25">
      <c r="A79" s="77" t="str">
        <f>Source!H73</f>
        <v>Основная ЗП рабочих</v>
      </c>
      <c r="B79" s="77"/>
      <c r="C79" s="77"/>
      <c r="D79" s="77"/>
      <c r="E79" s="77"/>
      <c r="F79" s="78">
        <f>Source!F73</f>
        <v>341.28</v>
      </c>
      <c r="G79" s="78"/>
      <c r="K79" s="78">
        <f>Source!P73</f>
        <v>6242.09</v>
      </c>
      <c r="L79" s="78"/>
    </row>
    <row r="80" spans="1:35" ht="14.25">
      <c r="A80" s="77" t="str">
        <f>Source!H75</f>
        <v>Строительные работы с НР и СП</v>
      </c>
      <c r="B80" s="77"/>
      <c r="C80" s="77"/>
      <c r="D80" s="77"/>
      <c r="E80" s="77"/>
      <c r="F80" s="78">
        <f>Source!F75</f>
        <v>1481.25</v>
      </c>
      <c r="G80" s="78"/>
      <c r="K80" s="78">
        <f>Source!P75</f>
        <v>19304.48</v>
      </c>
      <c r="L80" s="78"/>
    </row>
    <row r="81" spans="1:14" ht="14.25">
      <c r="A81" s="77" t="str">
        <f>Source!H80</f>
        <v>Трудозатраты строителей</v>
      </c>
      <c r="B81" s="77"/>
      <c r="C81" s="77"/>
      <c r="D81" s="77"/>
      <c r="E81" s="77"/>
      <c r="F81" s="80">
        <f>Source!F80</f>
        <v>37.586370000000002</v>
      </c>
      <c r="G81" s="80"/>
      <c r="K81" s="80">
        <f>Source!P80</f>
        <v>37.586370000000002</v>
      </c>
      <c r="L81" s="80"/>
    </row>
    <row r="82" spans="1:14" ht="14.25">
      <c r="A82" s="77" t="str">
        <f>Source!H81</f>
        <v>Трудозатраты машинистов</v>
      </c>
      <c r="B82" s="77"/>
      <c r="C82" s="77"/>
      <c r="D82" s="77"/>
      <c r="E82" s="77"/>
      <c r="F82" s="80">
        <f>Source!F81</f>
        <v>0.15510000000000002</v>
      </c>
      <c r="G82" s="80"/>
      <c r="K82" s="80">
        <f>Source!P81</f>
        <v>0.15510000000000002</v>
      </c>
      <c r="L82" s="80"/>
    </row>
    <row r="83" spans="1:14" ht="14.25">
      <c r="A83" s="77" t="str">
        <f>Source!H83</f>
        <v>Накладные расходы</v>
      </c>
      <c r="B83" s="77"/>
      <c r="C83" s="77"/>
      <c r="D83" s="77"/>
      <c r="E83" s="77"/>
      <c r="F83" s="78">
        <f>Source!F83</f>
        <v>326.10000000000002</v>
      </c>
      <c r="G83" s="78"/>
      <c r="K83" s="78">
        <f>Source!P83</f>
        <v>5022.6099999999997</v>
      </c>
      <c r="L83" s="78"/>
    </row>
    <row r="84" spans="1:14" ht="14.25">
      <c r="A84" s="77" t="str">
        <f>Source!H84</f>
        <v>Сметная прибыль</v>
      </c>
      <c r="B84" s="77"/>
      <c r="C84" s="77"/>
      <c r="D84" s="77"/>
      <c r="E84" s="77"/>
      <c r="F84" s="78">
        <f>Source!F84</f>
        <v>161.33000000000001</v>
      </c>
      <c r="G84" s="78"/>
      <c r="K84" s="78">
        <f>Source!P84</f>
        <v>2322.96</v>
      </c>
      <c r="L84" s="78"/>
    </row>
    <row r="85" spans="1:14" ht="14.25">
      <c r="A85" s="77" t="str">
        <f>Source!H85</f>
        <v>Всего с НР и СП</v>
      </c>
      <c r="B85" s="77"/>
      <c r="C85" s="77"/>
      <c r="D85" s="77"/>
      <c r="E85" s="77"/>
      <c r="F85" s="78">
        <f>Source!F85</f>
        <v>1481.25</v>
      </c>
      <c r="G85" s="78"/>
      <c r="K85" s="78">
        <f>Source!P85</f>
        <v>19304.48</v>
      </c>
      <c r="L85" s="78"/>
    </row>
    <row r="88" spans="1:14" ht="15">
      <c r="A88" s="13"/>
      <c r="B88" s="47" t="s">
        <v>214</v>
      </c>
      <c r="C88" s="48" t="str">
        <f>IF(Source!AC12&lt;&gt;"", Source!AC12," ")</f>
        <v xml:space="preserve"> </v>
      </c>
      <c r="D88" s="48"/>
      <c r="E88" s="48"/>
      <c r="F88" s="48"/>
      <c r="G88" s="48"/>
      <c r="H88" s="48"/>
      <c r="I88" s="13" t="str">
        <f>IF(Source!AB12&lt;&gt;"", Source!AB12," ")</f>
        <v xml:space="preserve"> </v>
      </c>
      <c r="J88" s="13"/>
      <c r="K88" s="13"/>
      <c r="L88" s="13"/>
      <c r="M88" s="13"/>
      <c r="N88" s="13"/>
    </row>
    <row r="89" spans="1:14" ht="15">
      <c r="A89" s="13"/>
      <c r="B89" s="49"/>
      <c r="C89" s="79" t="s">
        <v>215</v>
      </c>
      <c r="D89" s="79"/>
      <c r="E89" s="79"/>
      <c r="F89" s="79"/>
      <c r="G89" s="79"/>
      <c r="H89" s="79"/>
      <c r="I89" s="13"/>
      <c r="J89" s="13"/>
      <c r="K89" s="13"/>
      <c r="L89" s="13"/>
      <c r="M89" s="13"/>
      <c r="N89" s="13"/>
    </row>
    <row r="90" spans="1:14" ht="15">
      <c r="A90" s="13"/>
      <c r="B90" s="49"/>
      <c r="C90" s="50"/>
      <c r="D90" s="50"/>
      <c r="E90" s="50"/>
      <c r="F90" s="50"/>
      <c r="G90" s="50"/>
      <c r="H90" s="50"/>
      <c r="I90" s="13"/>
      <c r="J90" s="13"/>
      <c r="K90" s="13"/>
      <c r="L90" s="13"/>
      <c r="M90" s="13"/>
      <c r="N90" s="13"/>
    </row>
    <row r="91" spans="1:14" ht="15">
      <c r="A91" s="13"/>
      <c r="B91" s="47" t="s">
        <v>216</v>
      </c>
      <c r="C91" s="48" t="str">
        <f>IF(Source!AE12&lt;&gt;"", Source!AE12," ")</f>
        <v xml:space="preserve"> </v>
      </c>
      <c r="D91" s="48"/>
      <c r="E91" s="48"/>
      <c r="F91" s="48"/>
      <c r="G91" s="48"/>
      <c r="H91" s="48"/>
      <c r="I91" s="13" t="str">
        <f>IF(Source!AD12&lt;&gt;"", Source!AD12," ")</f>
        <v xml:space="preserve"> </v>
      </c>
      <c r="J91" s="13"/>
      <c r="K91" s="13"/>
      <c r="L91" s="13"/>
      <c r="M91" s="13"/>
      <c r="N91" s="13"/>
    </row>
    <row r="92" spans="1:14" ht="14.25">
      <c r="A92" s="13"/>
      <c r="B92" s="13"/>
      <c r="C92" s="79" t="s">
        <v>215</v>
      </c>
      <c r="D92" s="79"/>
      <c r="E92" s="79"/>
      <c r="F92" s="79"/>
      <c r="G92" s="79"/>
      <c r="H92" s="79"/>
      <c r="I92" s="13"/>
      <c r="J92" s="13"/>
      <c r="K92" s="13"/>
      <c r="L92" s="13"/>
      <c r="M92" s="13"/>
      <c r="N92" s="13"/>
    </row>
  </sheetData>
  <mergeCells count="166">
    <mergeCell ref="A13:I13"/>
    <mergeCell ref="J13:K13"/>
    <mergeCell ref="L13:M13"/>
    <mergeCell ref="A14:I14"/>
    <mergeCell ref="J14:K14"/>
    <mergeCell ref="L14:M14"/>
    <mergeCell ref="B4:M4"/>
    <mergeCell ref="B6:M6"/>
    <mergeCell ref="B8:M8"/>
    <mergeCell ref="B10:M10"/>
    <mergeCell ref="J12:K12"/>
    <mergeCell ref="L12:M12"/>
    <mergeCell ref="A15:I15"/>
    <mergeCell ref="J15:K15"/>
    <mergeCell ref="L15:M15"/>
    <mergeCell ref="A18:A20"/>
    <mergeCell ref="B18:B20"/>
    <mergeCell ref="C18:C20"/>
    <mergeCell ref="D18:F18"/>
    <mergeCell ref="G18:I18"/>
    <mergeCell ref="J18:K18"/>
    <mergeCell ref="L18:N18"/>
    <mergeCell ref="B28:N28"/>
    <mergeCell ref="A29:A30"/>
    <mergeCell ref="C29:C30"/>
    <mergeCell ref="G29:G30"/>
    <mergeCell ref="L29:L30"/>
    <mergeCell ref="B34:N34"/>
    <mergeCell ref="D19:D20"/>
    <mergeCell ref="G19:G20"/>
    <mergeCell ref="L19:L20"/>
    <mergeCell ref="A22:N22"/>
    <mergeCell ref="A23:A24"/>
    <mergeCell ref="C23:C24"/>
    <mergeCell ref="G23:G24"/>
    <mergeCell ref="L23:L24"/>
    <mergeCell ref="A45:E45"/>
    <mergeCell ref="K45:L45"/>
    <mergeCell ref="F45:G45"/>
    <mergeCell ref="A36:F37"/>
    <mergeCell ref="A41:E41"/>
    <mergeCell ref="K41:L41"/>
    <mergeCell ref="F41:G41"/>
    <mergeCell ref="A42:E42"/>
    <mergeCell ref="K42:L42"/>
    <mergeCell ref="F42:G42"/>
    <mergeCell ref="A39:E39"/>
    <mergeCell ref="K39:L39"/>
    <mergeCell ref="F39:G39"/>
    <mergeCell ref="A43:E43"/>
    <mergeCell ref="K43:L43"/>
    <mergeCell ref="F43:G43"/>
    <mergeCell ref="A44:E44"/>
    <mergeCell ref="K44:L44"/>
    <mergeCell ref="F44:G44"/>
    <mergeCell ref="A40:E40"/>
    <mergeCell ref="K40:L40"/>
    <mergeCell ref="F40:G40"/>
    <mergeCell ref="A47:E47"/>
    <mergeCell ref="K47:L47"/>
    <mergeCell ref="F47:G47"/>
    <mergeCell ref="A49:E49"/>
    <mergeCell ref="F49:G49"/>
    <mergeCell ref="K49:L49"/>
    <mergeCell ref="A46:E46"/>
    <mergeCell ref="K46:L46"/>
    <mergeCell ref="F46:G46"/>
    <mergeCell ref="A52:E52"/>
    <mergeCell ref="F52:G52"/>
    <mergeCell ref="K52:L52"/>
    <mergeCell ref="A53:E53"/>
    <mergeCell ref="F53:G53"/>
    <mergeCell ref="K53:L53"/>
    <mergeCell ref="A50:E50"/>
    <mergeCell ref="F50:G50"/>
    <mergeCell ref="K50:L50"/>
    <mergeCell ref="A51:E51"/>
    <mergeCell ref="F51:G51"/>
    <mergeCell ref="K51:L51"/>
    <mergeCell ref="A56:E56"/>
    <mergeCell ref="F56:G56"/>
    <mergeCell ref="K56:L56"/>
    <mergeCell ref="A57:E57"/>
    <mergeCell ref="F57:G57"/>
    <mergeCell ref="K57:L57"/>
    <mergeCell ref="A54:E54"/>
    <mergeCell ref="F54:G54"/>
    <mergeCell ref="K54:L54"/>
    <mergeCell ref="A55:E55"/>
    <mergeCell ref="F55:G55"/>
    <mergeCell ref="K55:L55"/>
    <mergeCell ref="A60:E60"/>
    <mergeCell ref="F60:G60"/>
    <mergeCell ref="K60:L60"/>
    <mergeCell ref="A62:F63"/>
    <mergeCell ref="A67:E67"/>
    <mergeCell ref="K67:L67"/>
    <mergeCell ref="F67:G67"/>
    <mergeCell ref="A58:E58"/>
    <mergeCell ref="F58:G58"/>
    <mergeCell ref="K58:L58"/>
    <mergeCell ref="A59:E59"/>
    <mergeCell ref="F59:G59"/>
    <mergeCell ref="K59:L59"/>
    <mergeCell ref="A68:E68"/>
    <mergeCell ref="K68:L68"/>
    <mergeCell ref="F68:G68"/>
    <mergeCell ref="A65:E65"/>
    <mergeCell ref="K65:L65"/>
    <mergeCell ref="F65:G65"/>
    <mergeCell ref="A66:E66"/>
    <mergeCell ref="K66:L66"/>
    <mergeCell ref="F66:G66"/>
    <mergeCell ref="A73:E73"/>
    <mergeCell ref="K73:L73"/>
    <mergeCell ref="F73:G73"/>
    <mergeCell ref="A74:E74"/>
    <mergeCell ref="F74:G74"/>
    <mergeCell ref="K74:L74"/>
    <mergeCell ref="A69:E69"/>
    <mergeCell ref="K69:L69"/>
    <mergeCell ref="F69:G69"/>
    <mergeCell ref="A70:E70"/>
    <mergeCell ref="K70:L70"/>
    <mergeCell ref="F70:G70"/>
    <mergeCell ref="A71:E71"/>
    <mergeCell ref="K71:L71"/>
    <mergeCell ref="F71:G71"/>
    <mergeCell ref="A72:E72"/>
    <mergeCell ref="K72:L72"/>
    <mergeCell ref="F72:G72"/>
    <mergeCell ref="A77:E77"/>
    <mergeCell ref="F77:G77"/>
    <mergeCell ref="K77:L77"/>
    <mergeCell ref="A78:E78"/>
    <mergeCell ref="F78:G78"/>
    <mergeCell ref="K78:L78"/>
    <mergeCell ref="A75:E75"/>
    <mergeCell ref="F75:G75"/>
    <mergeCell ref="K75:L75"/>
    <mergeCell ref="A76:E76"/>
    <mergeCell ref="F76:G76"/>
    <mergeCell ref="K76:L76"/>
    <mergeCell ref="A81:E81"/>
    <mergeCell ref="F81:G81"/>
    <mergeCell ref="K81:L81"/>
    <mergeCell ref="A82:E82"/>
    <mergeCell ref="F82:G82"/>
    <mergeCell ref="K82:L82"/>
    <mergeCell ref="A79:E79"/>
    <mergeCell ref="F79:G79"/>
    <mergeCell ref="K79:L79"/>
    <mergeCell ref="A80:E80"/>
    <mergeCell ref="F80:G80"/>
    <mergeCell ref="K80:L80"/>
    <mergeCell ref="A85:E85"/>
    <mergeCell ref="F85:G85"/>
    <mergeCell ref="K85:L85"/>
    <mergeCell ref="C89:H89"/>
    <mergeCell ref="C92:H92"/>
    <mergeCell ref="A83:E83"/>
    <mergeCell ref="F83:G83"/>
    <mergeCell ref="K83:L83"/>
    <mergeCell ref="A84:E84"/>
    <mergeCell ref="F84:G84"/>
    <mergeCell ref="K84:L84"/>
  </mergeCells>
  <pageMargins left="0.4" right="0.2" top="0.2" bottom="0.4" header="0.2" footer="0.2"/>
  <pageSetup paperSize="9" scale="50" fitToHeight="0" orientation="portrait" verticalDpi="0" r:id="rId1"/>
  <headerFooter>
    <oddHeader>&amp;L&amp;8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"/>
  <sheetViews>
    <sheetView workbookViewId="0"/>
  </sheetViews>
  <sheetFormatPr defaultRowHeight="12.75"/>
  <sheetData>
    <row r="1" spans="1:13">
      <c r="A1" t="s">
        <v>250</v>
      </c>
      <c r="B1">
        <f>Source!EF25</f>
        <v>2</v>
      </c>
      <c r="C1" t="str">
        <f>Source!EG25</f>
        <v>Общестроительные работы</v>
      </c>
      <c r="D1">
        <f>Source!O25</f>
        <v>6337.61</v>
      </c>
      <c r="E1">
        <f>Source!P25</f>
        <v>2833.34</v>
      </c>
      <c r="F1">
        <f>Source!Q25</f>
        <v>25.07</v>
      </c>
      <c r="G1">
        <f>Source!R25</f>
        <v>18.09</v>
      </c>
      <c r="H1">
        <f>Source!S25</f>
        <v>3479.2</v>
      </c>
      <c r="I1">
        <f>Source!T25</f>
        <v>0</v>
      </c>
      <c r="J1">
        <f>Source!U25</f>
        <v>20.949780000000001</v>
      </c>
      <c r="K1">
        <f>Source!V25</f>
        <v>7.7550000000000008E-2</v>
      </c>
      <c r="L1">
        <f>Source!X25</f>
        <v>2797.83</v>
      </c>
      <c r="M1">
        <f>Source!Y25</f>
        <v>1294</v>
      </c>
    </row>
    <row r="2" spans="1:13">
      <c r="A2" t="s">
        <v>250</v>
      </c>
      <c r="B2">
        <f>Source!EF27</f>
        <v>2</v>
      </c>
      <c r="C2" t="str">
        <f>Source!EG27</f>
        <v>Общестроительные работы</v>
      </c>
      <c r="D2">
        <f>Source!O27</f>
        <v>5621.3</v>
      </c>
      <c r="E2">
        <f>Source!P27</f>
        <v>2833.34</v>
      </c>
      <c r="F2">
        <f>Source!Q27</f>
        <v>25.07</v>
      </c>
      <c r="G2">
        <f>Source!R27</f>
        <v>18.09</v>
      </c>
      <c r="H2">
        <f>Source!S27</f>
        <v>2762.89</v>
      </c>
      <c r="I2">
        <f>Source!T27</f>
        <v>0</v>
      </c>
      <c r="J2">
        <f>Source!U27</f>
        <v>16.636589999999998</v>
      </c>
      <c r="K2">
        <f>Source!V27</f>
        <v>7.7550000000000008E-2</v>
      </c>
      <c r="L2">
        <f>Source!X27</f>
        <v>2224.7800000000002</v>
      </c>
      <c r="M2">
        <f>Source!Y27</f>
        <v>1028.96</v>
      </c>
    </row>
  </sheetData>
  <sortState ref="A1:M2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4"/>
  <sheetViews>
    <sheetView showGridLines="0" workbookViewId="0">
      <selection sqref="A1:C1"/>
    </sheetView>
  </sheetViews>
  <sheetFormatPr defaultRowHeight="12.75"/>
  <cols>
    <col min="1" max="1" width="6.28515625" customWidth="1"/>
    <col min="2" max="2" width="15.7109375" customWidth="1"/>
    <col min="3" max="3" width="40.7109375" customWidth="1"/>
    <col min="4" max="14" width="12.7109375" customWidth="1"/>
    <col min="20" max="36" width="0" hidden="1" customWidth="1"/>
  </cols>
  <sheetData>
    <row r="1" spans="1:14">
      <c r="A1" s="100" t="str">
        <f>Source!B1</f>
        <v>Smeta.RU (Terminal)  (495) 974-1589</v>
      </c>
      <c r="B1" s="100"/>
      <c r="C1" s="100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5">
      <c r="A2" s="54"/>
      <c r="B2" s="54"/>
      <c r="C2" s="54"/>
      <c r="D2" s="54"/>
      <c r="E2" s="54"/>
      <c r="F2" s="54"/>
      <c r="G2" s="54"/>
      <c r="H2" s="54"/>
      <c r="I2" s="54"/>
      <c r="J2" s="54"/>
      <c r="K2" s="81" t="s">
        <v>217</v>
      </c>
      <c r="L2" s="81"/>
      <c r="M2" s="81"/>
      <c r="N2" s="81"/>
    </row>
    <row r="3" spans="1:14" ht="15">
      <c r="A3" s="54"/>
      <c r="B3" s="54"/>
      <c r="C3" s="54"/>
      <c r="D3" s="54"/>
      <c r="E3" s="54"/>
      <c r="F3" s="54"/>
      <c r="G3" s="54"/>
      <c r="H3" s="54"/>
      <c r="I3" s="54"/>
      <c r="J3" s="54"/>
      <c r="K3" s="81" t="s">
        <v>218</v>
      </c>
      <c r="L3" s="81"/>
      <c r="M3" s="56">
        <f>(Source!P56/1000)</f>
        <v>19.304479999999998</v>
      </c>
      <c r="N3" s="44" t="s">
        <v>219</v>
      </c>
    </row>
    <row r="4" spans="1:14" ht="15">
      <c r="A4" s="54"/>
      <c r="B4" s="54"/>
      <c r="C4" s="54"/>
      <c r="D4" s="54"/>
      <c r="E4" s="54"/>
      <c r="F4" s="54"/>
      <c r="G4" s="54"/>
      <c r="H4" s="54"/>
      <c r="I4" s="54"/>
      <c r="J4" s="54"/>
      <c r="K4" s="81" t="str">
        <f>IF(Source!AG12&lt;&gt;"", Source!AG12," ")</f>
        <v xml:space="preserve"> </v>
      </c>
      <c r="L4" s="81"/>
      <c r="M4" s="81"/>
      <c r="N4" s="81"/>
    </row>
    <row r="5" spans="1:14" ht="15">
      <c r="A5" s="54"/>
      <c r="B5" s="54"/>
      <c r="C5" s="54"/>
      <c r="D5" s="54"/>
      <c r="E5" s="54"/>
      <c r="F5" s="54"/>
      <c r="G5" s="54"/>
      <c r="H5" s="54"/>
      <c r="I5" s="54"/>
      <c r="J5" s="54"/>
      <c r="K5" s="81" t="str">
        <f>CONCATENATE(IF(Source!AF12&lt;&gt;"", Source!AF12," "), "__________")</f>
        <v xml:space="preserve"> __________</v>
      </c>
      <c r="L5" s="81"/>
      <c r="M5" s="81"/>
      <c r="N5" s="81"/>
    </row>
    <row r="6" spans="1:14" ht="15">
      <c r="A6" s="54"/>
      <c r="B6" s="54"/>
      <c r="C6" s="54"/>
      <c r="D6" s="54"/>
      <c r="E6" s="54"/>
      <c r="F6" s="54"/>
      <c r="G6" s="54"/>
      <c r="H6" s="54"/>
      <c r="I6" s="54"/>
      <c r="J6" s="54"/>
      <c r="K6" s="81" t="s">
        <v>220</v>
      </c>
      <c r="L6" s="81"/>
      <c r="M6" s="81"/>
      <c r="N6" s="81"/>
    </row>
    <row r="7" spans="1:14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14" ht="14.25">
      <c r="A8" s="77" t="str">
        <f>CONCATENATE("Наименование стройки: ", IF(Source!G4&lt;&gt;"", Source!G4, IF(Source!G5&lt;&gt;"", Source!G5, IF(Source!G6&lt;&gt;"", Source!G6, IF(Source!G12&lt;&gt;"Новый объект", Source!G12, "")))))</f>
        <v xml:space="preserve">Наименование стройки: </v>
      </c>
      <c r="B8" s="77"/>
      <c r="C8" s="77"/>
      <c r="D8" s="77"/>
      <c r="E8" s="77"/>
      <c r="F8" s="77"/>
      <c r="G8" s="77"/>
      <c r="H8" s="77"/>
      <c r="I8" s="77"/>
      <c r="J8" s="54"/>
      <c r="K8" s="77" t="str">
        <f>CONCATENATE("Шифр объекта: ", IF(Source!F12&lt;&gt;"Новый объект", Source!F12, ""))</f>
        <v xml:space="preserve">Шифр объекта: </v>
      </c>
      <c r="L8" s="77"/>
      <c r="M8" s="77"/>
      <c r="N8" s="77"/>
    </row>
    <row r="9" spans="1:14" ht="14.25">
      <c r="A9" s="77" t="str">
        <f>CONCATENATE("Наименование объекта: ", IF(Source!G12&lt;&gt;"Новый объект", Source!G12, ""))</f>
        <v xml:space="preserve">Наименование объекта: </v>
      </c>
      <c r="B9" s="77"/>
      <c r="C9" s="77"/>
      <c r="D9" s="77"/>
      <c r="E9" s="77"/>
      <c r="F9" s="77"/>
      <c r="G9" s="77"/>
      <c r="H9" s="77"/>
      <c r="I9" s="77"/>
      <c r="J9" s="54"/>
      <c r="K9" s="54"/>
      <c r="L9" s="54"/>
      <c r="M9" s="54"/>
      <c r="N9" s="54"/>
    </row>
    <row r="10" spans="1:14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1:14" ht="16.5">
      <c r="A11" s="102" t="str">
        <f>CONCATENATE("Л О К А Л Ь Н А Я   С М Е Т А   №  ", IF(Source!F20&lt;&gt;"Новая локальная смета", Source!F20, ""))</f>
        <v xml:space="preserve">Л О К А Л Ь Н А Я   С М Е Т А   №  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</row>
    <row r="12" spans="1:14" ht="14.25">
      <c r="A12" s="103" t="str">
        <f>CONCATENATE("Основание: ", IF(Source!J20&lt;&gt;"", Source!J20, ""))</f>
        <v xml:space="preserve">Основание: 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</row>
    <row r="13" spans="1:14" ht="14.25">
      <c r="A13" s="101" t="s">
        <v>184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34">
        <f>(Source!P56/1000)</f>
        <v>19.304479999999998</v>
      </c>
      <c r="N13" s="31" t="s">
        <v>219</v>
      </c>
    </row>
    <row r="14" spans="1:14" ht="14.25">
      <c r="A14" s="101" t="s">
        <v>221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34">
        <f>(Source!P46)/1000</f>
        <v>19.304479999999998</v>
      </c>
      <c r="N14" s="31" t="s">
        <v>219</v>
      </c>
    </row>
    <row r="15" spans="1:14" ht="14.25" hidden="1">
      <c r="A15" s="101" t="s">
        <v>222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34">
        <f>(Source!P47)/1000</f>
        <v>0</v>
      </c>
      <c r="N15" s="31" t="s">
        <v>219</v>
      </c>
    </row>
    <row r="16" spans="1:14" ht="14.25" hidden="1">
      <c r="A16" s="101" t="s">
        <v>223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34">
        <f>(Source!P38)/1000</f>
        <v>0</v>
      </c>
      <c r="N16" s="31" t="s">
        <v>219</v>
      </c>
    </row>
    <row r="17" spans="1:26" ht="14.25" hidden="1">
      <c r="A17" s="101" t="s">
        <v>224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34">
        <f>(Source!P48+Source!P49)/1000</f>
        <v>0</v>
      </c>
      <c r="N17" s="31" t="s">
        <v>219</v>
      </c>
    </row>
    <row r="18" spans="1:26" ht="14.25">
      <c r="A18" s="101" t="s">
        <v>225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34">
        <f>(Source!P51+Source!P52)</f>
        <v>37.74147</v>
      </c>
      <c r="N18" s="31" t="s">
        <v>226</v>
      </c>
    </row>
    <row r="19" spans="1:26" ht="14.25">
      <c r="A19" s="101" t="s">
        <v>227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34">
        <f>((Source!P44 + Source!P43)/1000)</f>
        <v>6.27827</v>
      </c>
      <c r="N19" s="31" t="s">
        <v>219</v>
      </c>
    </row>
    <row r="20" spans="1:26" ht="14.25">
      <c r="A20" s="77" t="s">
        <v>228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</row>
    <row r="21" spans="1:26" ht="14.25">
      <c r="A21" s="104" t="s">
        <v>229</v>
      </c>
      <c r="B21" s="104" t="s">
        <v>230</v>
      </c>
      <c r="C21" s="104" t="s">
        <v>231</v>
      </c>
      <c r="D21" s="104" t="s">
        <v>232</v>
      </c>
      <c r="E21" s="104" t="s">
        <v>233</v>
      </c>
      <c r="F21" s="104" t="s">
        <v>234</v>
      </c>
      <c r="G21" s="104"/>
      <c r="H21" s="104"/>
      <c r="I21" s="104" t="s">
        <v>235</v>
      </c>
      <c r="J21" s="104"/>
      <c r="K21" s="104"/>
      <c r="L21" s="104"/>
      <c r="M21" s="104" t="s">
        <v>236</v>
      </c>
      <c r="N21" s="104"/>
    </row>
    <row r="22" spans="1:26" ht="14.25">
      <c r="A22" s="104"/>
      <c r="B22" s="104"/>
      <c r="C22" s="104"/>
      <c r="D22" s="104"/>
      <c r="E22" s="104"/>
      <c r="F22" s="104" t="s">
        <v>81</v>
      </c>
      <c r="G22" s="104" t="s">
        <v>237</v>
      </c>
      <c r="H22" s="104" t="s">
        <v>238</v>
      </c>
      <c r="I22" s="104" t="s">
        <v>81</v>
      </c>
      <c r="J22" s="104" t="s">
        <v>239</v>
      </c>
      <c r="K22" s="104" t="s">
        <v>237</v>
      </c>
      <c r="L22" s="104" t="s">
        <v>238</v>
      </c>
      <c r="M22" s="104" t="s">
        <v>240</v>
      </c>
      <c r="N22" s="104"/>
    </row>
    <row r="23" spans="1:26" ht="14.25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 t="s">
        <v>241</v>
      </c>
      <c r="N23" s="104"/>
    </row>
    <row r="24" spans="1:26" ht="28.5">
      <c r="A24" s="104"/>
      <c r="B24" s="104"/>
      <c r="C24" s="104"/>
      <c r="D24" s="104"/>
      <c r="E24" s="104"/>
      <c r="F24" s="76" t="s">
        <v>242</v>
      </c>
      <c r="G24" s="76" t="s">
        <v>243</v>
      </c>
      <c r="H24" s="104"/>
      <c r="I24" s="104"/>
      <c r="J24" s="104"/>
      <c r="K24" s="76" t="s">
        <v>243</v>
      </c>
      <c r="L24" s="104"/>
      <c r="M24" s="76" t="s">
        <v>244</v>
      </c>
      <c r="N24" s="76" t="s">
        <v>245</v>
      </c>
    </row>
    <row r="25" spans="1:26" ht="14.25">
      <c r="A25" s="76">
        <v>1</v>
      </c>
      <c r="B25" s="76">
        <v>2</v>
      </c>
      <c r="C25" s="76">
        <v>3</v>
      </c>
      <c r="D25" s="76">
        <v>4</v>
      </c>
      <c r="E25" s="76">
        <v>5</v>
      </c>
      <c r="F25" s="76">
        <v>6</v>
      </c>
      <c r="G25" s="76">
        <v>7</v>
      </c>
      <c r="H25" s="76">
        <v>8</v>
      </c>
      <c r="I25" s="76">
        <v>9</v>
      </c>
      <c r="J25" s="76">
        <v>10</v>
      </c>
      <c r="K25" s="76">
        <v>11</v>
      </c>
      <c r="L25" s="76">
        <v>12</v>
      </c>
      <c r="M25" s="76">
        <v>13</v>
      </c>
      <c r="N25" s="76">
        <v>14</v>
      </c>
    </row>
    <row r="26" spans="1:26" ht="71.25">
      <c r="A26" s="32" t="str">
        <f>IF(Source!E25&lt;&gt;"", Source!E25, "")</f>
        <v>1</v>
      </c>
      <c r="B26" s="32" t="str">
        <f>IF(Source!F25&lt;&gt;"", Source!F25, "")</f>
        <v>15-01-016-3</v>
      </c>
      <c r="C26" s="32" t="s">
        <v>246</v>
      </c>
      <c r="D26" s="59" t="str">
        <f>IF(Source!H25&lt;&gt;"", Source!H25, "")</f>
        <v>100 м2 облицованной поверхности</v>
      </c>
      <c r="E26" s="57">
        <f>Source!I25</f>
        <v>4.7E-2</v>
      </c>
      <c r="F26" s="61">
        <f>IF(Source!AB25=0, " ", Source!AB25)</f>
        <v>10989.16</v>
      </c>
      <c r="G26" s="61">
        <f>IF(Source!AD25=0, " ", Source!AD25)</f>
        <v>60.13</v>
      </c>
      <c r="H26" s="42">
        <f>IF(Source!AC25=0, " ", Source!AC25)</f>
        <v>6881.71</v>
      </c>
      <c r="I26" s="42">
        <f>IF(Source!O25=0, " ", Source!O25)</f>
        <v>6337.61</v>
      </c>
      <c r="J26" s="42">
        <f>IF(Source!S25=0, " ", Source!S25)</f>
        <v>3479.2</v>
      </c>
      <c r="K26" s="61">
        <f>IF(Source!Q25=0, " ", Source!Q25)</f>
        <v>25.07</v>
      </c>
      <c r="L26" s="42">
        <f>IF(Source!P25=0, " ", Source!P25)</f>
        <v>2833.34</v>
      </c>
      <c r="M26" s="63">
        <f>IF(Source!AH25=0, " ", ROUND(Source!AH25,6))</f>
        <v>445.74</v>
      </c>
      <c r="N26" s="63">
        <f>IF(Source!U25=0, " ", ROUND(Source!U25,6))</f>
        <v>20.949780000000001</v>
      </c>
      <c r="T26">
        <f>Source!O25+Source!X25+Source!Y25</f>
        <v>10429.439999999999</v>
      </c>
      <c r="U26">
        <v>2833.34</v>
      </c>
      <c r="V26">
        <f>IF(Source!S25=0, " ", Source!S25)</f>
        <v>3479.2</v>
      </c>
      <c r="W26">
        <f>IF(Source!Q25=0, " ", Source!Q25)</f>
        <v>25.07</v>
      </c>
      <c r="X26">
        <f>IF(Source!R25=0, " ", Source!R25)</f>
        <v>18.09</v>
      </c>
      <c r="Y26">
        <f>IF(Source!U25=0, " ", ROUND(Source!U25,6))</f>
        <v>20.949780000000001</v>
      </c>
      <c r="Z26">
        <f>IF(Source!V25=0, " ", ROUND(Source!V25,6))</f>
        <v>7.7549999999999994E-2</v>
      </c>
    </row>
    <row r="27" spans="1:26" ht="14.25">
      <c r="A27" s="32"/>
      <c r="B27" s="32"/>
      <c r="C27" s="32"/>
      <c r="D27" s="59"/>
      <c r="E27" s="57"/>
      <c r="F27" s="42">
        <f>IF(Source!AF25=0, " ", Source!AF25)</f>
        <v>4047.32</v>
      </c>
      <c r="G27" s="42">
        <f>IF(Source!AE25=0, " ", Source!AE25)</f>
        <v>21.04</v>
      </c>
      <c r="H27" s="57"/>
      <c r="I27" s="57"/>
      <c r="J27" s="57"/>
      <c r="K27" s="42">
        <f>IF(Source!R25=0, " ", Source!R25)</f>
        <v>18.09</v>
      </c>
      <c r="L27" s="57"/>
      <c r="M27" s="62">
        <f>IF(Source!AI25=0, " ", ROUND(Source!AI25,6))</f>
        <v>1.65</v>
      </c>
      <c r="N27" s="62">
        <f>IF(Source!V25=0, " ", ROUND(Source!V25,6))</f>
        <v>7.7549999999999994E-2</v>
      </c>
    </row>
    <row r="28" spans="1:26">
      <c r="A28" s="54"/>
      <c r="B28" s="54"/>
      <c r="C28" s="30" t="str">
        <f>"Объем: "&amp;Source!I25&amp;"=4,7/"&amp;"100"</f>
        <v>Объем: 0,047=4,7/100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1:26" ht="14.25">
      <c r="A29" s="54"/>
      <c r="B29" s="54"/>
      <c r="C29" s="64" t="s">
        <v>78</v>
      </c>
      <c r="D29" s="60" t="str">
        <f>CONCATENATE(Source!AT25," %")</f>
        <v>80 %</v>
      </c>
      <c r="E29" s="60"/>
      <c r="F29" s="60"/>
      <c r="G29" s="60"/>
      <c r="H29" s="60"/>
      <c r="I29" s="65">
        <f>Source!X25</f>
        <v>2797.83</v>
      </c>
      <c r="J29" s="54"/>
      <c r="K29" s="54"/>
      <c r="L29" s="54"/>
      <c r="M29" s="54"/>
      <c r="N29" s="54"/>
    </row>
    <row r="30" spans="1:26" ht="14.25">
      <c r="A30" s="54"/>
      <c r="B30" s="54"/>
      <c r="C30" s="64" t="s">
        <v>80</v>
      </c>
      <c r="D30" s="60" t="str">
        <f>CONCATENATE(Source!AU25," %")</f>
        <v>37 %</v>
      </c>
      <c r="E30" s="60"/>
      <c r="F30" s="60"/>
      <c r="G30" s="60"/>
      <c r="H30" s="60"/>
      <c r="I30" s="65">
        <f>Source!Y25</f>
        <v>1294</v>
      </c>
      <c r="J30" s="54"/>
      <c r="K30" s="54"/>
      <c r="L30" s="54"/>
      <c r="M30" s="54"/>
      <c r="N30" s="54"/>
    </row>
    <row r="31" spans="1:26" ht="15">
      <c r="A31" s="54"/>
      <c r="B31" s="54"/>
      <c r="C31" s="66" t="s">
        <v>247</v>
      </c>
      <c r="D31" s="67"/>
      <c r="E31" s="67"/>
      <c r="F31" s="67"/>
      <c r="G31" s="67"/>
      <c r="H31" s="67"/>
      <c r="I31" s="68">
        <f>SUMIF(Source!AA25:'Source'!AA26, "=55197951", Source!GM25:'Source'!GM26)</f>
        <v>10429.44</v>
      </c>
      <c r="J31" s="54"/>
      <c r="K31" s="54"/>
      <c r="L31" s="54"/>
      <c r="M31" s="54"/>
      <c r="N31" s="54"/>
    </row>
    <row r="32" spans="1:26" ht="14.25">
      <c r="A32" s="77" t="s">
        <v>248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</row>
    <row r="33" spans="1:26" ht="42.75">
      <c r="A33" s="69"/>
      <c r="B33" s="70" t="str">
        <f>SmtRes!I14</f>
        <v>101-0278</v>
      </c>
      <c r="C33" s="70" t="str">
        <f>SmtRes!K14</f>
        <v>Плитки керамические фасадные и ковры из них неглазурованные гладкие толщиной 9 мм</v>
      </c>
      <c r="D33" s="69" t="str">
        <f>SmtRes!O14</f>
        <v>м2</v>
      </c>
      <c r="E33" s="69">
        <f>SmtRes!Y14*Source!I25</f>
        <v>4.7</v>
      </c>
      <c r="F33" s="71">
        <f>(SmtRes!AA14+SmtRes!AB14+SmtRes!AD14)</f>
        <v>551.39</v>
      </c>
      <c r="G33" s="69"/>
      <c r="H33" s="71">
        <f>SmtRes!AA14</f>
        <v>551.39</v>
      </c>
      <c r="I33" s="71">
        <f>(SmtRes!AA14*SmtRes!Y14*Source!I25+SmtRes!AB14*SmtRes!Y14*Source!I25+SmtRes!AD14*SmtRes!Y14*Source!I25)</f>
        <v>2591.5329999999999</v>
      </c>
      <c r="J33" s="69"/>
      <c r="K33" s="69"/>
      <c r="L33" s="71">
        <f>SmtRes!AA14*SmtRes!Y14*Source!I25</f>
        <v>2591.5329999999999</v>
      </c>
      <c r="M33" s="69"/>
      <c r="N33" s="69"/>
    </row>
    <row r="34" spans="1:26" ht="42.75">
      <c r="A34" s="69"/>
      <c r="B34" s="70" t="str">
        <f>SmtRes!I15</f>
        <v>101-1330</v>
      </c>
      <c r="C34" s="70" t="str">
        <f>SmtRes!K15</f>
        <v>Портландцемент пуццолановый общестроительного и специального назначения марки 400</v>
      </c>
      <c r="D34" s="69" t="str">
        <f>SmtRes!O15</f>
        <v>т</v>
      </c>
      <c r="E34" s="69">
        <f>SmtRes!Y15*Source!I25</f>
        <v>1.8799999999999999E-3</v>
      </c>
      <c r="F34" s="71">
        <f>(SmtRes!AA15+SmtRes!AB15+SmtRes!AD15)</f>
        <v>3322.33</v>
      </c>
      <c r="G34" s="69"/>
      <c r="H34" s="71">
        <f>SmtRes!AA15</f>
        <v>3322.33</v>
      </c>
      <c r="I34" s="71">
        <f>(SmtRes!AA15*SmtRes!Y15*Source!I25+SmtRes!AB15*SmtRes!Y15*Source!I25+SmtRes!AD15*SmtRes!Y15*Source!I25)</f>
        <v>6.2459804000000005</v>
      </c>
      <c r="J34" s="69"/>
      <c r="K34" s="69"/>
      <c r="L34" s="71">
        <f>SmtRes!AA15*SmtRes!Y15*Source!I25</f>
        <v>6.2459804000000005</v>
      </c>
      <c r="M34" s="69"/>
      <c r="N34" s="69"/>
    </row>
    <row r="35" spans="1:26" ht="14.25">
      <c r="A35" s="69"/>
      <c r="B35" s="70" t="str">
        <f>SmtRes!I16</f>
        <v>101-1757</v>
      </c>
      <c r="C35" s="70" t="str">
        <f>SmtRes!K16</f>
        <v>Ветошь</v>
      </c>
      <c r="D35" s="69" t="str">
        <f>SmtRes!O16</f>
        <v>кг</v>
      </c>
      <c r="E35" s="69">
        <f>SmtRes!Y16*Source!I25</f>
        <v>2.35E-2</v>
      </c>
      <c r="F35" s="71">
        <f>(SmtRes!AA16+SmtRes!AB16+SmtRes!AD16)</f>
        <v>47.1</v>
      </c>
      <c r="G35" s="69"/>
      <c r="H35" s="71">
        <f>SmtRes!AA16</f>
        <v>47.1</v>
      </c>
      <c r="I35" s="71">
        <f>(SmtRes!AA16*SmtRes!Y16*Source!I25+SmtRes!AB16*SmtRes!Y16*Source!I25+SmtRes!AD16*SmtRes!Y16*Source!I25)</f>
        <v>1.1068500000000001</v>
      </c>
      <c r="J35" s="69"/>
      <c r="K35" s="69"/>
      <c r="L35" s="71">
        <f>SmtRes!AA16*SmtRes!Y16*Source!I25</f>
        <v>1.1068500000000001</v>
      </c>
      <c r="M35" s="69"/>
      <c r="N35" s="69"/>
    </row>
    <row r="36" spans="1:26" ht="28.5">
      <c r="A36" s="69"/>
      <c r="B36" s="70" t="str">
        <f>SmtRes!I17</f>
        <v>402-0078</v>
      </c>
      <c r="C36" s="70" t="str">
        <f>SmtRes!K17</f>
        <v>Раствор готовый отделочный тяжелый, цементный 1:3</v>
      </c>
      <c r="D36" s="69" t="str">
        <f>SmtRes!O17</f>
        <v>м3</v>
      </c>
      <c r="E36" s="69">
        <f>SmtRes!Y17*Source!I25</f>
        <v>9.4E-2</v>
      </c>
      <c r="F36" s="71">
        <f>(SmtRes!AA17+SmtRes!AB17+SmtRes!AD17)</f>
        <v>2512.88</v>
      </c>
      <c r="G36" s="69"/>
      <c r="H36" s="71">
        <f>SmtRes!AA17</f>
        <v>2512.88</v>
      </c>
      <c r="I36" s="71">
        <f>(SmtRes!AA17*SmtRes!Y17*Source!I25+SmtRes!AB17*SmtRes!Y17*Source!I25+SmtRes!AD17*SmtRes!Y17*Source!I25)</f>
        <v>236.21072000000001</v>
      </c>
      <c r="J36" s="69"/>
      <c r="K36" s="69"/>
      <c r="L36" s="71">
        <f>SmtRes!AA17*SmtRes!Y17*Source!I25</f>
        <v>236.21072000000001</v>
      </c>
      <c r="M36" s="69"/>
      <c r="N36" s="69"/>
    </row>
    <row r="37" spans="1:26" ht="14.25">
      <c r="A37" s="69"/>
      <c r="B37" s="70" t="str">
        <f>SmtRes!I18</f>
        <v>411-0001</v>
      </c>
      <c r="C37" s="70" t="str">
        <f>SmtRes!K18</f>
        <v>Вода</v>
      </c>
      <c r="D37" s="69" t="str">
        <f>SmtRes!O18</f>
        <v>м3</v>
      </c>
      <c r="E37" s="69">
        <f>SmtRes!Y18*Source!I25</f>
        <v>2.35E-2</v>
      </c>
      <c r="F37" s="71">
        <f>(SmtRes!AA18+SmtRes!AB18+SmtRes!AD18)</f>
        <v>17.420000000000002</v>
      </c>
      <c r="G37" s="69"/>
      <c r="H37" s="71">
        <f>SmtRes!AA18</f>
        <v>17.420000000000002</v>
      </c>
      <c r="I37" s="71">
        <f>(SmtRes!AA18*SmtRes!Y18*Source!I25+SmtRes!AB18*SmtRes!Y18*Source!I25+SmtRes!AD18*SmtRes!Y18*Source!I25)</f>
        <v>0.40937000000000007</v>
      </c>
      <c r="J37" s="69"/>
      <c r="K37" s="69"/>
      <c r="L37" s="71">
        <f>SmtRes!AA18*SmtRes!Y18*Source!I25</f>
        <v>0.40937000000000007</v>
      </c>
      <c r="M37" s="69"/>
      <c r="N37" s="69"/>
    </row>
    <row r="38" spans="1:26" ht="71.25">
      <c r="A38" s="32" t="str">
        <f>IF(Source!E27&lt;&gt;"", Source!E27, "")</f>
        <v>2</v>
      </c>
      <c r="B38" s="32" t="str">
        <f>IF(Source!F27&lt;&gt;"", Source!F27, "")</f>
        <v>15-01-016-2</v>
      </c>
      <c r="C38" s="32" t="s">
        <v>249</v>
      </c>
      <c r="D38" s="59" t="str">
        <f>IF(Source!H27&lt;&gt;"", Source!H27, "")</f>
        <v>100 м2 облицованной поверхности</v>
      </c>
      <c r="E38" s="57">
        <f>Source!I27</f>
        <v>4.7E-2</v>
      </c>
      <c r="F38" s="72">
        <f>IF(Source!AB27=0, " ", Source!AB27)</f>
        <v>10155.879999999999</v>
      </c>
      <c r="G38" s="72">
        <f>IF(Source!AD27=0, " ", Source!AD27)</f>
        <v>60.13</v>
      </c>
      <c r="H38" s="42">
        <f>IF(Source!AC27=0, " ", Source!AC27)</f>
        <v>6881.71</v>
      </c>
      <c r="I38" s="42">
        <f>IF(Source!O27=0, " ", Source!O27)</f>
        <v>5621.3</v>
      </c>
      <c r="J38" s="42">
        <f>IF(Source!S27=0, " ", Source!S27)</f>
        <v>2762.89</v>
      </c>
      <c r="K38" s="72">
        <f>IF(Source!Q27=0, " ", Source!Q27)</f>
        <v>25.07</v>
      </c>
      <c r="L38" s="42">
        <f>IF(Source!P27=0, " ", Source!P27)</f>
        <v>2833.34</v>
      </c>
      <c r="M38" s="73">
        <f>IF(Source!AH27=0, " ", ROUND(Source!AH27,6))</f>
        <v>353.97</v>
      </c>
      <c r="N38" s="73">
        <f>IF(Source!U27=0, " ", ROUND(Source!U27,6))</f>
        <v>16.636590000000002</v>
      </c>
      <c r="T38">
        <f>Source!O27+Source!X27+Source!Y27</f>
        <v>8875.0400000000009</v>
      </c>
      <c r="U38">
        <v>2833.34</v>
      </c>
      <c r="V38">
        <f>IF(Source!S27=0, " ", Source!S27)</f>
        <v>2762.89</v>
      </c>
      <c r="W38">
        <f>IF(Source!Q27=0, " ", Source!Q27)</f>
        <v>25.07</v>
      </c>
      <c r="X38">
        <f>IF(Source!R27=0, " ", Source!R27)</f>
        <v>18.09</v>
      </c>
      <c r="Y38">
        <f>IF(Source!U27=0, " ", ROUND(Source!U27,6))</f>
        <v>16.636590000000002</v>
      </c>
      <c r="Z38">
        <f>IF(Source!V27=0, " ", ROUND(Source!V27,6))</f>
        <v>7.7549999999999994E-2</v>
      </c>
    </row>
    <row r="39" spans="1:26" ht="14.25">
      <c r="A39" s="32"/>
      <c r="B39" s="32"/>
      <c r="C39" s="32"/>
      <c r="D39" s="59"/>
      <c r="E39" s="57"/>
      <c r="F39" s="42">
        <f>IF(Source!AF27=0, " ", Source!AF27)</f>
        <v>3214.04</v>
      </c>
      <c r="G39" s="42">
        <f>IF(Source!AE27=0, " ", Source!AE27)</f>
        <v>21.04</v>
      </c>
      <c r="H39" s="57"/>
      <c r="I39" s="57"/>
      <c r="J39" s="57"/>
      <c r="K39" s="42">
        <f>IF(Source!R27=0, " ", Source!R27)</f>
        <v>18.09</v>
      </c>
      <c r="L39" s="57"/>
      <c r="M39" s="62">
        <f>IF(Source!AI27=0, " ", ROUND(Source!AI27,6))</f>
        <v>1.65</v>
      </c>
      <c r="N39" s="62">
        <f>IF(Source!V27=0, " ", ROUND(Source!V27,6))</f>
        <v>7.7549999999999994E-2</v>
      </c>
    </row>
    <row r="40" spans="1:26">
      <c r="A40" s="54"/>
      <c r="B40" s="54"/>
      <c r="C40" s="30" t="str">
        <f>"Объем: "&amp;Source!I27&amp;"=4,7/"&amp;"100"</f>
        <v>Объем: 0,047=4,7/100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26" ht="14.25">
      <c r="A41" s="54"/>
      <c r="B41" s="54"/>
      <c r="C41" s="64" t="s">
        <v>78</v>
      </c>
      <c r="D41" s="60" t="str">
        <f>CONCATENATE(Source!AT27," %")</f>
        <v>80 %</v>
      </c>
      <c r="E41" s="60"/>
      <c r="F41" s="60"/>
      <c r="G41" s="60"/>
      <c r="H41" s="60"/>
      <c r="I41" s="65">
        <f>Source!X27</f>
        <v>2224.7800000000002</v>
      </c>
      <c r="J41" s="54"/>
      <c r="K41" s="54"/>
      <c r="L41" s="54"/>
      <c r="M41" s="54"/>
      <c r="N41" s="54"/>
    </row>
    <row r="42" spans="1:26" ht="14.25">
      <c r="A42" s="54"/>
      <c r="B42" s="54"/>
      <c r="C42" s="64" t="s">
        <v>80</v>
      </c>
      <c r="D42" s="60" t="str">
        <f>CONCATENATE(Source!AU27," %")</f>
        <v>37 %</v>
      </c>
      <c r="E42" s="60"/>
      <c r="F42" s="60"/>
      <c r="G42" s="60"/>
      <c r="H42" s="60"/>
      <c r="I42" s="65">
        <f>Source!Y27</f>
        <v>1028.96</v>
      </c>
      <c r="J42" s="54"/>
      <c r="K42" s="54"/>
      <c r="L42" s="54"/>
      <c r="M42" s="54"/>
      <c r="N42" s="54"/>
    </row>
    <row r="43" spans="1:26" ht="15">
      <c r="A43" s="54"/>
      <c r="B43" s="54"/>
      <c r="C43" s="66" t="s">
        <v>247</v>
      </c>
      <c r="D43" s="67"/>
      <c r="E43" s="67"/>
      <c r="F43" s="67"/>
      <c r="G43" s="67"/>
      <c r="H43" s="67"/>
      <c r="I43" s="68">
        <f>SUMIF(Source!AA27:'Source'!AA27, "=55197951", Source!GM27:'Source'!GM27)</f>
        <v>8875.0400000000009</v>
      </c>
      <c r="J43" s="54"/>
      <c r="K43" s="54"/>
      <c r="L43" s="54"/>
      <c r="M43" s="54"/>
      <c r="N43" s="54"/>
    </row>
    <row r="44" spans="1:26" ht="14.25">
      <c r="A44" s="77" t="s">
        <v>248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</row>
    <row r="45" spans="1:26" ht="42.75">
      <c r="A45" s="69"/>
      <c r="B45" s="70" t="str">
        <f>SmtRes!I32</f>
        <v>101-0278</v>
      </c>
      <c r="C45" s="70" t="str">
        <f>SmtRes!K32</f>
        <v>Плитки керамические фасадные и ковры из них неглазурованные гладкие толщиной 9 мм</v>
      </c>
      <c r="D45" s="69" t="str">
        <f>SmtRes!O32</f>
        <v>м2</v>
      </c>
      <c r="E45" s="69">
        <f>SmtRes!Y32*Source!I27</f>
        <v>4.7</v>
      </c>
      <c r="F45" s="71">
        <f>(SmtRes!AA32+SmtRes!AB32+SmtRes!AD32)</f>
        <v>551.39</v>
      </c>
      <c r="G45" s="69"/>
      <c r="H45" s="71">
        <f>SmtRes!AA32</f>
        <v>551.39</v>
      </c>
      <c r="I45" s="71">
        <f>(SmtRes!AA32*SmtRes!Y32*Source!I27+SmtRes!AB32*SmtRes!Y32*Source!I27+SmtRes!AD32*SmtRes!Y32*Source!I27)</f>
        <v>2591.5329999999999</v>
      </c>
      <c r="J45" s="69"/>
      <c r="K45" s="69"/>
      <c r="L45" s="71">
        <f>SmtRes!AA32*SmtRes!Y32*Source!I27</f>
        <v>2591.5329999999999</v>
      </c>
      <c r="M45" s="69"/>
      <c r="N45" s="69"/>
    </row>
    <row r="46" spans="1:26" ht="42.75">
      <c r="A46" s="69"/>
      <c r="B46" s="70" t="str">
        <f>SmtRes!I33</f>
        <v>101-1330</v>
      </c>
      <c r="C46" s="70" t="str">
        <f>SmtRes!K33</f>
        <v>Портландцемент пуццолановый общестроительного и специального назначения марки 400</v>
      </c>
      <c r="D46" s="69" t="str">
        <f>SmtRes!O33</f>
        <v>т</v>
      </c>
      <c r="E46" s="69">
        <f>SmtRes!Y33*Source!I27</f>
        <v>1.8799999999999999E-3</v>
      </c>
      <c r="F46" s="71">
        <f>(SmtRes!AA33+SmtRes!AB33+SmtRes!AD33)</f>
        <v>3322.33</v>
      </c>
      <c r="G46" s="69"/>
      <c r="H46" s="71">
        <f>SmtRes!AA33</f>
        <v>3322.33</v>
      </c>
      <c r="I46" s="71">
        <f>(SmtRes!AA33*SmtRes!Y33*Source!I27+SmtRes!AB33*SmtRes!Y33*Source!I27+SmtRes!AD33*SmtRes!Y33*Source!I27)</f>
        <v>6.2459804000000005</v>
      </c>
      <c r="J46" s="69"/>
      <c r="K46" s="69"/>
      <c r="L46" s="71">
        <f>SmtRes!AA33*SmtRes!Y33*Source!I27</f>
        <v>6.2459804000000005</v>
      </c>
      <c r="M46" s="69"/>
      <c r="N46" s="69"/>
    </row>
    <row r="47" spans="1:26" ht="14.25">
      <c r="A47" s="69"/>
      <c r="B47" s="70" t="str">
        <f>SmtRes!I34</f>
        <v>101-1757</v>
      </c>
      <c r="C47" s="70" t="str">
        <f>SmtRes!K34</f>
        <v>Ветошь</v>
      </c>
      <c r="D47" s="69" t="str">
        <f>SmtRes!O34</f>
        <v>кг</v>
      </c>
      <c r="E47" s="69">
        <f>SmtRes!Y34*Source!I27</f>
        <v>2.35E-2</v>
      </c>
      <c r="F47" s="71">
        <f>(SmtRes!AA34+SmtRes!AB34+SmtRes!AD34)</f>
        <v>47.1</v>
      </c>
      <c r="G47" s="69"/>
      <c r="H47" s="71">
        <f>SmtRes!AA34</f>
        <v>47.1</v>
      </c>
      <c r="I47" s="71">
        <f>(SmtRes!AA34*SmtRes!Y34*Source!I27+SmtRes!AB34*SmtRes!Y34*Source!I27+SmtRes!AD34*SmtRes!Y34*Source!I27)</f>
        <v>1.1068500000000001</v>
      </c>
      <c r="J47" s="69"/>
      <c r="K47" s="69"/>
      <c r="L47" s="71">
        <f>SmtRes!AA34*SmtRes!Y34*Source!I27</f>
        <v>1.1068500000000001</v>
      </c>
      <c r="M47" s="69"/>
      <c r="N47" s="69"/>
    </row>
    <row r="48" spans="1:26" ht="28.5">
      <c r="A48" s="69"/>
      <c r="B48" s="70" t="str">
        <f>SmtRes!I35</f>
        <v>402-0078</v>
      </c>
      <c r="C48" s="70" t="str">
        <f>SmtRes!K35</f>
        <v>Раствор готовый отделочный тяжелый, цементный 1:3</v>
      </c>
      <c r="D48" s="69" t="str">
        <f>SmtRes!O35</f>
        <v>м3</v>
      </c>
      <c r="E48" s="69">
        <f>SmtRes!Y35*Source!I27</f>
        <v>9.4E-2</v>
      </c>
      <c r="F48" s="71">
        <f>(SmtRes!AA35+SmtRes!AB35+SmtRes!AD35)</f>
        <v>2512.88</v>
      </c>
      <c r="G48" s="69"/>
      <c r="H48" s="71">
        <f>SmtRes!AA35</f>
        <v>2512.88</v>
      </c>
      <c r="I48" s="71">
        <f>(SmtRes!AA35*SmtRes!Y35*Source!I27+SmtRes!AB35*SmtRes!Y35*Source!I27+SmtRes!AD35*SmtRes!Y35*Source!I27)</f>
        <v>236.21072000000001</v>
      </c>
      <c r="J48" s="69"/>
      <c r="K48" s="69"/>
      <c r="L48" s="71">
        <f>SmtRes!AA35*SmtRes!Y35*Source!I27</f>
        <v>236.21072000000001</v>
      </c>
      <c r="M48" s="69"/>
      <c r="N48" s="69"/>
    </row>
    <row r="49" spans="1:14" ht="14.25">
      <c r="A49" s="69"/>
      <c r="B49" s="70" t="str">
        <f>SmtRes!I36</f>
        <v>411-0001</v>
      </c>
      <c r="C49" s="70" t="str">
        <f>SmtRes!K36</f>
        <v>Вода</v>
      </c>
      <c r="D49" s="69" t="str">
        <f>SmtRes!O36</f>
        <v>м3</v>
      </c>
      <c r="E49" s="69">
        <f>SmtRes!Y36*Source!I27</f>
        <v>2.35E-2</v>
      </c>
      <c r="F49" s="71">
        <f>(SmtRes!AA36+SmtRes!AB36+SmtRes!AD36)</f>
        <v>17.420000000000002</v>
      </c>
      <c r="G49" s="69"/>
      <c r="H49" s="71">
        <f>SmtRes!AA36</f>
        <v>17.420000000000002</v>
      </c>
      <c r="I49" s="71">
        <f>(SmtRes!AA36*SmtRes!Y36*Source!I27+SmtRes!AB36*SmtRes!Y36*Source!I27+SmtRes!AD36*SmtRes!Y36*Source!I27)</f>
        <v>0.40937000000000007</v>
      </c>
      <c r="J49" s="69"/>
      <c r="K49" s="69"/>
      <c r="L49" s="71">
        <f>SmtRes!AA36*SmtRes!Y36*Source!I27</f>
        <v>0.40937000000000007</v>
      </c>
      <c r="M49" s="69"/>
      <c r="N49" s="69"/>
    </row>
    <row r="50" spans="1:14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</row>
    <row r="51" spans="1:14" ht="15">
      <c r="A51" s="83" t="str">
        <f>CONCATENATE("Итого по локальной смете ",IF(Source!G29&lt;&gt;"Новая локальная смета", Source!G29, ""))</f>
        <v xml:space="preserve">Итого по локальной смете </v>
      </c>
      <c r="B51" s="83"/>
      <c r="C51" s="83"/>
      <c r="D51" s="83"/>
      <c r="E51" s="83"/>
      <c r="F51" s="83"/>
      <c r="G51" s="83"/>
      <c r="H51" s="83"/>
      <c r="I51" s="45">
        <f>IF(SUM(T26:T50)=0, " ", SUM(T26:T50))</f>
        <v>19304.48</v>
      </c>
      <c r="J51" s="45">
        <f>IF(SUM(V26:V50)=0, " ", SUM(V26:V50))</f>
        <v>6242.09</v>
      </c>
      <c r="K51" s="40">
        <f>IF(SUM(W26:W50)=0, " ", SUM(W26:W50))</f>
        <v>50.14</v>
      </c>
      <c r="L51" s="45">
        <f>IF(SUM(U26:U50)=0, " ", SUM(U26:U50))</f>
        <v>5666.68</v>
      </c>
      <c r="M51" s="74"/>
      <c r="N51" s="40">
        <f>IF(SUM(Y26:Y50)=0, " ", SUM(Y26:Y50))</f>
        <v>37.586370000000002</v>
      </c>
    </row>
    <row r="52" spans="1:14" ht="15">
      <c r="A52" s="83"/>
      <c r="B52" s="83"/>
      <c r="C52" s="83"/>
      <c r="D52" s="83"/>
      <c r="E52" s="83"/>
      <c r="F52" s="83"/>
      <c r="G52" s="83"/>
      <c r="H52" s="83"/>
      <c r="I52" s="74"/>
      <c r="J52" s="74"/>
      <c r="K52" s="45">
        <f>IF(SUM(X26:X50)=0, " ", SUM(X26:X50))</f>
        <v>36.18</v>
      </c>
      <c r="L52" s="74"/>
      <c r="M52" s="74"/>
      <c r="N52" s="45">
        <f>IF(SUM(Z26:Z50)=0, " ", SUM(Z26:Z50))</f>
        <v>0.15509999999999999</v>
      </c>
    </row>
    <row r="53" spans="1:14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</row>
    <row r="54" spans="1:14" ht="15">
      <c r="A54" s="81" t="s">
        <v>202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45">
        <v>5022.6100000000006</v>
      </c>
    </row>
    <row r="55" spans="1:14" ht="14.25">
      <c r="A55" s="77" t="s">
        <v>210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42"/>
    </row>
    <row r="56" spans="1:14" ht="14.25">
      <c r="A56" s="77" t="s">
        <v>208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42"/>
    </row>
    <row r="57" spans="1:14" ht="14.25">
      <c r="A57" s="77" t="s">
        <v>209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42">
        <v>5022.6100000000006</v>
      </c>
    </row>
    <row r="58" spans="1:14" ht="15">
      <c r="A58" s="81" t="s">
        <v>203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45">
        <v>2322.96</v>
      </c>
    </row>
    <row r="59" spans="1:14" ht="14.25">
      <c r="A59" s="77" t="s">
        <v>210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42"/>
    </row>
    <row r="60" spans="1:14" ht="14.25">
      <c r="A60" s="77" t="s">
        <v>208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42"/>
    </row>
    <row r="61" spans="1:14" ht="14.25">
      <c r="A61" s="77" t="s">
        <v>211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42">
        <v>2322.96</v>
      </c>
    </row>
    <row r="62" spans="1:14" ht="15">
      <c r="A62" s="81" t="s">
        <v>212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45">
        <v>19304.48</v>
      </c>
    </row>
    <row r="63" spans="1:14" ht="15">
      <c r="A63" s="105" t="s">
        <v>251</v>
      </c>
      <c r="B63" s="105"/>
      <c r="C63" s="105"/>
      <c r="D63" s="105"/>
      <c r="E63" s="105"/>
      <c r="F63" s="105"/>
      <c r="G63" s="105"/>
      <c r="H63" s="105"/>
      <c r="I63" s="45">
        <v>11958.91</v>
      </c>
      <c r="J63" s="45">
        <v>6242.09</v>
      </c>
      <c r="K63" s="40">
        <v>50.14</v>
      </c>
      <c r="L63" s="45">
        <v>5666.68</v>
      </c>
      <c r="M63" s="55"/>
      <c r="N63" s="40">
        <v>37.586370000000002</v>
      </c>
    </row>
    <row r="64" spans="1:14" ht="15">
      <c r="A64" s="105"/>
      <c r="B64" s="105"/>
      <c r="C64" s="105"/>
      <c r="D64" s="105"/>
      <c r="E64" s="105"/>
      <c r="F64" s="105"/>
      <c r="G64" s="105"/>
      <c r="H64" s="105"/>
      <c r="I64" s="55"/>
      <c r="J64" s="55"/>
      <c r="K64" s="45">
        <v>36.18</v>
      </c>
      <c r="L64" s="55"/>
      <c r="M64" s="55"/>
      <c r="N64" s="45">
        <v>0.15510000000000002</v>
      </c>
    </row>
    <row r="65" spans="1:14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</row>
    <row r="66" spans="1:14" ht="15">
      <c r="A66" s="105" t="s">
        <v>252</v>
      </c>
      <c r="B66" s="105"/>
      <c r="C66" s="105"/>
      <c r="D66" s="105"/>
      <c r="E66" s="105"/>
      <c r="F66" s="105"/>
      <c r="G66" s="105"/>
      <c r="H66" s="105"/>
      <c r="I66" s="45">
        <v>13393.979200000002</v>
      </c>
      <c r="J66" s="45">
        <v>6991.140800000001</v>
      </c>
      <c r="K66" s="40">
        <v>56.156800000000004</v>
      </c>
      <c r="L66" s="45">
        <v>6346.6816000000008</v>
      </c>
      <c r="M66" s="55"/>
      <c r="N66" s="40">
        <v>42.09673440000001</v>
      </c>
    </row>
    <row r="67" spans="1:14" ht="15">
      <c r="A67" s="105"/>
      <c r="B67" s="105"/>
      <c r="C67" s="105"/>
      <c r="D67" s="105"/>
      <c r="E67" s="105"/>
      <c r="F67" s="105"/>
      <c r="G67" s="105"/>
      <c r="H67" s="105"/>
      <c r="I67" s="55"/>
      <c r="J67" s="55"/>
      <c r="K67" s="45">
        <v>40.521600000000007</v>
      </c>
      <c r="L67" s="55"/>
      <c r="M67" s="55"/>
      <c r="N67" s="45">
        <v>0.17371200000000003</v>
      </c>
    </row>
    <row r="68" spans="1:14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</row>
    <row r="69" spans="1:14" ht="14.25">
      <c r="A69" s="77" t="str">
        <f>IF(Source!H31&lt;&gt; "", Source!H31, "" )</f>
        <v>Прямые затраты</v>
      </c>
      <c r="B69" s="77"/>
      <c r="C69" s="77"/>
      <c r="D69" s="77"/>
      <c r="E69" s="77"/>
      <c r="F69" s="77"/>
      <c r="G69" s="77"/>
      <c r="H69" s="77"/>
      <c r="I69" s="42">
        <f>Source!P31</f>
        <v>11958.91</v>
      </c>
      <c r="J69" s="54"/>
      <c r="K69" s="54"/>
      <c r="L69" s="54"/>
      <c r="M69" s="54"/>
      <c r="N69" s="54"/>
    </row>
    <row r="70" spans="1:14" ht="14.25">
      <c r="A70" s="77" t="str">
        <f>IF(Source!H32&lt;&gt; "", Source!H32, "" )</f>
        <v>Стоимость материальных ресурсов (всего)</v>
      </c>
      <c r="B70" s="77"/>
      <c r="C70" s="77"/>
      <c r="D70" s="77"/>
      <c r="E70" s="77"/>
      <c r="F70" s="77"/>
      <c r="G70" s="77"/>
      <c r="H70" s="77"/>
      <c r="I70" s="54"/>
      <c r="J70" s="54"/>
      <c r="K70" s="54"/>
      <c r="L70" s="42">
        <f>Source!P32</f>
        <v>5666.68</v>
      </c>
      <c r="M70" s="54"/>
      <c r="N70" s="54"/>
    </row>
    <row r="71" spans="1:14" ht="14.25">
      <c r="A71" s="77" t="str">
        <f>IF(Source!H35&lt;&gt; "", Source!H35, "" )</f>
        <v>Стоимость материалов (всего)</v>
      </c>
      <c r="B71" s="77"/>
      <c r="C71" s="77"/>
      <c r="D71" s="77"/>
      <c r="E71" s="77"/>
      <c r="F71" s="77"/>
      <c r="G71" s="77"/>
      <c r="H71" s="77"/>
      <c r="I71" s="42">
        <f>Source!P35</f>
        <v>5666.68</v>
      </c>
      <c r="J71" s="54"/>
      <c r="K71" s="54"/>
      <c r="L71" s="54"/>
      <c r="M71" s="54"/>
      <c r="N71" s="54"/>
    </row>
    <row r="72" spans="1:14" ht="14.25">
      <c r="A72" s="77" t="str">
        <f>IF(Source!H41&lt;&gt; "", Source!H41, "" )</f>
        <v>Эксплуатация машин</v>
      </c>
      <c r="B72" s="77"/>
      <c r="C72" s="77"/>
      <c r="D72" s="77"/>
      <c r="E72" s="77"/>
      <c r="F72" s="77"/>
      <c r="G72" s="77"/>
      <c r="H72" s="77"/>
      <c r="I72" s="54"/>
      <c r="J72" s="54"/>
      <c r="K72" s="42">
        <f>Source!P41</f>
        <v>50.14</v>
      </c>
      <c r="L72" s="54"/>
      <c r="M72" s="54"/>
      <c r="N72" s="54"/>
    </row>
    <row r="73" spans="1:14" ht="14.25">
      <c r="A73" s="77" t="str">
        <f>IF(Source!H43&lt;&gt; "", Source!H43, "" )</f>
        <v>ЗП машинистов</v>
      </c>
      <c r="B73" s="77"/>
      <c r="C73" s="77"/>
      <c r="D73" s="77"/>
      <c r="E73" s="77"/>
      <c r="F73" s="77"/>
      <c r="G73" s="77"/>
      <c r="H73" s="77"/>
      <c r="I73" s="54"/>
      <c r="J73" s="54"/>
      <c r="K73" s="42">
        <f>Source!P43</f>
        <v>36.18</v>
      </c>
      <c r="L73" s="54"/>
      <c r="M73" s="54"/>
      <c r="N73" s="54"/>
    </row>
    <row r="74" spans="1:14" ht="14.25">
      <c r="A74" s="77" t="str">
        <f>IF(Source!H44&lt;&gt; "", Source!H44, "" )</f>
        <v>Основная ЗП рабочих</v>
      </c>
      <c r="B74" s="77"/>
      <c r="C74" s="77"/>
      <c r="D74" s="77"/>
      <c r="E74" s="77"/>
      <c r="F74" s="77"/>
      <c r="G74" s="77"/>
      <c r="H74" s="77"/>
      <c r="I74" s="54"/>
      <c r="J74" s="42">
        <f>Source!P44</f>
        <v>6242.09</v>
      </c>
      <c r="K74" s="54"/>
      <c r="L74" s="54"/>
      <c r="M74" s="54"/>
      <c r="N74" s="54"/>
    </row>
    <row r="75" spans="1:14" ht="14.25">
      <c r="A75" s="77" t="str">
        <f>IF(Source!H46&lt;&gt; "", Source!H46, "" )</f>
        <v>Строительные работы с НР и СП</v>
      </c>
      <c r="B75" s="77"/>
      <c r="C75" s="77"/>
      <c r="D75" s="77"/>
      <c r="E75" s="77"/>
      <c r="F75" s="77"/>
      <c r="G75" s="77"/>
      <c r="H75" s="77"/>
      <c r="I75" s="42">
        <f>Source!P46</f>
        <v>19304.48</v>
      </c>
      <c r="J75" s="54"/>
      <c r="K75" s="54"/>
      <c r="L75" s="54"/>
      <c r="M75" s="54"/>
      <c r="N75" s="54"/>
    </row>
    <row r="76" spans="1:14" ht="14.25">
      <c r="A76" s="77" t="str">
        <f>IF(Source!H51&lt;&gt; "", Source!H51, "" )</f>
        <v>Трудозатраты строителей</v>
      </c>
      <c r="B76" s="77"/>
      <c r="C76" s="77"/>
      <c r="D76" s="77"/>
      <c r="E76" s="77"/>
      <c r="F76" s="77"/>
      <c r="G76" s="77"/>
      <c r="H76" s="77"/>
      <c r="I76" s="54"/>
      <c r="J76" s="54"/>
      <c r="K76" s="54"/>
      <c r="L76" s="54"/>
      <c r="M76" s="54"/>
      <c r="N76" s="46">
        <f>Source!P51</f>
        <v>37.586370000000002</v>
      </c>
    </row>
    <row r="77" spans="1:14" ht="14.25">
      <c r="A77" s="77" t="str">
        <f>IF(Source!H52&lt;&gt; "", Source!H52, "" )</f>
        <v>Трудозатраты машинистов</v>
      </c>
      <c r="B77" s="77"/>
      <c r="C77" s="77"/>
      <c r="D77" s="77"/>
      <c r="E77" s="77"/>
      <c r="F77" s="77"/>
      <c r="G77" s="77"/>
      <c r="H77" s="77"/>
      <c r="I77" s="54"/>
      <c r="J77" s="54"/>
      <c r="K77" s="54"/>
      <c r="L77" s="54"/>
      <c r="M77" s="54"/>
      <c r="N77" s="46">
        <f>Source!P52</f>
        <v>0.15510000000000002</v>
      </c>
    </row>
    <row r="78" spans="1:14" ht="14.25">
      <c r="A78" s="77" t="str">
        <f>IF(Source!H54&lt;&gt; "", Source!H54, "" )</f>
        <v>Накладные расходы</v>
      </c>
      <c r="B78" s="77"/>
      <c r="C78" s="77"/>
      <c r="D78" s="77"/>
      <c r="E78" s="77"/>
      <c r="F78" s="77"/>
      <c r="G78" s="77"/>
      <c r="H78" s="77"/>
      <c r="I78" s="42">
        <f>Source!P54</f>
        <v>5022.6099999999997</v>
      </c>
      <c r="J78" s="54"/>
      <c r="K78" s="54"/>
      <c r="L78" s="54"/>
      <c r="M78" s="54"/>
      <c r="N78" s="54"/>
    </row>
    <row r="79" spans="1:14" ht="14.25">
      <c r="A79" s="77" t="str">
        <f>IF(Source!H55&lt;&gt; "", Source!H55, "" )</f>
        <v>Сметная прибыль</v>
      </c>
      <c r="B79" s="77"/>
      <c r="C79" s="77"/>
      <c r="D79" s="77"/>
      <c r="E79" s="77"/>
      <c r="F79" s="77"/>
      <c r="G79" s="77"/>
      <c r="H79" s="77"/>
      <c r="I79" s="42">
        <f>Source!P55</f>
        <v>2322.96</v>
      </c>
      <c r="J79" s="54"/>
      <c r="K79" s="54"/>
      <c r="L79" s="54"/>
      <c r="M79" s="54"/>
      <c r="N79" s="54"/>
    </row>
    <row r="80" spans="1:14" ht="14.25">
      <c r="A80" s="77" t="str">
        <f>IF(Source!H56&lt;&gt; "", Source!H56, "" )</f>
        <v>Всего с НР и СП</v>
      </c>
      <c r="B80" s="77"/>
      <c r="C80" s="77"/>
      <c r="D80" s="77"/>
      <c r="E80" s="77"/>
      <c r="F80" s="77"/>
      <c r="G80" s="77"/>
      <c r="H80" s="77"/>
      <c r="I80" s="42">
        <f>Source!P56</f>
        <v>19304.48</v>
      </c>
      <c r="J80" s="54"/>
      <c r="K80" s="54"/>
      <c r="L80" s="54"/>
      <c r="M80" s="54"/>
      <c r="N80" s="54"/>
    </row>
    <row r="81" spans="1:14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</row>
    <row r="82" spans="1:14" ht="15">
      <c r="A82" s="83" t="str">
        <f>CONCATENATE("Итого по смете ",IF(Source!G58&lt;&gt;"Новый объект", Source!G58, ""))</f>
        <v xml:space="preserve">Итого по смете </v>
      </c>
      <c r="B82" s="83"/>
      <c r="C82" s="83"/>
      <c r="D82" s="83"/>
      <c r="E82" s="83"/>
      <c r="F82" s="83"/>
      <c r="G82" s="83"/>
      <c r="H82" s="83"/>
      <c r="I82" s="45">
        <f>IF(SUM(T1:T81)=0, " ", SUM(T1:T81))</f>
        <v>19304.48</v>
      </c>
      <c r="J82" s="45">
        <f>IF(SUM(V1:V81)=0, " ", SUM(V1:V81))</f>
        <v>6242.09</v>
      </c>
      <c r="K82" s="40">
        <f>IF(SUM(W1:W81)=0, " ", SUM(W1:W81))</f>
        <v>50.14</v>
      </c>
      <c r="L82" s="45">
        <f>IF(SUM(U1:U81)=0, " ", SUM(U1:U81))</f>
        <v>5666.68</v>
      </c>
      <c r="M82" s="74"/>
      <c r="N82" s="40">
        <f>IF(SUM(Y1:Y81)=0, " ", SUM(Y1:Y81))</f>
        <v>37.586370000000002</v>
      </c>
    </row>
    <row r="83" spans="1:14" ht="15">
      <c r="A83" s="83"/>
      <c r="B83" s="83"/>
      <c r="C83" s="83"/>
      <c r="D83" s="83"/>
      <c r="E83" s="83"/>
      <c r="F83" s="83"/>
      <c r="G83" s="83"/>
      <c r="H83" s="83"/>
      <c r="I83" s="74"/>
      <c r="J83" s="74"/>
      <c r="K83" s="45">
        <f>IF(SUM(X1:X81)=0, " ", SUM(X1:X81))</f>
        <v>36.18</v>
      </c>
      <c r="L83" s="74"/>
      <c r="M83" s="74"/>
      <c r="N83" s="45">
        <f>IF(SUM(Z1:Z81)=0, " ", SUM(Z1:Z81))</f>
        <v>0.15509999999999999</v>
      </c>
    </row>
    <row r="84" spans="1:14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</row>
    <row r="85" spans="1:14" ht="15">
      <c r="A85" s="81" t="s">
        <v>202</v>
      </c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45">
        <v>5022.6100000000006</v>
      </c>
    </row>
    <row r="86" spans="1:14" ht="14.25">
      <c r="A86" s="77" t="s">
        <v>210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42"/>
    </row>
    <row r="87" spans="1:14" ht="14.25">
      <c r="A87" s="77" t="s">
        <v>208</v>
      </c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42"/>
    </row>
    <row r="88" spans="1:14" ht="14.25">
      <c r="A88" s="77" t="s">
        <v>209</v>
      </c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42">
        <v>5022.6100000000006</v>
      </c>
    </row>
    <row r="89" spans="1:14" ht="15">
      <c r="A89" s="81" t="s">
        <v>203</v>
      </c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45">
        <v>2322.96</v>
      </c>
    </row>
    <row r="90" spans="1:14" ht="14.25">
      <c r="A90" s="77" t="s">
        <v>210</v>
      </c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42"/>
    </row>
    <row r="91" spans="1:14" ht="14.25">
      <c r="A91" s="77" t="s">
        <v>208</v>
      </c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42"/>
    </row>
    <row r="92" spans="1:14" ht="14.25">
      <c r="A92" s="77" t="s">
        <v>211</v>
      </c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42">
        <v>2322.96</v>
      </c>
    </row>
    <row r="93" spans="1:14" ht="15">
      <c r="A93" s="81" t="s">
        <v>212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45">
        <v>19304.48</v>
      </c>
    </row>
    <row r="94" spans="1:14" ht="15">
      <c r="A94" s="105" t="s">
        <v>251</v>
      </c>
      <c r="B94" s="105"/>
      <c r="C94" s="105"/>
      <c r="D94" s="105"/>
      <c r="E94" s="105"/>
      <c r="F94" s="105"/>
      <c r="G94" s="105"/>
      <c r="H94" s="105"/>
      <c r="I94" s="45">
        <v>11958.91</v>
      </c>
      <c r="J94" s="45">
        <v>6242.09</v>
      </c>
      <c r="K94" s="40">
        <v>50.14</v>
      </c>
      <c r="L94" s="45">
        <v>5666.68</v>
      </c>
      <c r="M94" s="55"/>
      <c r="N94" s="40">
        <v>37.586370000000002</v>
      </c>
    </row>
    <row r="95" spans="1:14" ht="15">
      <c r="A95" s="105"/>
      <c r="B95" s="105"/>
      <c r="C95" s="105"/>
      <c r="D95" s="105"/>
      <c r="E95" s="105"/>
      <c r="F95" s="105"/>
      <c r="G95" s="105"/>
      <c r="H95" s="105"/>
      <c r="I95" s="55"/>
      <c r="J95" s="55"/>
      <c r="K95" s="45">
        <v>36.18</v>
      </c>
      <c r="L95" s="55"/>
      <c r="M95" s="55"/>
      <c r="N95" s="45">
        <v>0.15510000000000002</v>
      </c>
    </row>
    <row r="96" spans="1:14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</row>
    <row r="97" spans="1:14" ht="15">
      <c r="A97" s="105" t="s">
        <v>252</v>
      </c>
      <c r="B97" s="105"/>
      <c r="C97" s="105"/>
      <c r="D97" s="105"/>
      <c r="E97" s="105"/>
      <c r="F97" s="105"/>
      <c r="G97" s="105"/>
      <c r="H97" s="105"/>
      <c r="I97" s="45">
        <v>13393.979200000002</v>
      </c>
      <c r="J97" s="45">
        <v>6991.140800000001</v>
      </c>
      <c r="K97" s="40">
        <v>56.156800000000004</v>
      </c>
      <c r="L97" s="45">
        <v>6346.6816000000008</v>
      </c>
      <c r="M97" s="55"/>
      <c r="N97" s="40">
        <v>42.09673440000001</v>
      </c>
    </row>
    <row r="98" spans="1:14" ht="15">
      <c r="A98" s="105"/>
      <c r="B98" s="105"/>
      <c r="C98" s="105"/>
      <c r="D98" s="105"/>
      <c r="E98" s="105"/>
      <c r="F98" s="105"/>
      <c r="G98" s="105"/>
      <c r="H98" s="105"/>
      <c r="I98" s="55"/>
      <c r="J98" s="55"/>
      <c r="K98" s="45">
        <v>40.521600000000007</v>
      </c>
      <c r="L98" s="55"/>
      <c r="M98" s="55"/>
      <c r="N98" s="45">
        <v>0.17371200000000003</v>
      </c>
    </row>
    <row r="99" spans="1:14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</row>
    <row r="100" spans="1:14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</row>
    <row r="101" spans="1:14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</row>
    <row r="102" spans="1:14" ht="14.25">
      <c r="A102" s="54"/>
      <c r="B102" s="55" t="s">
        <v>253</v>
      </c>
      <c r="C102" s="75" t="str">
        <f>IF(Source!AB12&lt;&gt;"", Source!AB12," ")</f>
        <v xml:space="preserve"> </v>
      </c>
      <c r="D102" s="55" t="str">
        <f>IF(Source!AC12&lt;&gt;"", Source!AC12," ")</f>
        <v xml:space="preserve"> </v>
      </c>
      <c r="E102" s="55"/>
      <c r="F102" s="55"/>
      <c r="G102" s="55"/>
      <c r="H102" s="54"/>
      <c r="I102" s="54"/>
      <c r="J102" s="54"/>
      <c r="K102" s="54"/>
      <c r="L102" s="54"/>
      <c r="M102" s="54"/>
      <c r="N102" s="54"/>
    </row>
    <row r="103" spans="1:14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</row>
    <row r="104" spans="1:14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</row>
  </sheetData>
  <mergeCells count="74">
    <mergeCell ref="A97:H98"/>
    <mergeCell ref="A91:M91"/>
    <mergeCell ref="A92:M92"/>
    <mergeCell ref="A89:M89"/>
    <mergeCell ref="A90:M90"/>
    <mergeCell ref="A93:M93"/>
    <mergeCell ref="A94:H95"/>
    <mergeCell ref="A88:M88"/>
    <mergeCell ref="A85:M85"/>
    <mergeCell ref="A86:M86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2:H83"/>
    <mergeCell ref="A87:M87"/>
    <mergeCell ref="A71:H71"/>
    <mergeCell ref="A57:M57"/>
    <mergeCell ref="A54:M54"/>
    <mergeCell ref="A55:M55"/>
    <mergeCell ref="A60:M60"/>
    <mergeCell ref="A61:M61"/>
    <mergeCell ref="A58:M58"/>
    <mergeCell ref="A59:M59"/>
    <mergeCell ref="A56:M56"/>
    <mergeCell ref="A62:M62"/>
    <mergeCell ref="A63:H64"/>
    <mergeCell ref="A66:H67"/>
    <mergeCell ref="A69:H69"/>
    <mergeCell ref="A70:H70"/>
    <mergeCell ref="A32:N32"/>
    <mergeCell ref="A44:N44"/>
    <mergeCell ref="A51:H52"/>
    <mergeCell ref="G22:G23"/>
    <mergeCell ref="H22:H24"/>
    <mergeCell ref="I22:I24"/>
    <mergeCell ref="J22:J24"/>
    <mergeCell ref="K22:K23"/>
    <mergeCell ref="L22:L24"/>
    <mergeCell ref="A20:N20"/>
    <mergeCell ref="A21:A24"/>
    <mergeCell ref="B21:B24"/>
    <mergeCell ref="C21:C24"/>
    <mergeCell ref="D21:D24"/>
    <mergeCell ref="E21:E24"/>
    <mergeCell ref="F21:H21"/>
    <mergeCell ref="I21:L21"/>
    <mergeCell ref="M21:N21"/>
    <mergeCell ref="F22:F23"/>
    <mergeCell ref="M22:N22"/>
    <mergeCell ref="M23:N23"/>
    <mergeCell ref="A19:L19"/>
    <mergeCell ref="A8:I8"/>
    <mergeCell ref="A9:I9"/>
    <mergeCell ref="K8:N8"/>
    <mergeCell ref="A11:N11"/>
    <mergeCell ref="A12:N12"/>
    <mergeCell ref="A13:L13"/>
    <mergeCell ref="A14:L14"/>
    <mergeCell ref="A15:L15"/>
    <mergeCell ref="A16:L16"/>
    <mergeCell ref="A17:L17"/>
    <mergeCell ref="A18:L18"/>
    <mergeCell ref="K6:N6"/>
    <mergeCell ref="A1:C1"/>
    <mergeCell ref="K2:N2"/>
    <mergeCell ref="K3:L3"/>
    <mergeCell ref="K4:N4"/>
    <mergeCell ref="K5:N5"/>
  </mergeCells>
  <pageMargins left="0.4" right="0.2" top="0.2" bottom="0.4" header="0.2" footer="0.2"/>
  <pageSetup paperSize="9" scale="48" fitToHeight="0" orientation="portrait" verticalDpi="0" r:id="rId1"/>
  <headerFooter>
    <oddHeader>&amp;L&amp;8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2"/>
  <sheetViews>
    <sheetView tabSelected="1" workbookViewId="0">
      <selection activeCell="S23" sqref="S23"/>
    </sheetView>
  </sheetViews>
  <sheetFormatPr defaultRowHeight="12.75"/>
  <cols>
    <col min="1" max="1" width="5.7109375" customWidth="1"/>
    <col min="2" max="2" width="40.7109375" customWidth="1"/>
    <col min="3" max="9" width="12.7109375" customWidth="1"/>
    <col min="10" max="11" width="10.7109375" customWidth="1"/>
    <col min="12" max="14" width="12.7109375" customWidth="1"/>
    <col min="20" max="34" width="0" hidden="1" customWidth="1"/>
    <col min="35" max="35" width="84.7109375" hidden="1" customWidth="1"/>
    <col min="36" max="36" width="0" hidden="1" customWidth="1"/>
  </cols>
  <sheetData>
    <row r="1" spans="1:14">
      <c r="A1" s="11"/>
    </row>
    <row r="2" spans="1:14" ht="14.25">
      <c r="A2" s="12"/>
      <c r="B2" s="12"/>
      <c r="C2" s="12"/>
      <c r="D2" s="12"/>
      <c r="E2" s="12"/>
      <c r="F2" s="12"/>
      <c r="G2" s="13"/>
      <c r="H2" s="13"/>
      <c r="I2" s="13"/>
      <c r="J2" s="13"/>
      <c r="K2" s="13"/>
      <c r="L2" s="13"/>
      <c r="M2" s="13"/>
      <c r="N2" s="14" t="s">
        <v>180</v>
      </c>
    </row>
    <row r="3" spans="1:14" ht="14.25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15.75">
      <c r="A4" s="15"/>
      <c r="B4" s="97" t="s">
        <v>181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16"/>
    </row>
    <row r="5" spans="1:14" ht="15.75">
      <c r="A5" s="1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6"/>
    </row>
    <row r="6" spans="1:14" ht="15.75">
      <c r="A6" s="15"/>
      <c r="B6" s="97" t="str">
        <f>Source!G12</f>
        <v>Новый объект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16"/>
    </row>
    <row r="7" spans="1:14" ht="14.25">
      <c r="A7" s="18"/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8">
      <c r="A8" s="13"/>
      <c r="B8" s="98" t="str">
        <f>CONCATENATE( "ЛОКАЛЬНАЯ СМЕТА № ",IF(Source!F12&lt;&gt;"Новый объект", Source!F12, ""))</f>
        <v xml:space="preserve">ЛОКАЛЬНАЯ СМЕТА № 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20"/>
    </row>
    <row r="9" spans="1:14" ht="18">
      <c r="A9" s="13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0"/>
    </row>
    <row r="10" spans="1:14" ht="18">
      <c r="A10" s="22"/>
      <c r="B10" s="98" t="str">
        <f>Source!G12</f>
        <v>Новый объект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22"/>
    </row>
    <row r="11" spans="1:14" ht="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13"/>
      <c r="M11" s="13"/>
      <c r="N11" s="13"/>
    </row>
    <row r="12" spans="1:14" ht="14.25">
      <c r="A12" s="53"/>
      <c r="B12" s="53"/>
      <c r="C12" s="53"/>
      <c r="D12" s="53"/>
      <c r="E12" s="53"/>
      <c r="F12" s="53"/>
      <c r="G12" s="53"/>
      <c r="H12" s="53"/>
      <c r="I12" s="53"/>
      <c r="J12" s="99" t="s">
        <v>182</v>
      </c>
      <c r="K12" s="99"/>
      <c r="L12" s="99" t="s">
        <v>183</v>
      </c>
      <c r="M12" s="99"/>
      <c r="N12" s="53"/>
    </row>
    <row r="13" spans="1:14" ht="14.25">
      <c r="A13" s="93" t="s">
        <v>184</v>
      </c>
      <c r="B13" s="93"/>
      <c r="C13" s="93"/>
      <c r="D13" s="93"/>
      <c r="E13" s="93"/>
      <c r="F13" s="93"/>
      <c r="G13" s="93"/>
      <c r="H13" s="93"/>
      <c r="I13" s="93"/>
      <c r="J13" s="94">
        <f>(Source!F85/1000)</f>
        <v>1.48125</v>
      </c>
      <c r="K13" s="93"/>
      <c r="L13" s="94">
        <f>(Source!P85/1000)</f>
        <v>19.304479999999998</v>
      </c>
      <c r="M13" s="93"/>
      <c r="N13" s="25" t="s">
        <v>185</v>
      </c>
    </row>
    <row r="14" spans="1:14" ht="14.25">
      <c r="A14" s="93" t="s">
        <v>186</v>
      </c>
      <c r="B14" s="93"/>
      <c r="C14" s="93"/>
      <c r="D14" s="93"/>
      <c r="E14" s="93"/>
      <c r="F14" s="93"/>
      <c r="G14" s="93"/>
      <c r="H14" s="93"/>
      <c r="I14" s="93"/>
      <c r="J14" s="94">
        <f>(Source!F80+Source!F81)</f>
        <v>37.74147</v>
      </c>
      <c r="K14" s="93"/>
      <c r="L14" s="94">
        <f>(Source!P80+Source!P81)</f>
        <v>37.74147</v>
      </c>
      <c r="M14" s="93"/>
      <c r="N14" s="25" t="s">
        <v>187</v>
      </c>
    </row>
    <row r="15" spans="1:14" ht="14.25">
      <c r="A15" s="93" t="s">
        <v>188</v>
      </c>
      <c r="B15" s="93"/>
      <c r="C15" s="93"/>
      <c r="D15" s="93"/>
      <c r="E15" s="93"/>
      <c r="F15" s="93"/>
      <c r="G15" s="93"/>
      <c r="H15" s="93"/>
      <c r="I15" s="93"/>
      <c r="J15" s="94">
        <f>(Source!F73+ Source!F72)/1000</f>
        <v>0.34326000000000001</v>
      </c>
      <c r="K15" s="93"/>
      <c r="L15" s="94">
        <f>((Source!P73 + Source!P72)/1000)</f>
        <v>6.27827</v>
      </c>
      <c r="M15" s="93"/>
      <c r="N15" s="25" t="s">
        <v>185</v>
      </c>
    </row>
    <row r="16" spans="1:14" ht="14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30" ht="14.25">
      <c r="A17" s="13" t="s">
        <v>200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30" ht="14.25">
      <c r="A18" s="88" t="s">
        <v>189</v>
      </c>
      <c r="B18" s="88" t="s">
        <v>190</v>
      </c>
      <c r="C18" s="88" t="s">
        <v>191</v>
      </c>
      <c r="D18" s="88" t="s">
        <v>192</v>
      </c>
      <c r="E18" s="95"/>
      <c r="F18" s="95"/>
      <c r="G18" s="88" t="s">
        <v>193</v>
      </c>
      <c r="H18" s="95"/>
      <c r="I18" s="95"/>
      <c r="J18" s="88" t="s">
        <v>194</v>
      </c>
      <c r="K18" s="95"/>
      <c r="L18" s="88" t="s">
        <v>195</v>
      </c>
      <c r="M18" s="95"/>
      <c r="N18" s="96"/>
    </row>
    <row r="19" spans="1:30" ht="14.25">
      <c r="A19" s="89"/>
      <c r="B19" s="89"/>
      <c r="C19" s="89"/>
      <c r="D19" s="88" t="s">
        <v>81</v>
      </c>
      <c r="E19" s="52" t="s">
        <v>196</v>
      </c>
      <c r="F19" s="52" t="s">
        <v>197</v>
      </c>
      <c r="G19" s="90" t="s">
        <v>81</v>
      </c>
      <c r="H19" s="52" t="s">
        <v>196</v>
      </c>
      <c r="I19" s="52" t="s">
        <v>197</v>
      </c>
      <c r="J19" s="52" t="s">
        <v>196</v>
      </c>
      <c r="K19" s="52" t="s">
        <v>197</v>
      </c>
      <c r="L19" s="88" t="s">
        <v>81</v>
      </c>
      <c r="M19" s="52" t="s">
        <v>196</v>
      </c>
      <c r="N19" s="27" t="s">
        <v>197</v>
      </c>
    </row>
    <row r="20" spans="1:30" ht="14.25">
      <c r="A20" s="89"/>
      <c r="B20" s="89"/>
      <c r="C20" s="89"/>
      <c r="D20" s="89"/>
      <c r="E20" s="52" t="s">
        <v>198</v>
      </c>
      <c r="F20" s="52" t="s">
        <v>199</v>
      </c>
      <c r="G20" s="91"/>
      <c r="H20" s="52" t="s">
        <v>198</v>
      </c>
      <c r="I20" s="52" t="s">
        <v>199</v>
      </c>
      <c r="J20" s="52" t="s">
        <v>198</v>
      </c>
      <c r="K20" s="52" t="s">
        <v>199</v>
      </c>
      <c r="L20" s="89"/>
      <c r="M20" s="52" t="s">
        <v>198</v>
      </c>
      <c r="N20" s="27" t="s">
        <v>199</v>
      </c>
    </row>
    <row r="21" spans="1:30" ht="14.25">
      <c r="A21" s="28">
        <v>1</v>
      </c>
      <c r="B21" s="28">
        <v>2</v>
      </c>
      <c r="C21" s="28">
        <v>3</v>
      </c>
      <c r="D21" s="28">
        <v>4</v>
      </c>
      <c r="E21" s="28">
        <v>5</v>
      </c>
      <c r="F21" s="28">
        <v>6</v>
      </c>
      <c r="G21" s="29">
        <v>7</v>
      </c>
      <c r="H21" s="28">
        <v>8</v>
      </c>
      <c r="I21" s="28">
        <v>9</v>
      </c>
      <c r="J21" s="28">
        <v>10</v>
      </c>
      <c r="K21" s="28">
        <v>11</v>
      </c>
      <c r="L21" s="28">
        <v>12</v>
      </c>
      <c r="M21" s="28">
        <v>13</v>
      </c>
      <c r="N21" s="28">
        <v>14</v>
      </c>
    </row>
    <row r="22" spans="1:30" ht="15">
      <c r="A22" s="92" t="str">
        <f>IF(Source!C12="1", Source!F20, Source!G20)</f>
        <v>Новая локальная смета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</row>
    <row r="23" spans="1:30" ht="71.25">
      <c r="A23" s="85" t="str">
        <f>Source!E24</f>
        <v>1</v>
      </c>
      <c r="B23" s="32" t="s">
        <v>201</v>
      </c>
      <c r="C23" s="86">
        <f>Source!I24</f>
        <v>4.7E-2</v>
      </c>
      <c r="D23" s="34">
        <f>Source!AK24</f>
        <v>10449.219999999999</v>
      </c>
      <c r="E23" s="35">
        <f>Source!AO24</f>
        <v>3519.41</v>
      </c>
      <c r="F23" s="35">
        <f>Source!AM24</f>
        <v>48.1</v>
      </c>
      <c r="G23" s="87">
        <f>Source!O24</f>
        <v>516.49</v>
      </c>
      <c r="H23" s="35">
        <f>Source!S24</f>
        <v>190.22</v>
      </c>
      <c r="I23" s="35">
        <f>Source!Q24</f>
        <v>2.83</v>
      </c>
      <c r="J23" s="58">
        <f>Source!BA25</f>
        <v>18.29</v>
      </c>
      <c r="K23" s="58">
        <f>Source!BB25</f>
        <v>8.8699999999999992</v>
      </c>
      <c r="L23" s="87">
        <f>Source!O25</f>
        <v>6337.61</v>
      </c>
      <c r="M23" s="35">
        <f>Source!S25</f>
        <v>3479.2</v>
      </c>
      <c r="N23" s="35">
        <f>Source!Q25</f>
        <v>25.07</v>
      </c>
      <c r="T23">
        <f>G23</f>
        <v>516.49</v>
      </c>
      <c r="U23">
        <f>H23</f>
        <v>190.22</v>
      </c>
      <c r="V23">
        <f>H24</f>
        <v>323.44</v>
      </c>
      <c r="W23">
        <f>I23</f>
        <v>2.83</v>
      </c>
      <c r="X23">
        <f>I24</f>
        <v>0.99</v>
      </c>
      <c r="Z23">
        <f>L23</f>
        <v>6337.61</v>
      </c>
      <c r="AA23">
        <f>M23</f>
        <v>3479.2</v>
      </c>
      <c r="AB23">
        <f>M24</f>
        <v>2833.34</v>
      </c>
      <c r="AC23">
        <f>N23</f>
        <v>25.07</v>
      </c>
      <c r="AD23">
        <f>N24</f>
        <v>18.09</v>
      </c>
    </row>
    <row r="24" spans="1:30" ht="14.25">
      <c r="A24" s="85"/>
      <c r="B24" s="33" t="str">
        <f>Source!H24</f>
        <v>100 м2 облицованной поверхности</v>
      </c>
      <c r="C24" s="86"/>
      <c r="D24" s="34"/>
      <c r="E24" s="34">
        <f>Source!AL24</f>
        <v>6881.71</v>
      </c>
      <c r="F24" s="34">
        <f>Source!AN24</f>
        <v>16.829999999999998</v>
      </c>
      <c r="G24" s="87"/>
      <c r="H24" s="34">
        <f>Source!P24</f>
        <v>323.44</v>
      </c>
      <c r="I24" s="34">
        <f>Source!R24</f>
        <v>0.99</v>
      </c>
      <c r="J24" s="58">
        <f>Source!BC25</f>
        <v>8.76</v>
      </c>
      <c r="K24" s="58">
        <f>Source!BS25</f>
        <v>18.29</v>
      </c>
      <c r="L24" s="87"/>
      <c r="M24" s="34">
        <f>Source!P25</f>
        <v>2833.34</v>
      </c>
      <c r="N24" s="34">
        <f>Source!R25</f>
        <v>18.09</v>
      </c>
    </row>
    <row r="25" spans="1:30">
      <c r="B25" s="30" t="str">
        <f>"Объем: "&amp;Source!I24&amp;"=4,7/"&amp;"100"</f>
        <v>Объем: 0,047=4,7/100</v>
      </c>
    </row>
    <row r="26" spans="1:30" ht="14.25">
      <c r="A26" s="36"/>
      <c r="B26" s="37" t="s">
        <v>202</v>
      </c>
      <c r="C26" s="36"/>
      <c r="D26" s="36" t="str">
        <f>CONCATENATE(Source!FX24, "%")</f>
        <v>94,5%</v>
      </c>
      <c r="E26" s="36"/>
      <c r="F26" s="36"/>
      <c r="G26" s="38">
        <f>Source!X24</f>
        <v>181.65</v>
      </c>
      <c r="H26" s="36"/>
      <c r="I26" s="36"/>
      <c r="J26" s="36"/>
      <c r="K26" s="36" t="str">
        <f>CONCATENATE(Source!AT25, "%")</f>
        <v>80%</v>
      </c>
      <c r="L26" s="38">
        <f>Source!X25</f>
        <v>2797.83</v>
      </c>
      <c r="M26" s="36"/>
      <c r="N26" s="36"/>
    </row>
    <row r="27" spans="1:30" ht="14.25">
      <c r="A27" s="36"/>
      <c r="B27" s="37" t="s">
        <v>203</v>
      </c>
      <c r="C27" s="36"/>
      <c r="D27" s="36" t="str">
        <f>CONCATENATE(Source!FY24, "%")</f>
        <v>46,75%</v>
      </c>
      <c r="E27" s="36"/>
      <c r="F27" s="36"/>
      <c r="G27" s="38">
        <f>Source!Y24</f>
        <v>89.87</v>
      </c>
      <c r="H27" s="36"/>
      <c r="I27" s="36"/>
      <c r="J27" s="36"/>
      <c r="K27" s="36" t="str">
        <f>CONCATENATE(Source!AU25, "%")</f>
        <v>37%</v>
      </c>
      <c r="L27" s="38">
        <f>Source!Y25</f>
        <v>1294</v>
      </c>
      <c r="M27" s="36"/>
      <c r="N27" s="36"/>
    </row>
    <row r="28" spans="1:30">
      <c r="B28" s="84" t="s">
        <v>204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</row>
    <row r="29" spans="1:30" ht="71.25">
      <c r="A29" s="85" t="str">
        <f>Source!E26</f>
        <v>2</v>
      </c>
      <c r="B29" s="32" t="s">
        <v>205</v>
      </c>
      <c r="C29" s="86">
        <f>Source!I26</f>
        <v>4.7E-2</v>
      </c>
      <c r="D29" s="34">
        <f>Source!AK26</f>
        <v>9724.6299999999992</v>
      </c>
      <c r="E29" s="35">
        <f>Source!AO26</f>
        <v>2794.82</v>
      </c>
      <c r="F29" s="35">
        <f>Source!AM26</f>
        <v>48.1</v>
      </c>
      <c r="G29" s="87">
        <f>Source!O26</f>
        <v>477.33</v>
      </c>
      <c r="H29" s="35">
        <f>Source!S26</f>
        <v>151.06</v>
      </c>
      <c r="I29" s="35">
        <f>Source!Q26</f>
        <v>2.83</v>
      </c>
      <c r="J29" s="58">
        <f>Source!BA27</f>
        <v>18.29</v>
      </c>
      <c r="K29" s="58">
        <f>Source!BB27</f>
        <v>8.8699999999999992</v>
      </c>
      <c r="L29" s="87">
        <f>Source!O27</f>
        <v>5621.3</v>
      </c>
      <c r="M29" s="35">
        <f>Source!S27</f>
        <v>2762.89</v>
      </c>
      <c r="N29" s="35">
        <f>Source!Q27</f>
        <v>25.07</v>
      </c>
      <c r="T29">
        <f>G29</f>
        <v>477.33</v>
      </c>
      <c r="U29">
        <f>H29</f>
        <v>151.06</v>
      </c>
      <c r="V29">
        <f>H30</f>
        <v>323.44</v>
      </c>
      <c r="W29">
        <f>I29</f>
        <v>2.83</v>
      </c>
      <c r="X29">
        <f>I30</f>
        <v>0.99</v>
      </c>
      <c r="Z29">
        <f>L29</f>
        <v>5621.3</v>
      </c>
      <c r="AA29">
        <f>M29</f>
        <v>2762.89</v>
      </c>
      <c r="AB29">
        <f>M30</f>
        <v>2833.34</v>
      </c>
      <c r="AC29">
        <f>N29</f>
        <v>25.07</v>
      </c>
      <c r="AD29">
        <f>N30</f>
        <v>18.09</v>
      </c>
    </row>
    <row r="30" spans="1:30" ht="14.25">
      <c r="A30" s="85"/>
      <c r="B30" s="33" t="str">
        <f>Source!H26</f>
        <v>100 м2 облицованной поверхности</v>
      </c>
      <c r="C30" s="86"/>
      <c r="D30" s="34"/>
      <c r="E30" s="34">
        <f>Source!AL26</f>
        <v>6881.71</v>
      </c>
      <c r="F30" s="34">
        <f>Source!AN26</f>
        <v>16.829999999999998</v>
      </c>
      <c r="G30" s="87"/>
      <c r="H30" s="34">
        <f>Source!P26</f>
        <v>323.44</v>
      </c>
      <c r="I30" s="34">
        <f>Source!R26</f>
        <v>0.99</v>
      </c>
      <c r="J30" s="58">
        <f>Source!BC27</f>
        <v>8.76</v>
      </c>
      <c r="K30" s="58">
        <f>Source!BS27</f>
        <v>18.29</v>
      </c>
      <c r="L30" s="87"/>
      <c r="M30" s="34">
        <f>Source!P27</f>
        <v>2833.34</v>
      </c>
      <c r="N30" s="34">
        <f>Source!R27</f>
        <v>18.09</v>
      </c>
    </row>
    <row r="31" spans="1:30">
      <c r="B31" s="30" t="str">
        <f>"Объем: "&amp;Source!I26&amp;"=4,7/"&amp;"100"</f>
        <v>Объем: 0,047=4,7/100</v>
      </c>
    </row>
    <row r="32" spans="1:30" ht="14.25">
      <c r="A32" s="36"/>
      <c r="B32" s="37" t="s">
        <v>202</v>
      </c>
      <c r="C32" s="36"/>
      <c r="D32" s="36" t="str">
        <f>CONCATENATE(Source!FX26, "%")</f>
        <v>94,5%</v>
      </c>
      <c r="E32" s="36"/>
      <c r="F32" s="36"/>
      <c r="G32" s="38">
        <f>Source!X26</f>
        <v>144.44999999999999</v>
      </c>
      <c r="H32" s="36"/>
      <c r="I32" s="36"/>
      <c r="J32" s="36"/>
      <c r="K32" s="36" t="str">
        <f>CONCATENATE(Source!AT27, "%")</f>
        <v>80%</v>
      </c>
      <c r="L32" s="38">
        <f>Source!X27</f>
        <v>2224.7800000000002</v>
      </c>
      <c r="M32" s="36"/>
      <c r="N32" s="36"/>
    </row>
    <row r="33" spans="1:35" ht="14.25">
      <c r="A33" s="36"/>
      <c r="B33" s="37" t="s">
        <v>203</v>
      </c>
      <c r="C33" s="36"/>
      <c r="D33" s="36" t="str">
        <f>CONCATENATE(Source!FY26, "%")</f>
        <v>46,75%</v>
      </c>
      <c r="E33" s="36"/>
      <c r="F33" s="36"/>
      <c r="G33" s="38">
        <f>Source!Y26</f>
        <v>71.459999999999994</v>
      </c>
      <c r="H33" s="36"/>
      <c r="I33" s="36"/>
      <c r="J33" s="36"/>
      <c r="K33" s="36" t="str">
        <f>CONCATENATE(Source!AU27, "%")</f>
        <v>37%</v>
      </c>
      <c r="L33" s="38">
        <f>Source!Y27</f>
        <v>1028.96</v>
      </c>
      <c r="M33" s="36"/>
      <c r="N33" s="36"/>
    </row>
    <row r="34" spans="1:35">
      <c r="B34" s="84" t="s">
        <v>204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</row>
    <row r="36" spans="1:35" ht="15">
      <c r="A36" s="83" t="str">
        <f>CONCATENATE("ИТОГО по: ", Source!G29)</f>
        <v>ИТОГО по: Новая локальная смета</v>
      </c>
      <c r="B36" s="83"/>
      <c r="C36" s="83"/>
      <c r="D36" s="83"/>
      <c r="E36" s="83"/>
      <c r="F36" s="83"/>
      <c r="G36" s="51">
        <f>SUM(T22:T35)</f>
        <v>993.81999999999994</v>
      </c>
      <c r="H36" s="40">
        <f>SUM(U22:U35)</f>
        <v>341.28</v>
      </c>
      <c r="I36" s="40">
        <f>SUM(W22:W35)</f>
        <v>5.66</v>
      </c>
      <c r="J36" s="51"/>
      <c r="K36" s="51"/>
      <c r="L36" s="51">
        <f>SUM(Z22:Z35)</f>
        <v>11958.91</v>
      </c>
      <c r="M36" s="40">
        <f>SUM(AA22:AA35)</f>
        <v>6242.09</v>
      </c>
      <c r="N36" s="40">
        <f>SUM(AC22:AC35)</f>
        <v>50.14</v>
      </c>
    </row>
    <row r="37" spans="1:35" ht="15">
      <c r="A37" s="83"/>
      <c r="B37" s="83"/>
      <c r="C37" s="83"/>
      <c r="D37" s="83"/>
      <c r="E37" s="83"/>
      <c r="F37" s="83"/>
      <c r="G37" s="51"/>
      <c r="H37" s="51">
        <f>SUM(V22:V35)</f>
        <v>646.88</v>
      </c>
      <c r="I37" s="51">
        <f>SUM(X22:X35)</f>
        <v>1.98</v>
      </c>
      <c r="J37" s="51"/>
      <c r="K37" s="51"/>
      <c r="L37" s="51"/>
      <c r="M37" s="51">
        <f>SUM(AB22:AB35)</f>
        <v>5666.68</v>
      </c>
      <c r="N37" s="51">
        <f>SUM(AD22:AD35)</f>
        <v>36.18</v>
      </c>
    </row>
    <row r="39" spans="1:35" ht="15">
      <c r="A39" s="81" t="s">
        <v>202</v>
      </c>
      <c r="B39" s="81"/>
      <c r="C39" s="81"/>
      <c r="D39" s="81"/>
      <c r="E39" s="81"/>
      <c r="F39" s="82">
        <v>326.10000000000002</v>
      </c>
      <c r="G39" s="82"/>
      <c r="K39" s="82">
        <v>5022.6100000000006</v>
      </c>
      <c r="L39" s="82"/>
    </row>
    <row r="40" spans="1:35" ht="14.25">
      <c r="A40" s="77" t="s">
        <v>210</v>
      </c>
      <c r="B40" s="77"/>
      <c r="C40" s="77"/>
      <c r="D40" s="77"/>
      <c r="E40" s="77"/>
      <c r="F40" s="78"/>
      <c r="G40" s="78"/>
      <c r="K40" s="78"/>
      <c r="L40" s="78"/>
    </row>
    <row r="41" spans="1:35" ht="14.25">
      <c r="A41" s="77" t="s">
        <v>208</v>
      </c>
      <c r="B41" s="77"/>
      <c r="C41" s="77"/>
      <c r="D41" s="77"/>
      <c r="E41" s="77"/>
      <c r="F41" s="78"/>
      <c r="G41" s="78"/>
      <c r="K41" s="78"/>
      <c r="L41" s="78"/>
    </row>
    <row r="42" spans="1:35" ht="14.25">
      <c r="A42" s="77" t="s">
        <v>209</v>
      </c>
      <c r="B42" s="77"/>
      <c r="C42" s="77"/>
      <c r="D42" s="77"/>
      <c r="E42" s="77"/>
      <c r="F42" s="78">
        <v>326.10000000000002</v>
      </c>
      <c r="G42" s="78"/>
      <c r="K42" s="78">
        <v>5022.6100000000006</v>
      </c>
      <c r="L42" s="78"/>
      <c r="AI42" s="43" t="s">
        <v>209</v>
      </c>
    </row>
    <row r="43" spans="1:35" ht="15">
      <c r="A43" s="81" t="s">
        <v>203</v>
      </c>
      <c r="B43" s="81"/>
      <c r="C43" s="81"/>
      <c r="D43" s="81"/>
      <c r="E43" s="81"/>
      <c r="F43" s="82">
        <v>161.32999999999998</v>
      </c>
      <c r="G43" s="82"/>
      <c r="K43" s="82">
        <v>2322.96</v>
      </c>
      <c r="L43" s="82"/>
    </row>
    <row r="44" spans="1:35" ht="14.25">
      <c r="A44" s="77" t="s">
        <v>210</v>
      </c>
      <c r="B44" s="77"/>
      <c r="C44" s="77"/>
      <c r="D44" s="77"/>
      <c r="E44" s="77"/>
      <c r="F44" s="78"/>
      <c r="G44" s="78"/>
      <c r="K44" s="78"/>
      <c r="L44" s="78"/>
    </row>
    <row r="45" spans="1:35" ht="14.25">
      <c r="A45" s="77" t="s">
        <v>208</v>
      </c>
      <c r="B45" s="77"/>
      <c r="C45" s="77"/>
      <c r="D45" s="77"/>
      <c r="E45" s="77"/>
      <c r="F45" s="78"/>
      <c r="G45" s="78"/>
      <c r="K45" s="78"/>
      <c r="L45" s="78"/>
    </row>
    <row r="46" spans="1:35" ht="14.25">
      <c r="A46" s="77" t="s">
        <v>211</v>
      </c>
      <c r="B46" s="77"/>
      <c r="C46" s="77"/>
      <c r="D46" s="77"/>
      <c r="E46" s="77"/>
      <c r="F46" s="78">
        <v>161.32999999999998</v>
      </c>
      <c r="G46" s="78"/>
      <c r="K46" s="78">
        <v>2322.96</v>
      </c>
      <c r="L46" s="78"/>
      <c r="AI46" s="43" t="s">
        <v>211</v>
      </c>
    </row>
    <row r="47" spans="1:35" ht="15">
      <c r="A47" s="81" t="s">
        <v>212</v>
      </c>
      <c r="B47" s="81"/>
      <c r="C47" s="81"/>
      <c r="D47" s="81"/>
      <c r="E47" s="81"/>
      <c r="F47" s="82">
        <v>1481.25</v>
      </c>
      <c r="G47" s="82"/>
      <c r="K47" s="82">
        <v>19304.48</v>
      </c>
      <c r="L47" s="82"/>
    </row>
    <row r="49" spans="1:14" ht="14.25">
      <c r="A49" s="77" t="str">
        <f>Source!H31</f>
        <v>Прямые затраты</v>
      </c>
      <c r="B49" s="77"/>
      <c r="C49" s="77"/>
      <c r="D49" s="77"/>
      <c r="E49" s="77"/>
      <c r="F49" s="78">
        <f>Source!F31</f>
        <v>993.82</v>
      </c>
      <c r="G49" s="78"/>
      <c r="K49" s="78">
        <f>Source!P31</f>
        <v>11958.91</v>
      </c>
      <c r="L49" s="78"/>
    </row>
    <row r="50" spans="1:14" ht="14.25">
      <c r="A50" s="77" t="str">
        <f>Source!H32</f>
        <v>Стоимость материальных ресурсов (всего)</v>
      </c>
      <c r="B50" s="77"/>
      <c r="C50" s="77"/>
      <c r="D50" s="77"/>
      <c r="E50" s="77"/>
      <c r="F50" s="78">
        <f>Source!F32</f>
        <v>646.88</v>
      </c>
      <c r="G50" s="78"/>
      <c r="K50" s="78">
        <f>Source!P32</f>
        <v>5666.68</v>
      </c>
      <c r="L50" s="78"/>
    </row>
    <row r="51" spans="1:14" ht="14.25">
      <c r="A51" s="77" t="str">
        <f>Source!H35</f>
        <v>Стоимость материалов (всего)</v>
      </c>
      <c r="B51" s="77"/>
      <c r="C51" s="77"/>
      <c r="D51" s="77"/>
      <c r="E51" s="77"/>
      <c r="F51" s="78">
        <f>Source!F35</f>
        <v>646.88</v>
      </c>
      <c r="G51" s="78"/>
      <c r="K51" s="78">
        <f>Source!P35</f>
        <v>5666.68</v>
      </c>
      <c r="L51" s="78"/>
    </row>
    <row r="52" spans="1:14" ht="14.25">
      <c r="A52" s="77" t="str">
        <f>Source!H41</f>
        <v>Эксплуатация машин</v>
      </c>
      <c r="B52" s="77"/>
      <c r="C52" s="77"/>
      <c r="D52" s="77"/>
      <c r="E52" s="77"/>
      <c r="F52" s="78">
        <f>Source!F41</f>
        <v>5.66</v>
      </c>
      <c r="G52" s="78"/>
      <c r="K52" s="78">
        <f>Source!P41</f>
        <v>50.14</v>
      </c>
      <c r="L52" s="78"/>
    </row>
    <row r="53" spans="1:14" ht="14.25">
      <c r="A53" s="77" t="str">
        <f>Source!H43</f>
        <v>ЗП машинистов</v>
      </c>
      <c r="B53" s="77"/>
      <c r="C53" s="77"/>
      <c r="D53" s="77"/>
      <c r="E53" s="77"/>
      <c r="F53" s="78">
        <f>Source!F43</f>
        <v>1.98</v>
      </c>
      <c r="G53" s="78"/>
      <c r="K53" s="78">
        <f>Source!P43</f>
        <v>36.18</v>
      </c>
      <c r="L53" s="78"/>
    </row>
    <row r="54" spans="1:14" ht="14.25">
      <c r="A54" s="77" t="str">
        <f>Source!H44</f>
        <v>Основная ЗП рабочих</v>
      </c>
      <c r="B54" s="77"/>
      <c r="C54" s="77"/>
      <c r="D54" s="77"/>
      <c r="E54" s="77"/>
      <c r="F54" s="78">
        <f>Source!F44</f>
        <v>341.28</v>
      </c>
      <c r="G54" s="78"/>
      <c r="K54" s="78">
        <f>Source!P44</f>
        <v>6242.09</v>
      </c>
      <c r="L54" s="78"/>
    </row>
    <row r="55" spans="1:14" ht="14.25">
      <c r="A55" s="77" t="str">
        <f>Source!H46</f>
        <v>Строительные работы с НР и СП</v>
      </c>
      <c r="B55" s="77"/>
      <c r="C55" s="77"/>
      <c r="D55" s="77"/>
      <c r="E55" s="77"/>
      <c r="F55" s="78">
        <f>Source!F46</f>
        <v>1481.25</v>
      </c>
      <c r="G55" s="78"/>
      <c r="K55" s="78">
        <f>Source!P46</f>
        <v>19304.48</v>
      </c>
      <c r="L55" s="78"/>
    </row>
    <row r="56" spans="1:14" ht="14.25">
      <c r="A56" s="77" t="str">
        <f>Source!H51</f>
        <v>Трудозатраты строителей</v>
      </c>
      <c r="B56" s="77"/>
      <c r="C56" s="77"/>
      <c r="D56" s="77"/>
      <c r="E56" s="77"/>
      <c r="F56" s="80">
        <f>Source!F51</f>
        <v>37.586370000000002</v>
      </c>
      <c r="G56" s="80"/>
      <c r="K56" s="80">
        <f>Source!P51</f>
        <v>37.586370000000002</v>
      </c>
      <c r="L56" s="80"/>
    </row>
    <row r="57" spans="1:14" ht="14.25">
      <c r="A57" s="77" t="str">
        <f>Source!H52</f>
        <v>Трудозатраты машинистов</v>
      </c>
      <c r="B57" s="77"/>
      <c r="C57" s="77"/>
      <c r="D57" s="77"/>
      <c r="E57" s="77"/>
      <c r="F57" s="80">
        <f>Source!F52</f>
        <v>0.15510000000000002</v>
      </c>
      <c r="G57" s="80"/>
      <c r="K57" s="80">
        <f>Source!P52</f>
        <v>0.15510000000000002</v>
      </c>
      <c r="L57" s="80"/>
    </row>
    <row r="58" spans="1:14" ht="14.25">
      <c r="A58" s="77" t="str">
        <f>Source!H54</f>
        <v>Накладные расходы</v>
      </c>
      <c r="B58" s="77"/>
      <c r="C58" s="77"/>
      <c r="D58" s="77"/>
      <c r="E58" s="77"/>
      <c r="F58" s="78">
        <f>Source!F54</f>
        <v>326.10000000000002</v>
      </c>
      <c r="G58" s="78"/>
      <c r="K58" s="78">
        <f>Source!P54</f>
        <v>5022.6099999999997</v>
      </c>
      <c r="L58" s="78"/>
    </row>
    <row r="59" spans="1:14" ht="14.25">
      <c r="A59" s="77" t="str">
        <f>Source!H55</f>
        <v>Сметная прибыль</v>
      </c>
      <c r="B59" s="77"/>
      <c r="C59" s="77"/>
      <c r="D59" s="77"/>
      <c r="E59" s="77"/>
      <c r="F59" s="78">
        <f>Source!F55</f>
        <v>161.33000000000001</v>
      </c>
      <c r="G59" s="78"/>
      <c r="K59" s="78">
        <f>Source!P55</f>
        <v>2322.96</v>
      </c>
      <c r="L59" s="78"/>
    </row>
    <row r="60" spans="1:14" ht="14.25">
      <c r="A60" s="77" t="str">
        <f>Source!H56</f>
        <v>Всего с НР и СП</v>
      </c>
      <c r="B60" s="77"/>
      <c r="C60" s="77"/>
      <c r="D60" s="77"/>
      <c r="E60" s="77"/>
      <c r="F60" s="78">
        <f>Source!F56</f>
        <v>1481.25</v>
      </c>
      <c r="G60" s="78"/>
      <c r="K60" s="78">
        <f>Source!P56</f>
        <v>19304.48</v>
      </c>
      <c r="L60" s="78"/>
    </row>
    <row r="62" spans="1:14" ht="15">
      <c r="A62" s="83" t="s">
        <v>213</v>
      </c>
      <c r="B62" s="83"/>
      <c r="C62" s="83"/>
      <c r="D62" s="83"/>
      <c r="E62" s="83"/>
      <c r="F62" s="83"/>
      <c r="G62" s="51">
        <f>SUM(T1:T61)</f>
        <v>993.81999999999994</v>
      </c>
      <c r="H62" s="40">
        <f>SUM(U1:U61)</f>
        <v>341.28</v>
      </c>
      <c r="I62" s="40">
        <f>SUM(W1:W61)</f>
        <v>5.66</v>
      </c>
      <c r="J62" s="51"/>
      <c r="K62" s="51"/>
      <c r="L62" s="51">
        <f>SUM(Z1:Z61)</f>
        <v>11958.91</v>
      </c>
      <c r="M62" s="40">
        <f>SUM(AA1:AA61)</f>
        <v>6242.09</v>
      </c>
      <c r="N62" s="40">
        <f>SUM(AC1:AC61)</f>
        <v>50.14</v>
      </c>
    </row>
    <row r="63" spans="1:14" ht="15">
      <c r="A63" s="83"/>
      <c r="B63" s="83"/>
      <c r="C63" s="83"/>
      <c r="D63" s="83"/>
      <c r="E63" s="83"/>
      <c r="F63" s="83"/>
      <c r="G63" s="51"/>
      <c r="H63" s="51">
        <f>SUM(V1:V61)</f>
        <v>646.88</v>
      </c>
      <c r="I63" s="51">
        <f>SUM(X1:X61)</f>
        <v>1.98</v>
      </c>
      <c r="J63" s="51"/>
      <c r="K63" s="51"/>
      <c r="L63" s="51"/>
      <c r="M63" s="51">
        <f>SUM(AB1:AB61)</f>
        <v>5666.68</v>
      </c>
      <c r="N63" s="51">
        <f>SUM(AD1:AD61)</f>
        <v>36.18</v>
      </c>
    </row>
    <row r="65" spans="1:35" ht="15">
      <c r="A65" s="81" t="s">
        <v>202</v>
      </c>
      <c r="B65" s="81"/>
      <c r="C65" s="81"/>
      <c r="D65" s="81"/>
      <c r="E65" s="81"/>
      <c r="F65" s="82">
        <v>326.10000000000002</v>
      </c>
      <c r="G65" s="82"/>
      <c r="K65" s="82">
        <v>5022.6100000000006</v>
      </c>
      <c r="L65" s="82"/>
    </row>
    <row r="66" spans="1:35" ht="14.25">
      <c r="A66" s="77" t="s">
        <v>210</v>
      </c>
      <c r="B66" s="77"/>
      <c r="C66" s="77"/>
      <c r="D66" s="77"/>
      <c r="E66" s="77"/>
      <c r="F66" s="78"/>
      <c r="G66" s="78"/>
      <c r="K66" s="78"/>
      <c r="L66" s="78"/>
    </row>
    <row r="67" spans="1:35" ht="14.25">
      <c r="A67" s="77" t="s">
        <v>208</v>
      </c>
      <c r="B67" s="77"/>
      <c r="C67" s="77"/>
      <c r="D67" s="77"/>
      <c r="E67" s="77"/>
      <c r="F67" s="78"/>
      <c r="G67" s="78"/>
      <c r="K67" s="78"/>
      <c r="L67" s="78"/>
    </row>
    <row r="68" spans="1:35" ht="14.25">
      <c r="A68" s="77" t="s">
        <v>209</v>
      </c>
      <c r="B68" s="77"/>
      <c r="C68" s="77"/>
      <c r="D68" s="77"/>
      <c r="E68" s="77"/>
      <c r="F68" s="78">
        <v>326.10000000000002</v>
      </c>
      <c r="G68" s="78"/>
      <c r="K68" s="78">
        <v>5022.6100000000006</v>
      </c>
      <c r="L68" s="78"/>
      <c r="AI68" s="43" t="s">
        <v>209</v>
      </c>
    </row>
    <row r="69" spans="1:35" ht="15">
      <c r="A69" s="81" t="s">
        <v>203</v>
      </c>
      <c r="B69" s="81"/>
      <c r="C69" s="81"/>
      <c r="D69" s="81"/>
      <c r="E69" s="81"/>
      <c r="F69" s="82">
        <v>161.32999999999998</v>
      </c>
      <c r="G69" s="82"/>
      <c r="K69" s="82">
        <v>2322.96</v>
      </c>
      <c r="L69" s="82"/>
    </row>
    <row r="70" spans="1:35" ht="14.25">
      <c r="A70" s="77" t="s">
        <v>210</v>
      </c>
      <c r="B70" s="77"/>
      <c r="C70" s="77"/>
      <c r="D70" s="77"/>
      <c r="E70" s="77"/>
      <c r="F70" s="78"/>
      <c r="G70" s="78"/>
      <c r="K70" s="78"/>
      <c r="L70" s="78"/>
    </row>
    <row r="71" spans="1:35" ht="14.25">
      <c r="A71" s="77" t="s">
        <v>208</v>
      </c>
      <c r="B71" s="77"/>
      <c r="C71" s="77"/>
      <c r="D71" s="77"/>
      <c r="E71" s="77"/>
      <c r="F71" s="78"/>
      <c r="G71" s="78"/>
      <c r="K71" s="78"/>
      <c r="L71" s="78"/>
    </row>
    <row r="72" spans="1:35" ht="14.25">
      <c r="A72" s="77" t="s">
        <v>211</v>
      </c>
      <c r="B72" s="77"/>
      <c r="C72" s="77"/>
      <c r="D72" s="77"/>
      <c r="E72" s="77"/>
      <c r="F72" s="78">
        <v>161.32999999999998</v>
      </c>
      <c r="G72" s="78"/>
      <c r="K72" s="78">
        <v>2322.96</v>
      </c>
      <c r="L72" s="78"/>
      <c r="AI72" s="43" t="s">
        <v>211</v>
      </c>
    </row>
    <row r="73" spans="1:35" ht="15">
      <c r="A73" s="81" t="s">
        <v>212</v>
      </c>
      <c r="B73" s="81"/>
      <c r="C73" s="81"/>
      <c r="D73" s="81"/>
      <c r="E73" s="81"/>
      <c r="F73" s="82">
        <v>1481.25</v>
      </c>
      <c r="G73" s="82"/>
      <c r="K73" s="82">
        <v>19304.48</v>
      </c>
      <c r="L73" s="82"/>
    </row>
    <row r="74" spans="1:35" ht="14.25">
      <c r="A74" s="77" t="str">
        <f>Source!H60</f>
        <v>Прямые затраты</v>
      </c>
      <c r="B74" s="77"/>
      <c r="C74" s="77"/>
      <c r="D74" s="77"/>
      <c r="E74" s="77"/>
      <c r="F74" s="78">
        <f>Source!F60</f>
        <v>993.82</v>
      </c>
      <c r="G74" s="78"/>
      <c r="K74" s="78">
        <f>Source!P60</f>
        <v>11958.91</v>
      </c>
      <c r="L74" s="78"/>
    </row>
    <row r="75" spans="1:35" ht="14.25">
      <c r="A75" s="77" t="str">
        <f>Source!H61</f>
        <v>Стоимость материальных ресурсов (всего)</v>
      </c>
      <c r="B75" s="77"/>
      <c r="C75" s="77"/>
      <c r="D75" s="77"/>
      <c r="E75" s="77"/>
      <c r="F75" s="78">
        <f>Source!F61</f>
        <v>646.88</v>
      </c>
      <c r="G75" s="78"/>
      <c r="K75" s="78">
        <f>Source!P61</f>
        <v>5666.68</v>
      </c>
      <c r="L75" s="78"/>
    </row>
    <row r="76" spans="1:35" ht="14.25">
      <c r="A76" s="77" t="str">
        <f>Source!H64</f>
        <v>Стоимость материалов (всего)</v>
      </c>
      <c r="B76" s="77"/>
      <c r="C76" s="77"/>
      <c r="D76" s="77"/>
      <c r="E76" s="77"/>
      <c r="F76" s="78">
        <f>Source!F64</f>
        <v>646.88</v>
      </c>
      <c r="G76" s="78"/>
      <c r="K76" s="78">
        <f>Source!P64</f>
        <v>5666.68</v>
      </c>
      <c r="L76" s="78"/>
    </row>
    <row r="77" spans="1:35" ht="14.25">
      <c r="A77" s="77" t="str">
        <f>Source!H70</f>
        <v>Эксплуатация машин</v>
      </c>
      <c r="B77" s="77"/>
      <c r="C77" s="77"/>
      <c r="D77" s="77"/>
      <c r="E77" s="77"/>
      <c r="F77" s="78">
        <f>Source!F70</f>
        <v>5.66</v>
      </c>
      <c r="G77" s="78"/>
      <c r="K77" s="78">
        <f>Source!P70</f>
        <v>50.14</v>
      </c>
      <c r="L77" s="78"/>
    </row>
    <row r="78" spans="1:35" ht="14.25">
      <c r="A78" s="77" t="str">
        <f>Source!H72</f>
        <v>ЗП машинистов</v>
      </c>
      <c r="B78" s="77"/>
      <c r="C78" s="77"/>
      <c r="D78" s="77"/>
      <c r="E78" s="77"/>
      <c r="F78" s="78">
        <f>Source!F72</f>
        <v>1.98</v>
      </c>
      <c r="G78" s="78"/>
      <c r="K78" s="78">
        <f>Source!P72</f>
        <v>36.18</v>
      </c>
      <c r="L78" s="78"/>
    </row>
    <row r="79" spans="1:35" ht="14.25">
      <c r="A79" s="77" t="str">
        <f>Source!H73</f>
        <v>Основная ЗП рабочих</v>
      </c>
      <c r="B79" s="77"/>
      <c r="C79" s="77"/>
      <c r="D79" s="77"/>
      <c r="E79" s="77"/>
      <c r="F79" s="78">
        <f>Source!F73</f>
        <v>341.28</v>
      </c>
      <c r="G79" s="78"/>
      <c r="K79" s="78">
        <f>Source!P73</f>
        <v>6242.09</v>
      </c>
      <c r="L79" s="78"/>
    </row>
    <row r="80" spans="1:35" ht="14.25">
      <c r="A80" s="77" t="str">
        <f>Source!H75</f>
        <v>Строительные работы с НР и СП</v>
      </c>
      <c r="B80" s="77"/>
      <c r="C80" s="77"/>
      <c r="D80" s="77"/>
      <c r="E80" s="77"/>
      <c r="F80" s="78">
        <f>Source!F75</f>
        <v>1481.25</v>
      </c>
      <c r="G80" s="78"/>
      <c r="K80" s="78">
        <f>Source!P75</f>
        <v>19304.48</v>
      </c>
      <c r="L80" s="78"/>
    </row>
    <row r="81" spans="1:14" ht="14.25">
      <c r="A81" s="77" t="str">
        <f>Source!H80</f>
        <v>Трудозатраты строителей</v>
      </c>
      <c r="B81" s="77"/>
      <c r="C81" s="77"/>
      <c r="D81" s="77"/>
      <c r="E81" s="77"/>
      <c r="F81" s="80">
        <f>Source!F80</f>
        <v>37.586370000000002</v>
      </c>
      <c r="G81" s="80"/>
      <c r="K81" s="80">
        <f>Source!P80</f>
        <v>37.586370000000002</v>
      </c>
      <c r="L81" s="80"/>
    </row>
    <row r="82" spans="1:14" ht="14.25">
      <c r="A82" s="77" t="str">
        <f>Source!H81</f>
        <v>Трудозатраты машинистов</v>
      </c>
      <c r="B82" s="77"/>
      <c r="C82" s="77"/>
      <c r="D82" s="77"/>
      <c r="E82" s="77"/>
      <c r="F82" s="80">
        <f>Source!F81</f>
        <v>0.15510000000000002</v>
      </c>
      <c r="G82" s="80"/>
      <c r="K82" s="80">
        <f>Source!P81</f>
        <v>0.15510000000000002</v>
      </c>
      <c r="L82" s="80"/>
    </row>
    <row r="83" spans="1:14" ht="14.25">
      <c r="A83" s="77" t="str">
        <f>Source!H83</f>
        <v>Накладные расходы</v>
      </c>
      <c r="B83" s="77"/>
      <c r="C83" s="77"/>
      <c r="D83" s="77"/>
      <c r="E83" s="77"/>
      <c r="F83" s="78">
        <f>Source!F83</f>
        <v>326.10000000000002</v>
      </c>
      <c r="G83" s="78"/>
      <c r="K83" s="78">
        <f>Source!P83</f>
        <v>5022.6099999999997</v>
      </c>
      <c r="L83" s="78"/>
    </row>
    <row r="84" spans="1:14" ht="14.25">
      <c r="A84" s="77" t="str">
        <f>Source!H84</f>
        <v>Сметная прибыль</v>
      </c>
      <c r="B84" s="77"/>
      <c r="C84" s="77"/>
      <c r="D84" s="77"/>
      <c r="E84" s="77"/>
      <c r="F84" s="78">
        <f>Source!F84</f>
        <v>161.33000000000001</v>
      </c>
      <c r="G84" s="78"/>
      <c r="K84" s="78">
        <f>Source!P84</f>
        <v>2322.96</v>
      </c>
      <c r="L84" s="78"/>
    </row>
    <row r="85" spans="1:14" ht="14.25">
      <c r="A85" s="77" t="str">
        <f>Source!H85</f>
        <v>Всего с НР и СП</v>
      </c>
      <c r="B85" s="77"/>
      <c r="C85" s="77"/>
      <c r="D85" s="77"/>
      <c r="E85" s="77"/>
      <c r="F85" s="78">
        <f>Source!F85</f>
        <v>1481.25</v>
      </c>
      <c r="G85" s="78"/>
      <c r="K85" s="78">
        <f>Source!P85</f>
        <v>19304.48</v>
      </c>
      <c r="L85" s="78"/>
    </row>
    <row r="88" spans="1:14" ht="15">
      <c r="A88" s="13"/>
      <c r="B88" s="47" t="s">
        <v>214</v>
      </c>
      <c r="C88" s="48" t="str">
        <f>IF(Source!AC12&lt;&gt;"", Source!AC12," ")</f>
        <v xml:space="preserve"> </v>
      </c>
      <c r="D88" s="48"/>
      <c r="E88" s="48"/>
      <c r="F88" s="48"/>
      <c r="G88" s="48"/>
      <c r="H88" s="48"/>
      <c r="I88" s="13" t="str">
        <f>IF(Source!AB12&lt;&gt;"", Source!AB12," ")</f>
        <v xml:space="preserve"> </v>
      </c>
      <c r="J88" s="13"/>
      <c r="K88" s="13"/>
      <c r="L88" s="13"/>
      <c r="M88" s="13"/>
      <c r="N88" s="13"/>
    </row>
    <row r="89" spans="1:14" ht="15">
      <c r="A89" s="13"/>
      <c r="B89" s="49"/>
      <c r="C89" s="79" t="s">
        <v>215</v>
      </c>
      <c r="D89" s="79"/>
      <c r="E89" s="79"/>
      <c r="F89" s="79"/>
      <c r="G89" s="79"/>
      <c r="H89" s="79"/>
      <c r="I89" s="13"/>
      <c r="J89" s="13"/>
      <c r="K89" s="13"/>
      <c r="L89" s="13"/>
      <c r="M89" s="13"/>
      <c r="N89" s="13"/>
    </row>
    <row r="90" spans="1:14" ht="15">
      <c r="A90" s="13"/>
      <c r="B90" s="49"/>
      <c r="C90" s="50"/>
      <c r="D90" s="50"/>
      <c r="E90" s="50"/>
      <c r="F90" s="50"/>
      <c r="G90" s="50"/>
      <c r="H90" s="50"/>
      <c r="I90" s="13"/>
      <c r="J90" s="13"/>
      <c r="K90" s="13"/>
      <c r="L90" s="13"/>
      <c r="M90" s="13"/>
      <c r="N90" s="13"/>
    </row>
    <row r="91" spans="1:14" ht="15">
      <c r="A91" s="13"/>
      <c r="B91" s="47" t="s">
        <v>216</v>
      </c>
      <c r="C91" s="48" t="str">
        <f>IF(Source!AE12&lt;&gt;"", Source!AE12," ")</f>
        <v xml:space="preserve"> </v>
      </c>
      <c r="D91" s="48"/>
      <c r="E91" s="48"/>
      <c r="F91" s="48"/>
      <c r="G91" s="48"/>
      <c r="H91" s="48"/>
      <c r="I91" s="13" t="str">
        <f>IF(Source!AD12&lt;&gt;"", Source!AD12," ")</f>
        <v xml:space="preserve"> </v>
      </c>
      <c r="J91" s="13"/>
      <c r="K91" s="13"/>
      <c r="L91" s="13"/>
      <c r="M91" s="13"/>
      <c r="N91" s="13"/>
    </row>
    <row r="92" spans="1:14" ht="14.25">
      <c r="A92" s="13"/>
      <c r="B92" s="13"/>
      <c r="C92" s="79" t="s">
        <v>215</v>
      </c>
      <c r="D92" s="79"/>
      <c r="E92" s="79"/>
      <c r="F92" s="79"/>
      <c r="G92" s="79"/>
      <c r="H92" s="79"/>
      <c r="I92" s="13"/>
      <c r="J92" s="13"/>
      <c r="K92" s="13"/>
      <c r="L92" s="13"/>
      <c r="M92" s="13"/>
      <c r="N92" s="13"/>
    </row>
  </sheetData>
  <mergeCells count="166">
    <mergeCell ref="A13:I13"/>
    <mergeCell ref="J13:K13"/>
    <mergeCell ref="L13:M13"/>
    <mergeCell ref="A14:I14"/>
    <mergeCell ref="J14:K14"/>
    <mergeCell ref="L14:M14"/>
    <mergeCell ref="B4:M4"/>
    <mergeCell ref="B6:M6"/>
    <mergeCell ref="B8:M8"/>
    <mergeCell ref="B10:M10"/>
    <mergeCell ref="J12:K12"/>
    <mergeCell ref="L12:M12"/>
    <mergeCell ref="A15:I15"/>
    <mergeCell ref="J15:K15"/>
    <mergeCell ref="L15:M15"/>
    <mergeCell ref="A18:A20"/>
    <mergeCell ref="B18:B20"/>
    <mergeCell ref="C18:C20"/>
    <mergeCell ref="D18:F18"/>
    <mergeCell ref="G18:I18"/>
    <mergeCell ref="J18:K18"/>
    <mergeCell ref="L18:N18"/>
    <mergeCell ref="B28:N28"/>
    <mergeCell ref="A29:A30"/>
    <mergeCell ref="C29:C30"/>
    <mergeCell ref="G29:G30"/>
    <mergeCell ref="L29:L30"/>
    <mergeCell ref="B34:N34"/>
    <mergeCell ref="D19:D20"/>
    <mergeCell ref="G19:G20"/>
    <mergeCell ref="L19:L20"/>
    <mergeCell ref="A22:N22"/>
    <mergeCell ref="A23:A24"/>
    <mergeCell ref="C23:C24"/>
    <mergeCell ref="G23:G24"/>
    <mergeCell ref="L23:L24"/>
    <mergeCell ref="A45:E45"/>
    <mergeCell ref="K45:L45"/>
    <mergeCell ref="F45:G45"/>
    <mergeCell ref="A36:F37"/>
    <mergeCell ref="A41:E41"/>
    <mergeCell ref="K41:L41"/>
    <mergeCell ref="F41:G41"/>
    <mergeCell ref="A42:E42"/>
    <mergeCell ref="K42:L42"/>
    <mergeCell ref="F42:G42"/>
    <mergeCell ref="A39:E39"/>
    <mergeCell ref="K39:L39"/>
    <mergeCell ref="F39:G39"/>
    <mergeCell ref="A43:E43"/>
    <mergeCell ref="K43:L43"/>
    <mergeCell ref="F43:G43"/>
    <mergeCell ref="A44:E44"/>
    <mergeCell ref="K44:L44"/>
    <mergeCell ref="F44:G44"/>
    <mergeCell ref="A40:E40"/>
    <mergeCell ref="K40:L40"/>
    <mergeCell ref="F40:G40"/>
    <mergeCell ref="A47:E47"/>
    <mergeCell ref="K47:L47"/>
    <mergeCell ref="F47:G47"/>
    <mergeCell ref="A49:E49"/>
    <mergeCell ref="F49:G49"/>
    <mergeCell ref="K49:L49"/>
    <mergeCell ref="A46:E46"/>
    <mergeCell ref="K46:L46"/>
    <mergeCell ref="F46:G46"/>
    <mergeCell ref="A52:E52"/>
    <mergeCell ref="F52:G52"/>
    <mergeCell ref="K52:L52"/>
    <mergeCell ref="A53:E53"/>
    <mergeCell ref="F53:G53"/>
    <mergeCell ref="K53:L53"/>
    <mergeCell ref="A50:E50"/>
    <mergeCell ref="F50:G50"/>
    <mergeCell ref="K50:L50"/>
    <mergeCell ref="A51:E51"/>
    <mergeCell ref="F51:G51"/>
    <mergeCell ref="K51:L51"/>
    <mergeCell ref="A56:E56"/>
    <mergeCell ref="F56:G56"/>
    <mergeCell ref="K56:L56"/>
    <mergeCell ref="A57:E57"/>
    <mergeCell ref="F57:G57"/>
    <mergeCell ref="K57:L57"/>
    <mergeCell ref="A54:E54"/>
    <mergeCell ref="F54:G54"/>
    <mergeCell ref="K54:L54"/>
    <mergeCell ref="A55:E55"/>
    <mergeCell ref="F55:G55"/>
    <mergeCell ref="K55:L55"/>
    <mergeCell ref="A60:E60"/>
    <mergeCell ref="F60:G60"/>
    <mergeCell ref="K60:L60"/>
    <mergeCell ref="A62:F63"/>
    <mergeCell ref="A67:E67"/>
    <mergeCell ref="K67:L67"/>
    <mergeCell ref="F67:G67"/>
    <mergeCell ref="A58:E58"/>
    <mergeCell ref="F58:G58"/>
    <mergeCell ref="K58:L58"/>
    <mergeCell ref="A59:E59"/>
    <mergeCell ref="F59:G59"/>
    <mergeCell ref="K59:L59"/>
    <mergeCell ref="A68:E68"/>
    <mergeCell ref="K68:L68"/>
    <mergeCell ref="F68:G68"/>
    <mergeCell ref="A65:E65"/>
    <mergeCell ref="K65:L65"/>
    <mergeCell ref="F65:G65"/>
    <mergeCell ref="A66:E66"/>
    <mergeCell ref="K66:L66"/>
    <mergeCell ref="F66:G66"/>
    <mergeCell ref="A73:E73"/>
    <mergeCell ref="K73:L73"/>
    <mergeCell ref="F73:G73"/>
    <mergeCell ref="A74:E74"/>
    <mergeCell ref="F74:G74"/>
    <mergeCell ref="K74:L74"/>
    <mergeCell ref="A69:E69"/>
    <mergeCell ref="K69:L69"/>
    <mergeCell ref="F69:G69"/>
    <mergeCell ref="A70:E70"/>
    <mergeCell ref="K70:L70"/>
    <mergeCell ref="F70:G70"/>
    <mergeCell ref="A71:E71"/>
    <mergeCell ref="K71:L71"/>
    <mergeCell ref="F71:G71"/>
    <mergeCell ref="A72:E72"/>
    <mergeCell ref="K72:L72"/>
    <mergeCell ref="F72:G72"/>
    <mergeCell ref="A77:E77"/>
    <mergeCell ref="F77:G77"/>
    <mergeCell ref="K77:L77"/>
    <mergeCell ref="A78:E78"/>
    <mergeCell ref="F78:G78"/>
    <mergeCell ref="K78:L78"/>
    <mergeCell ref="A75:E75"/>
    <mergeCell ref="F75:G75"/>
    <mergeCell ref="K75:L75"/>
    <mergeCell ref="A76:E76"/>
    <mergeCell ref="F76:G76"/>
    <mergeCell ref="K76:L76"/>
    <mergeCell ref="A81:E81"/>
    <mergeCell ref="F81:G81"/>
    <mergeCell ref="K81:L81"/>
    <mergeCell ref="A82:E82"/>
    <mergeCell ref="F82:G82"/>
    <mergeCell ref="K82:L82"/>
    <mergeCell ref="A79:E79"/>
    <mergeCell ref="F79:G79"/>
    <mergeCell ref="K79:L79"/>
    <mergeCell ref="A80:E80"/>
    <mergeCell ref="F80:G80"/>
    <mergeCell ref="K80:L80"/>
    <mergeCell ref="A85:E85"/>
    <mergeCell ref="F85:G85"/>
    <mergeCell ref="K85:L85"/>
    <mergeCell ref="C89:H89"/>
    <mergeCell ref="C92:H92"/>
    <mergeCell ref="A83:E83"/>
    <mergeCell ref="F83:G83"/>
    <mergeCell ref="K83:L83"/>
    <mergeCell ref="A84:E84"/>
    <mergeCell ref="F84:G84"/>
    <mergeCell ref="K84:L84"/>
  </mergeCells>
  <pageMargins left="0.4" right="0.2" top="0.2" bottom="0.4" header="0.2" footer="0.2"/>
  <pageSetup paperSize="9" scale="50" fitToHeight="0" orientation="portrait" verticalDpi="0" r:id="rId1"/>
  <headerFooter>
    <oddHeader>&amp;L&amp;8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U121"/>
  <sheetViews>
    <sheetView workbookViewId="0">
      <selection activeCell="A117" sqref="A117:O117"/>
    </sheetView>
  </sheetViews>
  <sheetFormatPr defaultColWidth="9.140625" defaultRowHeight="12.75"/>
  <cols>
    <col min="1" max="256" width="9.140625" customWidth="1"/>
  </cols>
  <sheetData>
    <row r="1" spans="1:133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28224</v>
      </c>
      <c r="M1">
        <v>10</v>
      </c>
    </row>
    <row r="12" spans="1:133">
      <c r="A12" s="1">
        <v>1</v>
      </c>
      <c r="B12" s="1">
        <v>115</v>
      </c>
      <c r="C12" s="1">
        <v>0</v>
      </c>
      <c r="D12" s="1">
        <f>ROW(A58)</f>
        <v>58</v>
      </c>
      <c r="E12" s="1">
        <v>0</v>
      </c>
      <c r="F12" s="1" t="s">
        <v>4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0</v>
      </c>
      <c r="BK12" s="1">
        <v>1</v>
      </c>
      <c r="BL12" s="1">
        <v>0</v>
      </c>
      <c r="BM12" s="1">
        <v>1</v>
      </c>
      <c r="BN12" s="1">
        <v>1</v>
      </c>
      <c r="BO12" s="1">
        <v>0</v>
      </c>
      <c r="BP12" s="1">
        <v>2</v>
      </c>
      <c r="BQ12" s="1">
        <v>2</v>
      </c>
      <c r="BR12" s="1">
        <v>1</v>
      </c>
      <c r="BS12" s="1">
        <v>0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393224</v>
      </c>
      <c r="CI12" s="1" t="s">
        <v>3</v>
      </c>
      <c r="CJ12" s="1" t="s">
        <v>3</v>
      </c>
      <c r="CK12" s="1">
        <v>0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>
      <c r="A18" s="3">
        <v>52</v>
      </c>
      <c r="B18" s="3">
        <f t="shared" ref="B18:G18" si="0">B58</f>
        <v>115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>Новый объект</v>
      </c>
      <c r="G18" s="3" t="str">
        <f t="shared" si="0"/>
        <v>Новый объект</v>
      </c>
      <c r="H18" s="3"/>
      <c r="I18" s="3"/>
      <c r="J18" s="3"/>
      <c r="K18" s="3"/>
      <c r="L18" s="3"/>
      <c r="M18" s="3"/>
      <c r="N18" s="3"/>
      <c r="O18" s="3">
        <f t="shared" ref="O18:AT18" si="1">O58</f>
        <v>993.82</v>
      </c>
      <c r="P18" s="3">
        <f t="shared" si="1"/>
        <v>646.88</v>
      </c>
      <c r="Q18" s="3">
        <f t="shared" si="1"/>
        <v>5.66</v>
      </c>
      <c r="R18" s="3">
        <f t="shared" si="1"/>
        <v>1.98</v>
      </c>
      <c r="S18" s="3">
        <f t="shared" si="1"/>
        <v>341.28</v>
      </c>
      <c r="T18" s="3">
        <f t="shared" si="1"/>
        <v>0</v>
      </c>
      <c r="U18" s="3">
        <f t="shared" si="1"/>
        <v>37.586370000000002</v>
      </c>
      <c r="V18" s="3">
        <f t="shared" si="1"/>
        <v>0.15510000000000002</v>
      </c>
      <c r="W18" s="3">
        <f t="shared" si="1"/>
        <v>0</v>
      </c>
      <c r="X18" s="3">
        <f t="shared" si="1"/>
        <v>326.10000000000002</v>
      </c>
      <c r="Y18" s="3">
        <f t="shared" si="1"/>
        <v>161.33000000000001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1481.25</v>
      </c>
      <c r="AS18" s="3">
        <f t="shared" si="1"/>
        <v>1481.25</v>
      </c>
      <c r="AT18" s="3">
        <f t="shared" si="1"/>
        <v>0</v>
      </c>
      <c r="AU18" s="3">
        <f t="shared" ref="AU18:BZ18" si="2">AU58</f>
        <v>0</v>
      </c>
      <c r="AV18" s="3">
        <f t="shared" si="2"/>
        <v>646.88</v>
      </c>
      <c r="AW18" s="3">
        <f t="shared" si="2"/>
        <v>646.88</v>
      </c>
      <c r="AX18" s="3">
        <f t="shared" si="2"/>
        <v>0</v>
      </c>
      <c r="AY18" s="3">
        <f t="shared" si="2"/>
        <v>646.88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CA58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DG58</f>
        <v>11958.91</v>
      </c>
      <c r="DH18" s="4">
        <f t="shared" si="4"/>
        <v>5666.68</v>
      </c>
      <c r="DI18" s="4">
        <f t="shared" si="4"/>
        <v>50.14</v>
      </c>
      <c r="DJ18" s="4">
        <f t="shared" si="4"/>
        <v>36.18</v>
      </c>
      <c r="DK18" s="4">
        <f t="shared" si="4"/>
        <v>6242.09</v>
      </c>
      <c r="DL18" s="4">
        <f t="shared" si="4"/>
        <v>0</v>
      </c>
      <c r="DM18" s="4">
        <f t="shared" si="4"/>
        <v>37.586370000000002</v>
      </c>
      <c r="DN18" s="4">
        <f t="shared" si="4"/>
        <v>0.15510000000000002</v>
      </c>
      <c r="DO18" s="4">
        <f t="shared" si="4"/>
        <v>0</v>
      </c>
      <c r="DP18" s="4">
        <f t="shared" si="4"/>
        <v>5022.6099999999997</v>
      </c>
      <c r="DQ18" s="4">
        <f t="shared" si="4"/>
        <v>2322.96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19304.48</v>
      </c>
      <c r="EK18" s="4">
        <f t="shared" si="4"/>
        <v>19304.48</v>
      </c>
      <c r="EL18" s="4">
        <f t="shared" si="4"/>
        <v>0</v>
      </c>
      <c r="EM18" s="4">
        <f t="shared" ref="EM18:FR18" si="5">EM58</f>
        <v>0</v>
      </c>
      <c r="EN18" s="4">
        <f t="shared" si="5"/>
        <v>5666.68</v>
      </c>
      <c r="EO18" s="4">
        <f t="shared" si="5"/>
        <v>5666.68</v>
      </c>
      <c r="EP18" s="4">
        <f t="shared" si="5"/>
        <v>0</v>
      </c>
      <c r="EQ18" s="4">
        <f t="shared" si="5"/>
        <v>5666.68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FS58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>
      <c r="A20" s="1">
        <v>3</v>
      </c>
      <c r="B20" s="1">
        <v>1</v>
      </c>
      <c r="C20" s="1"/>
      <c r="D20" s="1">
        <f>ROW(A29)</f>
        <v>29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>
      <c r="A22" s="3">
        <v>52</v>
      </c>
      <c r="B22" s="3">
        <f t="shared" ref="B22:G22" si="7">B29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O29</f>
        <v>993.82</v>
      </c>
      <c r="P22" s="3">
        <f t="shared" si="8"/>
        <v>646.88</v>
      </c>
      <c r="Q22" s="3">
        <f t="shared" si="8"/>
        <v>5.66</v>
      </c>
      <c r="R22" s="3">
        <f t="shared" si="8"/>
        <v>1.98</v>
      </c>
      <c r="S22" s="3">
        <f t="shared" si="8"/>
        <v>341.28</v>
      </c>
      <c r="T22" s="3">
        <f t="shared" si="8"/>
        <v>0</v>
      </c>
      <c r="U22" s="3">
        <f t="shared" si="8"/>
        <v>37.586370000000002</v>
      </c>
      <c r="V22" s="3">
        <f t="shared" si="8"/>
        <v>0.15510000000000002</v>
      </c>
      <c r="W22" s="3">
        <f t="shared" si="8"/>
        <v>0</v>
      </c>
      <c r="X22" s="3">
        <f t="shared" si="8"/>
        <v>326.10000000000002</v>
      </c>
      <c r="Y22" s="3">
        <f t="shared" si="8"/>
        <v>161.33000000000001</v>
      </c>
      <c r="Z22" s="3">
        <f t="shared" si="8"/>
        <v>0</v>
      </c>
      <c r="AA22" s="3">
        <f t="shared" si="8"/>
        <v>0</v>
      </c>
      <c r="AB22" s="3">
        <f t="shared" si="8"/>
        <v>993.82</v>
      </c>
      <c r="AC22" s="3">
        <f t="shared" si="8"/>
        <v>646.88</v>
      </c>
      <c r="AD22" s="3">
        <f t="shared" si="8"/>
        <v>5.66</v>
      </c>
      <c r="AE22" s="3">
        <f t="shared" si="8"/>
        <v>1.98</v>
      </c>
      <c r="AF22" s="3">
        <f t="shared" si="8"/>
        <v>341.28</v>
      </c>
      <c r="AG22" s="3">
        <f t="shared" si="8"/>
        <v>0</v>
      </c>
      <c r="AH22" s="3">
        <f t="shared" si="8"/>
        <v>37.586370000000002</v>
      </c>
      <c r="AI22" s="3">
        <f t="shared" si="8"/>
        <v>0.15510000000000002</v>
      </c>
      <c r="AJ22" s="3">
        <f t="shared" si="8"/>
        <v>0</v>
      </c>
      <c r="AK22" s="3">
        <f t="shared" si="8"/>
        <v>326.10000000000002</v>
      </c>
      <c r="AL22" s="3">
        <f t="shared" si="8"/>
        <v>161.33000000000001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1481.25</v>
      </c>
      <c r="AS22" s="3">
        <f t="shared" si="8"/>
        <v>1481.25</v>
      </c>
      <c r="AT22" s="3">
        <f t="shared" si="8"/>
        <v>0</v>
      </c>
      <c r="AU22" s="3">
        <f t="shared" ref="AU22:BZ22" si="9">AU29</f>
        <v>0</v>
      </c>
      <c r="AV22" s="3">
        <f t="shared" si="9"/>
        <v>646.88</v>
      </c>
      <c r="AW22" s="3">
        <f t="shared" si="9"/>
        <v>646.88</v>
      </c>
      <c r="AX22" s="3">
        <f t="shared" si="9"/>
        <v>0</v>
      </c>
      <c r="AY22" s="3">
        <f t="shared" si="9"/>
        <v>646.88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CA29</f>
        <v>1481.25</v>
      </c>
      <c r="CB22" s="3">
        <f t="shared" si="10"/>
        <v>1481.25</v>
      </c>
      <c r="CC22" s="3">
        <f t="shared" si="10"/>
        <v>0</v>
      </c>
      <c r="CD22" s="3">
        <f t="shared" si="10"/>
        <v>0</v>
      </c>
      <c r="CE22" s="3">
        <f t="shared" si="10"/>
        <v>646.88</v>
      </c>
      <c r="CF22" s="3">
        <f t="shared" si="10"/>
        <v>646.88</v>
      </c>
      <c r="CG22" s="3">
        <f t="shared" si="10"/>
        <v>0</v>
      </c>
      <c r="CH22" s="3">
        <f t="shared" si="10"/>
        <v>646.88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DG29</f>
        <v>11958.91</v>
      </c>
      <c r="DH22" s="4">
        <f t="shared" si="11"/>
        <v>5666.68</v>
      </c>
      <c r="DI22" s="4">
        <f t="shared" si="11"/>
        <v>50.14</v>
      </c>
      <c r="DJ22" s="4">
        <f t="shared" si="11"/>
        <v>36.18</v>
      </c>
      <c r="DK22" s="4">
        <f t="shared" si="11"/>
        <v>6242.09</v>
      </c>
      <c r="DL22" s="4">
        <f t="shared" si="11"/>
        <v>0</v>
      </c>
      <c r="DM22" s="4">
        <f t="shared" si="11"/>
        <v>37.586370000000002</v>
      </c>
      <c r="DN22" s="4">
        <f t="shared" si="11"/>
        <v>0.15510000000000002</v>
      </c>
      <c r="DO22" s="4">
        <f t="shared" si="11"/>
        <v>0</v>
      </c>
      <c r="DP22" s="4">
        <f t="shared" si="11"/>
        <v>5022.6099999999997</v>
      </c>
      <c r="DQ22" s="4">
        <f t="shared" si="11"/>
        <v>2322.96</v>
      </c>
      <c r="DR22" s="4">
        <f t="shared" si="11"/>
        <v>0</v>
      </c>
      <c r="DS22" s="4">
        <f t="shared" si="11"/>
        <v>0</v>
      </c>
      <c r="DT22" s="4">
        <f t="shared" si="11"/>
        <v>11958.91</v>
      </c>
      <c r="DU22" s="4">
        <f t="shared" si="11"/>
        <v>5666.68</v>
      </c>
      <c r="DV22" s="4">
        <f t="shared" si="11"/>
        <v>50.14</v>
      </c>
      <c r="DW22" s="4">
        <f t="shared" si="11"/>
        <v>36.18</v>
      </c>
      <c r="DX22" s="4">
        <f t="shared" si="11"/>
        <v>6242.09</v>
      </c>
      <c r="DY22" s="4">
        <f t="shared" si="11"/>
        <v>0</v>
      </c>
      <c r="DZ22" s="4">
        <f t="shared" si="11"/>
        <v>37.586370000000002</v>
      </c>
      <c r="EA22" s="4">
        <f t="shared" si="11"/>
        <v>0.15510000000000002</v>
      </c>
      <c r="EB22" s="4">
        <f t="shared" si="11"/>
        <v>0</v>
      </c>
      <c r="EC22" s="4">
        <f t="shared" si="11"/>
        <v>5022.6099999999997</v>
      </c>
      <c r="ED22" s="4">
        <f t="shared" si="11"/>
        <v>2322.96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19304.48</v>
      </c>
      <c r="EK22" s="4">
        <f t="shared" si="11"/>
        <v>19304.48</v>
      </c>
      <c r="EL22" s="4">
        <f t="shared" si="11"/>
        <v>0</v>
      </c>
      <c r="EM22" s="4">
        <f t="shared" ref="EM22:FR22" si="12">EM29</f>
        <v>0</v>
      </c>
      <c r="EN22" s="4">
        <f t="shared" si="12"/>
        <v>5666.68</v>
      </c>
      <c r="EO22" s="4">
        <f t="shared" si="12"/>
        <v>5666.68</v>
      </c>
      <c r="EP22" s="4">
        <f t="shared" si="12"/>
        <v>0</v>
      </c>
      <c r="EQ22" s="4">
        <f t="shared" si="12"/>
        <v>5666.68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FS29</f>
        <v>19304.48</v>
      </c>
      <c r="FT22" s="4">
        <f t="shared" si="13"/>
        <v>19304.48</v>
      </c>
      <c r="FU22" s="4">
        <f t="shared" si="13"/>
        <v>0</v>
      </c>
      <c r="FV22" s="4">
        <f t="shared" si="13"/>
        <v>0</v>
      </c>
      <c r="FW22" s="4">
        <f t="shared" si="13"/>
        <v>5666.68</v>
      </c>
      <c r="FX22" s="4">
        <f t="shared" si="13"/>
        <v>5666.68</v>
      </c>
      <c r="FY22" s="4">
        <f t="shared" si="13"/>
        <v>0</v>
      </c>
      <c r="FZ22" s="4">
        <f t="shared" si="13"/>
        <v>5666.68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>
      <c r="A24" s="2">
        <v>17</v>
      </c>
      <c r="B24" s="2">
        <v>1</v>
      </c>
      <c r="C24" s="2">
        <f>ROW(SmtRes!A9)</f>
        <v>9</v>
      </c>
      <c r="D24" s="2">
        <f>ROW(EtalonRes!A9)</f>
        <v>9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ROUND(4.7/100,5)</f>
        <v>4.7E-2</v>
      </c>
      <c r="J24" s="2">
        <v>0</v>
      </c>
      <c r="K24" s="2"/>
      <c r="L24" s="2"/>
      <c r="M24" s="2"/>
      <c r="N24" s="2"/>
      <c r="O24" s="2">
        <f>ROUND(CP24,2)</f>
        <v>516.49</v>
      </c>
      <c r="P24" s="2">
        <f>ROUND(CQ24*I24,2)</f>
        <v>323.44</v>
      </c>
      <c r="Q24" s="2">
        <f>ROUND(CR24*I24,2)</f>
        <v>2.83</v>
      </c>
      <c r="R24" s="2">
        <f>ROUND(CS24*I24,2)</f>
        <v>0.99</v>
      </c>
      <c r="S24" s="2">
        <f>ROUND(CT24*I24,2)</f>
        <v>190.22</v>
      </c>
      <c r="T24" s="2">
        <f>ROUND(CU24*I24,2)</f>
        <v>0</v>
      </c>
      <c r="U24" s="2">
        <f>CV24*I24</f>
        <v>20.949780000000001</v>
      </c>
      <c r="V24" s="2">
        <f>CW24*I24</f>
        <v>7.7550000000000008E-2</v>
      </c>
      <c r="W24" s="2">
        <f>ROUND(CX24*I24,2)</f>
        <v>0</v>
      </c>
      <c r="X24" s="2">
        <f t="shared" ref="X24:Y27" si="14">ROUND(CY24,2)</f>
        <v>181.65</v>
      </c>
      <c r="Y24" s="2">
        <f t="shared" si="14"/>
        <v>89.87</v>
      </c>
      <c r="Z24" s="2"/>
      <c r="AA24" s="2">
        <v>55197979</v>
      </c>
      <c r="AB24" s="2">
        <f>ROUND((AC24+AD24+AF24),2)</f>
        <v>10989.16</v>
      </c>
      <c r="AC24" s="2">
        <f>ROUND((ES24),2)</f>
        <v>6881.71</v>
      </c>
      <c r="AD24" s="2">
        <f>ROUND(((((ET24*1.25))-((EU24*1.25)))+AE24),2)</f>
        <v>60.13</v>
      </c>
      <c r="AE24" s="2">
        <f>ROUND(((EU24*1.25)),2)</f>
        <v>21.04</v>
      </c>
      <c r="AF24" s="2">
        <f>ROUND(((EV24*1.15)),2)</f>
        <v>4047.32</v>
      </c>
      <c r="AG24" s="2">
        <f>ROUND((AP24),2)</f>
        <v>0</v>
      </c>
      <c r="AH24" s="2">
        <f>((EW24*1.15))</f>
        <v>445.74</v>
      </c>
      <c r="AI24" s="2">
        <f>((EX24*1.25))</f>
        <v>1.6500000000000001</v>
      </c>
      <c r="AJ24" s="2">
        <f>ROUND((AS24),2)</f>
        <v>0</v>
      </c>
      <c r="AK24" s="2">
        <v>10449.219999999999</v>
      </c>
      <c r="AL24" s="2">
        <v>6881.71</v>
      </c>
      <c r="AM24" s="2">
        <v>48.1</v>
      </c>
      <c r="AN24" s="2">
        <v>16.829999999999998</v>
      </c>
      <c r="AO24" s="2">
        <v>3519.41</v>
      </c>
      <c r="AP24" s="2">
        <v>0</v>
      </c>
      <c r="AQ24" s="2">
        <v>387.6</v>
      </c>
      <c r="AR24" s="2">
        <v>1.32</v>
      </c>
      <c r="AS24" s="2">
        <v>0</v>
      </c>
      <c r="AT24" s="2">
        <v>95</v>
      </c>
      <c r="AU24" s="2">
        <v>47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1</v>
      </c>
      <c r="BJ24" s="2" t="s">
        <v>16</v>
      </c>
      <c r="BK24" s="2"/>
      <c r="BL24" s="2"/>
      <c r="BM24" s="2">
        <v>15001</v>
      </c>
      <c r="BN24" s="2">
        <v>0</v>
      </c>
      <c r="BO24" s="2" t="s">
        <v>3</v>
      </c>
      <c r="BP24" s="2">
        <v>0</v>
      </c>
      <c r="BQ24" s="2">
        <v>2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105</v>
      </c>
      <c r="CA24" s="2">
        <v>55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179</v>
      </c>
      <c r="CO24" s="2">
        <v>0</v>
      </c>
      <c r="CP24" s="2">
        <f>(P24+Q24+S24)</f>
        <v>516.49</v>
      </c>
      <c r="CQ24" s="2">
        <f>AC24*BC24</f>
        <v>6881.71</v>
      </c>
      <c r="CR24" s="2">
        <f>AD24*BB24</f>
        <v>60.13</v>
      </c>
      <c r="CS24" s="2">
        <f>AE24*BS24</f>
        <v>21.04</v>
      </c>
      <c r="CT24" s="2">
        <f>AF24*BA24</f>
        <v>4047.32</v>
      </c>
      <c r="CU24" s="2">
        <f t="shared" ref="CU24:CX27" si="15">AG24</f>
        <v>0</v>
      </c>
      <c r="CV24" s="2">
        <f t="shared" si="15"/>
        <v>445.74</v>
      </c>
      <c r="CW24" s="2">
        <f t="shared" si="15"/>
        <v>1.6500000000000001</v>
      </c>
      <c r="CX24" s="2">
        <f t="shared" si="15"/>
        <v>0</v>
      </c>
      <c r="CY24" s="2">
        <f>(((S24+R24)*AT24)/100)</f>
        <v>181.64950000000002</v>
      </c>
      <c r="CZ24" s="2">
        <f>(((S24+R24)*AU24)/100)</f>
        <v>89.868700000000004</v>
      </c>
      <c r="DA24" s="2"/>
      <c r="DB24" s="2"/>
      <c r="DC24" s="2" t="s">
        <v>3</v>
      </c>
      <c r="DD24" s="2" t="s">
        <v>3</v>
      </c>
      <c r="DE24" s="2" t="s">
        <v>17</v>
      </c>
      <c r="DF24" s="2" t="s">
        <v>17</v>
      </c>
      <c r="DG24" s="2" t="s">
        <v>18</v>
      </c>
      <c r="DH24" s="2" t="s">
        <v>3</v>
      </c>
      <c r="DI24" s="2" t="s">
        <v>18</v>
      </c>
      <c r="DJ24" s="2" t="s">
        <v>17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1013</v>
      </c>
      <c r="DV24" s="2" t="s">
        <v>15</v>
      </c>
      <c r="DW24" s="2" t="s">
        <v>15</v>
      </c>
      <c r="DX24" s="2">
        <v>1</v>
      </c>
      <c r="DY24" s="2"/>
      <c r="DZ24" s="2"/>
      <c r="EA24" s="2"/>
      <c r="EB24" s="2"/>
      <c r="EC24" s="2"/>
      <c r="ED24" s="2"/>
      <c r="EE24" s="2">
        <v>49303387</v>
      </c>
      <c r="EF24" s="2">
        <v>2</v>
      </c>
      <c r="EG24" s="2" t="s">
        <v>19</v>
      </c>
      <c r="EH24" s="2">
        <v>0</v>
      </c>
      <c r="EI24" s="2" t="s">
        <v>3</v>
      </c>
      <c r="EJ24" s="2">
        <v>1</v>
      </c>
      <c r="EK24" s="2">
        <v>15001</v>
      </c>
      <c r="EL24" s="2" t="s">
        <v>20</v>
      </c>
      <c r="EM24" s="2" t="s">
        <v>21</v>
      </c>
      <c r="EN24" s="2"/>
      <c r="EO24" s="2" t="s">
        <v>22</v>
      </c>
      <c r="EP24" s="2"/>
      <c r="EQ24" s="2">
        <v>0</v>
      </c>
      <c r="ER24" s="2">
        <v>10449.219999999999</v>
      </c>
      <c r="ES24" s="2">
        <v>6881.71</v>
      </c>
      <c r="ET24" s="2">
        <v>48.1</v>
      </c>
      <c r="EU24" s="2">
        <v>16.829999999999998</v>
      </c>
      <c r="EV24" s="2">
        <v>3519.41</v>
      </c>
      <c r="EW24" s="2">
        <v>387.6</v>
      </c>
      <c r="EX24" s="2">
        <v>1.32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>ROUND(IF(AND(BH24=3,BI24=3),P24,0),2)</f>
        <v>0</v>
      </c>
      <c r="FS24" s="2">
        <v>0</v>
      </c>
      <c r="FT24" s="2" t="s">
        <v>23</v>
      </c>
      <c r="FU24" s="2" t="s">
        <v>24</v>
      </c>
      <c r="FV24" s="2"/>
      <c r="FW24" s="2"/>
      <c r="FX24" s="2">
        <v>94.5</v>
      </c>
      <c r="FY24" s="2">
        <v>46.75</v>
      </c>
      <c r="FZ24" s="2"/>
      <c r="GA24" s="2" t="s">
        <v>3</v>
      </c>
      <c r="GB24" s="2"/>
      <c r="GC24" s="2"/>
      <c r="GD24" s="2">
        <v>0</v>
      </c>
      <c r="GE24" s="2"/>
      <c r="GF24" s="2">
        <v>1629342492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>ROUND(IF(AND(BH24=3,BI24=3,FS24&lt;&gt;0),P24,0),2)</f>
        <v>0</v>
      </c>
      <c r="GM24" s="2">
        <f>ROUND(O24+X24+Y24+GK24,2)+GX24</f>
        <v>788.01</v>
      </c>
      <c r="GN24" s="2">
        <f>IF(OR(BI24=0,BI24=1),ROUND(O24+X24+Y24+GK24,2),0)</f>
        <v>788.01</v>
      </c>
      <c r="GO24" s="2">
        <f>IF(BI24=2,ROUND(O24+X24+Y24+GK24,2),0)</f>
        <v>0</v>
      </c>
      <c r="GP24" s="2">
        <f>IF(BI24=4,ROUND(O24+X24+Y24+GK24,2)+GX24,0)</f>
        <v>0</v>
      </c>
      <c r="GQ24" s="2"/>
      <c r="GR24" s="2">
        <v>0</v>
      </c>
      <c r="GS24" s="2">
        <v>0</v>
      </c>
      <c r="GT24" s="2">
        <v>0</v>
      </c>
      <c r="GU24" s="2" t="s">
        <v>3</v>
      </c>
      <c r="GV24" s="2">
        <f>ROUND(GT24,2)</f>
        <v>0</v>
      </c>
      <c r="GW24" s="2">
        <v>1</v>
      </c>
      <c r="GX24" s="2">
        <f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>
      <c r="A25">
        <v>17</v>
      </c>
      <c r="B25">
        <v>1</v>
      </c>
      <c r="C25">
        <f>ROW(SmtRes!A18)</f>
        <v>18</v>
      </c>
      <c r="D25">
        <f>ROW(EtalonRes!A18)</f>
        <v>18</v>
      </c>
      <c r="E25" t="s">
        <v>12</v>
      </c>
      <c r="F25" t="s">
        <v>13</v>
      </c>
      <c r="G25" t="s">
        <v>14</v>
      </c>
      <c r="H25" t="s">
        <v>15</v>
      </c>
      <c r="I25">
        <f>ROUND(4.7/100,5)</f>
        <v>4.7E-2</v>
      </c>
      <c r="J25">
        <v>0</v>
      </c>
      <c r="O25">
        <f>ROUND(CP25,2)</f>
        <v>6337.61</v>
      </c>
      <c r="P25">
        <f>ROUND(CQ25*I25,2)</f>
        <v>2833.34</v>
      </c>
      <c r="Q25">
        <f>ROUND(CR25*I25,2)</f>
        <v>25.07</v>
      </c>
      <c r="R25">
        <f>ROUND(CS25*I25,2)</f>
        <v>18.09</v>
      </c>
      <c r="S25">
        <f>ROUND(CT25*I25,2)</f>
        <v>3479.2</v>
      </c>
      <c r="T25">
        <f>ROUND(CU25*I25,2)</f>
        <v>0</v>
      </c>
      <c r="U25">
        <f>CV25*I25</f>
        <v>20.949780000000001</v>
      </c>
      <c r="V25">
        <f>CW25*I25</f>
        <v>7.7550000000000008E-2</v>
      </c>
      <c r="W25">
        <f>ROUND(CX25*I25,2)</f>
        <v>0</v>
      </c>
      <c r="X25">
        <f t="shared" si="14"/>
        <v>2797.83</v>
      </c>
      <c r="Y25">
        <f t="shared" si="14"/>
        <v>1294</v>
      </c>
      <c r="AA25">
        <v>55197951</v>
      </c>
      <c r="AB25">
        <f>ROUND((AC25+AD25+AF25),2)</f>
        <v>10989.16</v>
      </c>
      <c r="AC25">
        <f>ROUND((ES25),2)</f>
        <v>6881.71</v>
      </c>
      <c r="AD25">
        <f>ROUND(((((ET25*1.25))-((EU25*1.25)))+AE25),2)</f>
        <v>60.13</v>
      </c>
      <c r="AE25">
        <f>ROUND(((EU25*1.25)),2)</f>
        <v>21.04</v>
      </c>
      <c r="AF25">
        <f>ROUND(((EV25*1.15)),2)</f>
        <v>4047.32</v>
      </c>
      <c r="AG25">
        <f>ROUND((AP25),2)</f>
        <v>0</v>
      </c>
      <c r="AH25">
        <f>((EW25*1.15))</f>
        <v>445.74</v>
      </c>
      <c r="AI25">
        <f>((EX25*1.25))</f>
        <v>1.6500000000000001</v>
      </c>
      <c r="AJ25">
        <f>ROUND((AS25),2)</f>
        <v>0</v>
      </c>
      <c r="AK25">
        <v>10449.219999999999</v>
      </c>
      <c r="AL25">
        <v>6881.71</v>
      </c>
      <c r="AM25">
        <v>48.1</v>
      </c>
      <c r="AN25">
        <v>16.829999999999998</v>
      </c>
      <c r="AO25">
        <v>3519.41</v>
      </c>
      <c r="AP25">
        <v>0</v>
      </c>
      <c r="AQ25">
        <v>387.6</v>
      </c>
      <c r="AR25">
        <v>1.32</v>
      </c>
      <c r="AS25">
        <v>0</v>
      </c>
      <c r="AT25">
        <v>80</v>
      </c>
      <c r="AU25">
        <v>37</v>
      </c>
      <c r="AV25">
        <v>1</v>
      </c>
      <c r="AW25">
        <v>1</v>
      </c>
      <c r="AZ25">
        <v>1</v>
      </c>
      <c r="BA25">
        <v>18.29</v>
      </c>
      <c r="BB25">
        <v>8.8699999999999992</v>
      </c>
      <c r="BC25">
        <v>8.76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1</v>
      </c>
      <c r="BJ25" t="s">
        <v>16</v>
      </c>
      <c r="BM25">
        <v>15001</v>
      </c>
      <c r="BN25">
        <v>0</v>
      </c>
      <c r="BO25" t="s">
        <v>13</v>
      </c>
      <c r="BP25">
        <v>1</v>
      </c>
      <c r="BQ25">
        <v>2</v>
      </c>
      <c r="BR25">
        <v>0</v>
      </c>
      <c r="BS25">
        <v>18.29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105</v>
      </c>
      <c r="CA25">
        <v>55</v>
      </c>
      <c r="CF25">
        <v>0</v>
      </c>
      <c r="CG25">
        <v>0</v>
      </c>
      <c r="CM25">
        <v>0</v>
      </c>
      <c r="CN25" t="s">
        <v>179</v>
      </c>
      <c r="CO25">
        <v>0</v>
      </c>
      <c r="CP25">
        <f>(P25+Q25+S25)</f>
        <v>6337.6100000000006</v>
      </c>
      <c r="CQ25">
        <f>AC25*BC25</f>
        <v>60283.779600000002</v>
      </c>
      <c r="CR25">
        <f>AD25*BB25</f>
        <v>533.35309999999993</v>
      </c>
      <c r="CS25">
        <f>AE25*BS25</f>
        <v>384.82159999999999</v>
      </c>
      <c r="CT25">
        <f>AF25*BA25</f>
        <v>74025.482799999998</v>
      </c>
      <c r="CU25">
        <f t="shared" si="15"/>
        <v>0</v>
      </c>
      <c r="CV25">
        <f t="shared" si="15"/>
        <v>445.74</v>
      </c>
      <c r="CW25">
        <f t="shared" si="15"/>
        <v>1.6500000000000001</v>
      </c>
      <c r="CX25">
        <f t="shared" si="15"/>
        <v>0</v>
      </c>
      <c r="CY25">
        <f>(((S25+R25)*AT25)/100)</f>
        <v>2797.8320000000003</v>
      </c>
      <c r="CZ25">
        <f>(((S25+R25)*AU25)/100)</f>
        <v>1293.9973</v>
      </c>
      <c r="DC25" t="s">
        <v>3</v>
      </c>
      <c r="DD25" t="s">
        <v>3</v>
      </c>
      <c r="DE25" t="s">
        <v>17</v>
      </c>
      <c r="DF25" t="s">
        <v>17</v>
      </c>
      <c r="DG25" t="s">
        <v>18</v>
      </c>
      <c r="DH25" t="s">
        <v>3</v>
      </c>
      <c r="DI25" t="s">
        <v>18</v>
      </c>
      <c r="DJ25" t="s">
        <v>17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1013</v>
      </c>
      <c r="DV25" t="s">
        <v>15</v>
      </c>
      <c r="DW25" t="s">
        <v>15</v>
      </c>
      <c r="DX25">
        <v>1</v>
      </c>
      <c r="EE25">
        <v>49303387</v>
      </c>
      <c r="EF25">
        <v>2</v>
      </c>
      <c r="EG25" t="s">
        <v>19</v>
      </c>
      <c r="EH25">
        <v>0</v>
      </c>
      <c r="EI25" t="s">
        <v>3</v>
      </c>
      <c r="EJ25">
        <v>1</v>
      </c>
      <c r="EK25">
        <v>15001</v>
      </c>
      <c r="EL25" t="s">
        <v>20</v>
      </c>
      <c r="EM25" t="s">
        <v>21</v>
      </c>
      <c r="EO25" t="s">
        <v>22</v>
      </c>
      <c r="EQ25">
        <v>0</v>
      </c>
      <c r="ER25">
        <v>10449.219999999999</v>
      </c>
      <c r="ES25">
        <v>6881.71</v>
      </c>
      <c r="ET25">
        <v>48.1</v>
      </c>
      <c r="EU25">
        <v>16.829999999999998</v>
      </c>
      <c r="EV25">
        <v>3519.41</v>
      </c>
      <c r="EW25">
        <v>387.6</v>
      </c>
      <c r="EX25">
        <v>1.32</v>
      </c>
      <c r="EY25">
        <v>0</v>
      </c>
      <c r="FQ25">
        <v>0</v>
      </c>
      <c r="FR25">
        <f>ROUND(IF(AND(BH25=3,BI25=3),P25,0),2)</f>
        <v>0</v>
      </c>
      <c r="FS25">
        <v>0</v>
      </c>
      <c r="FT25" t="s">
        <v>23</v>
      </c>
      <c r="FU25" t="s">
        <v>24</v>
      </c>
      <c r="FV25" t="s">
        <v>24</v>
      </c>
      <c r="FW25" t="s">
        <v>25</v>
      </c>
      <c r="FX25">
        <v>94.5</v>
      </c>
      <c r="FY25">
        <v>46.75</v>
      </c>
      <c r="GA25" t="s">
        <v>3</v>
      </c>
      <c r="GD25">
        <v>0</v>
      </c>
      <c r="GF25">
        <v>1629342492</v>
      </c>
      <c r="GG25">
        <v>2</v>
      </c>
      <c r="GH25">
        <v>1</v>
      </c>
      <c r="GI25">
        <v>2</v>
      </c>
      <c r="GJ25">
        <v>0</v>
      </c>
      <c r="GK25">
        <f>ROUND(R25*(S12)/100,2)</f>
        <v>0</v>
      </c>
      <c r="GL25">
        <f>ROUND(IF(AND(BH25=3,BI25=3,FS25&lt;&gt;0),P25,0),2)</f>
        <v>0</v>
      </c>
      <c r="GM25">
        <f>ROUND(O25+X25+Y25+GK25,2)+GX25</f>
        <v>10429.44</v>
      </c>
      <c r="GN25">
        <f>IF(OR(BI25=0,BI25=1),ROUND(O25+X25+Y25+GK25,2),0)</f>
        <v>10429.44</v>
      </c>
      <c r="GO25">
        <f>IF(BI25=2,ROUND(O25+X25+Y25+GK25,2),0)</f>
        <v>0</v>
      </c>
      <c r="GP25">
        <f>IF(BI25=4,ROUND(O25+X25+Y25+GK25,2)+GX25,0)</f>
        <v>0</v>
      </c>
      <c r="GR25">
        <v>0</v>
      </c>
      <c r="GS25">
        <v>3</v>
      </c>
      <c r="GT25">
        <v>0</v>
      </c>
      <c r="GU25" t="s">
        <v>3</v>
      </c>
      <c r="GV25">
        <f>ROUND(GT25,2)</f>
        <v>0</v>
      </c>
      <c r="GW25">
        <v>1</v>
      </c>
      <c r="GX25">
        <f>ROUND(GV25*GW25*I25,2)</f>
        <v>0</v>
      </c>
      <c r="HA25">
        <v>0</v>
      </c>
      <c r="HB25">
        <v>0</v>
      </c>
      <c r="IK25">
        <v>0</v>
      </c>
    </row>
    <row r="26" spans="1:255">
      <c r="A26" s="2">
        <v>17</v>
      </c>
      <c r="B26" s="2">
        <v>1</v>
      </c>
      <c r="C26" s="2">
        <f>ROW(SmtRes!A27)</f>
        <v>27</v>
      </c>
      <c r="D26" s="2">
        <f>ROW(EtalonRes!A27)</f>
        <v>27</v>
      </c>
      <c r="E26" s="2" t="s">
        <v>26</v>
      </c>
      <c r="F26" s="2" t="s">
        <v>27</v>
      </c>
      <c r="G26" s="2" t="s">
        <v>28</v>
      </c>
      <c r="H26" s="2" t="s">
        <v>15</v>
      </c>
      <c r="I26" s="2">
        <f>ROUND(4.7/100,5)</f>
        <v>4.7E-2</v>
      </c>
      <c r="J26" s="2">
        <v>0</v>
      </c>
      <c r="K26" s="2"/>
      <c r="L26" s="2"/>
      <c r="M26" s="2"/>
      <c r="N26" s="2"/>
      <c r="O26" s="2">
        <f>ROUND(CP26,2)</f>
        <v>477.33</v>
      </c>
      <c r="P26" s="2">
        <f>ROUND(CQ26*I26,2)</f>
        <v>323.44</v>
      </c>
      <c r="Q26" s="2">
        <f>ROUND(CR26*I26,2)</f>
        <v>2.83</v>
      </c>
      <c r="R26" s="2">
        <f>ROUND(CS26*I26,2)</f>
        <v>0.99</v>
      </c>
      <c r="S26" s="2">
        <f>ROUND(CT26*I26,2)</f>
        <v>151.06</v>
      </c>
      <c r="T26" s="2">
        <f>ROUND(CU26*I26,2)</f>
        <v>0</v>
      </c>
      <c r="U26" s="2">
        <f>CV26*I26</f>
        <v>16.636589999999998</v>
      </c>
      <c r="V26" s="2">
        <f>CW26*I26</f>
        <v>7.7550000000000008E-2</v>
      </c>
      <c r="W26" s="2">
        <f>ROUND(CX26*I26,2)</f>
        <v>0</v>
      </c>
      <c r="X26" s="2">
        <f t="shared" si="14"/>
        <v>144.44999999999999</v>
      </c>
      <c r="Y26" s="2">
        <f t="shared" si="14"/>
        <v>71.459999999999994</v>
      </c>
      <c r="Z26" s="2"/>
      <c r="AA26" s="2">
        <v>55197979</v>
      </c>
      <c r="AB26" s="2">
        <f>ROUND((AC26+AD26+AF26),2)</f>
        <v>10155.879999999999</v>
      </c>
      <c r="AC26" s="2">
        <f>ROUND((ES26),2)</f>
        <v>6881.71</v>
      </c>
      <c r="AD26" s="2">
        <f>ROUND(((((ET26*1.25))-((EU26*1.25)))+AE26),2)</f>
        <v>60.13</v>
      </c>
      <c r="AE26" s="2">
        <f>ROUND(((EU26*1.25)),2)</f>
        <v>21.04</v>
      </c>
      <c r="AF26" s="2">
        <f>ROUND(((EV26*1.15)),2)</f>
        <v>3214.04</v>
      </c>
      <c r="AG26" s="2">
        <f>ROUND((AP26),2)</f>
        <v>0</v>
      </c>
      <c r="AH26" s="2">
        <f>((EW26*1.15))</f>
        <v>353.96999999999997</v>
      </c>
      <c r="AI26" s="2">
        <f>((EX26*1.25))</f>
        <v>1.6500000000000001</v>
      </c>
      <c r="AJ26" s="2">
        <f>ROUND((AS26),2)</f>
        <v>0</v>
      </c>
      <c r="AK26" s="2">
        <v>9724.6299999999992</v>
      </c>
      <c r="AL26" s="2">
        <v>6881.71</v>
      </c>
      <c r="AM26" s="2">
        <v>48.1</v>
      </c>
      <c r="AN26" s="2">
        <v>16.829999999999998</v>
      </c>
      <c r="AO26" s="2">
        <v>2794.82</v>
      </c>
      <c r="AP26" s="2">
        <v>0</v>
      </c>
      <c r="AQ26" s="2">
        <v>307.8</v>
      </c>
      <c r="AR26" s="2">
        <v>1.32</v>
      </c>
      <c r="AS26" s="2">
        <v>0</v>
      </c>
      <c r="AT26" s="2">
        <v>95</v>
      </c>
      <c r="AU26" s="2">
        <v>47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1</v>
      </c>
      <c r="BJ26" s="2" t="s">
        <v>29</v>
      </c>
      <c r="BK26" s="2"/>
      <c r="BL26" s="2"/>
      <c r="BM26" s="2">
        <v>15001</v>
      </c>
      <c r="BN26" s="2">
        <v>0</v>
      </c>
      <c r="BO26" s="2" t="s">
        <v>3</v>
      </c>
      <c r="BP26" s="2">
        <v>0</v>
      </c>
      <c r="BQ26" s="2">
        <v>2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105</v>
      </c>
      <c r="CA26" s="2">
        <v>55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179</v>
      </c>
      <c r="CO26" s="2">
        <v>0</v>
      </c>
      <c r="CP26" s="2">
        <f>(P26+Q26+S26)</f>
        <v>477.33</v>
      </c>
      <c r="CQ26" s="2">
        <f>AC26*BC26</f>
        <v>6881.71</v>
      </c>
      <c r="CR26" s="2">
        <f>AD26*BB26</f>
        <v>60.13</v>
      </c>
      <c r="CS26" s="2">
        <f>AE26*BS26</f>
        <v>21.04</v>
      </c>
      <c r="CT26" s="2">
        <f>AF26*BA26</f>
        <v>3214.04</v>
      </c>
      <c r="CU26" s="2">
        <f t="shared" si="15"/>
        <v>0</v>
      </c>
      <c r="CV26" s="2">
        <f t="shared" si="15"/>
        <v>353.96999999999997</v>
      </c>
      <c r="CW26" s="2">
        <f t="shared" si="15"/>
        <v>1.6500000000000001</v>
      </c>
      <c r="CX26" s="2">
        <f t="shared" si="15"/>
        <v>0</v>
      </c>
      <c r="CY26" s="2">
        <f>(((S26+R26)*AT26)/100)</f>
        <v>144.44750000000002</v>
      </c>
      <c r="CZ26" s="2">
        <f>(((S26+R26)*AU26)/100)</f>
        <v>71.46350000000001</v>
      </c>
      <c r="DA26" s="2"/>
      <c r="DB26" s="2"/>
      <c r="DC26" s="2" t="s">
        <v>3</v>
      </c>
      <c r="DD26" s="2" t="s">
        <v>3</v>
      </c>
      <c r="DE26" s="2" t="s">
        <v>17</v>
      </c>
      <c r="DF26" s="2" t="s">
        <v>17</v>
      </c>
      <c r="DG26" s="2" t="s">
        <v>18</v>
      </c>
      <c r="DH26" s="2" t="s">
        <v>3</v>
      </c>
      <c r="DI26" s="2" t="s">
        <v>18</v>
      </c>
      <c r="DJ26" s="2" t="s">
        <v>17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1013</v>
      </c>
      <c r="DV26" s="2" t="s">
        <v>15</v>
      </c>
      <c r="DW26" s="2" t="s">
        <v>15</v>
      </c>
      <c r="DX26" s="2">
        <v>1</v>
      </c>
      <c r="DY26" s="2"/>
      <c r="DZ26" s="2"/>
      <c r="EA26" s="2"/>
      <c r="EB26" s="2"/>
      <c r="EC26" s="2"/>
      <c r="ED26" s="2"/>
      <c r="EE26" s="2">
        <v>49303387</v>
      </c>
      <c r="EF26" s="2">
        <v>2</v>
      </c>
      <c r="EG26" s="2" t="s">
        <v>19</v>
      </c>
      <c r="EH26" s="2">
        <v>0</v>
      </c>
      <c r="EI26" s="2" t="s">
        <v>3</v>
      </c>
      <c r="EJ26" s="2">
        <v>1</v>
      </c>
      <c r="EK26" s="2">
        <v>15001</v>
      </c>
      <c r="EL26" s="2" t="s">
        <v>20</v>
      </c>
      <c r="EM26" s="2" t="s">
        <v>21</v>
      </c>
      <c r="EN26" s="2"/>
      <c r="EO26" s="2" t="s">
        <v>22</v>
      </c>
      <c r="EP26" s="2"/>
      <c r="EQ26" s="2">
        <v>0</v>
      </c>
      <c r="ER26" s="2">
        <v>9724.6299999999992</v>
      </c>
      <c r="ES26" s="2">
        <v>6881.71</v>
      </c>
      <c r="ET26" s="2">
        <v>48.1</v>
      </c>
      <c r="EU26" s="2">
        <v>16.829999999999998</v>
      </c>
      <c r="EV26" s="2">
        <v>2794.82</v>
      </c>
      <c r="EW26" s="2">
        <v>307.8</v>
      </c>
      <c r="EX26" s="2">
        <v>1.32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>ROUND(IF(AND(BH26=3,BI26=3),P26,0),2)</f>
        <v>0</v>
      </c>
      <c r="FS26" s="2">
        <v>0</v>
      </c>
      <c r="FT26" s="2" t="s">
        <v>23</v>
      </c>
      <c r="FU26" s="2" t="s">
        <v>24</v>
      </c>
      <c r="FV26" s="2"/>
      <c r="FW26" s="2"/>
      <c r="FX26" s="2">
        <v>94.5</v>
      </c>
      <c r="FY26" s="2">
        <v>46.75</v>
      </c>
      <c r="FZ26" s="2"/>
      <c r="GA26" s="2" t="s">
        <v>3</v>
      </c>
      <c r="GB26" s="2"/>
      <c r="GC26" s="2"/>
      <c r="GD26" s="2">
        <v>0</v>
      </c>
      <c r="GE26" s="2"/>
      <c r="GF26" s="2">
        <v>-1095386999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>ROUND(IF(AND(BH26=3,BI26=3,FS26&lt;&gt;0),P26,0),2)</f>
        <v>0</v>
      </c>
      <c r="GM26" s="2">
        <f>ROUND(O26+X26+Y26+GK26,2)+GX26</f>
        <v>693.24</v>
      </c>
      <c r="GN26" s="2">
        <f>IF(OR(BI26=0,BI26=1),ROUND(O26+X26+Y26+GK26,2),0)</f>
        <v>693.24</v>
      </c>
      <c r="GO26" s="2">
        <f>IF(BI26=2,ROUND(O26+X26+Y26+GK26,2),0)</f>
        <v>0</v>
      </c>
      <c r="GP26" s="2">
        <f>IF(BI26=4,ROUND(O26+X26+Y26+GK26,2)+GX26,0)</f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>ROUND(GT26,2)</f>
        <v>0</v>
      </c>
      <c r="GW26" s="2">
        <v>1</v>
      </c>
      <c r="GX26" s="2">
        <f>ROUND(GV26*GW26*I26,2)</f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>
      <c r="A27">
        <v>17</v>
      </c>
      <c r="B27">
        <v>1</v>
      </c>
      <c r="C27">
        <f>ROW(SmtRes!A36)</f>
        <v>36</v>
      </c>
      <c r="D27">
        <f>ROW(EtalonRes!A36)</f>
        <v>36</v>
      </c>
      <c r="E27" t="s">
        <v>26</v>
      </c>
      <c r="F27" t="s">
        <v>27</v>
      </c>
      <c r="G27" t="s">
        <v>28</v>
      </c>
      <c r="H27" t="s">
        <v>15</v>
      </c>
      <c r="I27">
        <f>ROUND(4.7/100,5)</f>
        <v>4.7E-2</v>
      </c>
      <c r="J27">
        <v>0</v>
      </c>
      <c r="O27">
        <f>ROUND(CP27,2)</f>
        <v>5621.3</v>
      </c>
      <c r="P27">
        <f>ROUND(CQ27*I27,2)</f>
        <v>2833.34</v>
      </c>
      <c r="Q27">
        <f>ROUND(CR27*I27,2)</f>
        <v>25.07</v>
      </c>
      <c r="R27">
        <f>ROUND(CS27*I27,2)</f>
        <v>18.09</v>
      </c>
      <c r="S27">
        <f>ROUND(CT27*I27,2)</f>
        <v>2762.89</v>
      </c>
      <c r="T27">
        <f>ROUND(CU27*I27,2)</f>
        <v>0</v>
      </c>
      <c r="U27">
        <f>CV27*I27</f>
        <v>16.636589999999998</v>
      </c>
      <c r="V27">
        <f>CW27*I27</f>
        <v>7.7550000000000008E-2</v>
      </c>
      <c r="W27">
        <f>ROUND(CX27*I27,2)</f>
        <v>0</v>
      </c>
      <c r="X27">
        <f t="shared" si="14"/>
        <v>2224.7800000000002</v>
      </c>
      <c r="Y27">
        <f t="shared" si="14"/>
        <v>1028.96</v>
      </c>
      <c r="AA27">
        <v>55197951</v>
      </c>
      <c r="AB27">
        <f>ROUND((AC27+AD27+AF27),2)</f>
        <v>10155.879999999999</v>
      </c>
      <c r="AC27">
        <f>ROUND((ES27),2)</f>
        <v>6881.71</v>
      </c>
      <c r="AD27">
        <f>ROUND(((((ET27*1.25))-((EU27*1.25)))+AE27),2)</f>
        <v>60.13</v>
      </c>
      <c r="AE27">
        <f>ROUND(((EU27*1.25)),2)</f>
        <v>21.04</v>
      </c>
      <c r="AF27">
        <f>ROUND(((EV27*1.15)),2)</f>
        <v>3214.04</v>
      </c>
      <c r="AG27">
        <f>ROUND((AP27),2)</f>
        <v>0</v>
      </c>
      <c r="AH27">
        <f>((EW27*1.15))</f>
        <v>353.96999999999997</v>
      </c>
      <c r="AI27">
        <f>((EX27*1.25))</f>
        <v>1.6500000000000001</v>
      </c>
      <c r="AJ27">
        <f>ROUND((AS27),2)</f>
        <v>0</v>
      </c>
      <c r="AK27">
        <v>9724.6299999999992</v>
      </c>
      <c r="AL27">
        <v>6881.71</v>
      </c>
      <c r="AM27">
        <v>48.1</v>
      </c>
      <c r="AN27">
        <v>16.829999999999998</v>
      </c>
      <c r="AO27">
        <v>2794.82</v>
      </c>
      <c r="AP27">
        <v>0</v>
      </c>
      <c r="AQ27">
        <v>307.8</v>
      </c>
      <c r="AR27">
        <v>1.32</v>
      </c>
      <c r="AS27">
        <v>0</v>
      </c>
      <c r="AT27">
        <v>80</v>
      </c>
      <c r="AU27">
        <v>37</v>
      </c>
      <c r="AV27">
        <v>1</v>
      </c>
      <c r="AW27">
        <v>1</v>
      </c>
      <c r="AZ27">
        <v>1</v>
      </c>
      <c r="BA27">
        <v>18.29</v>
      </c>
      <c r="BB27">
        <v>8.8699999999999992</v>
      </c>
      <c r="BC27">
        <v>8.76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1</v>
      </c>
      <c r="BJ27" t="s">
        <v>29</v>
      </c>
      <c r="BM27">
        <v>15001</v>
      </c>
      <c r="BN27">
        <v>0</v>
      </c>
      <c r="BO27" t="s">
        <v>27</v>
      </c>
      <c r="BP27">
        <v>1</v>
      </c>
      <c r="BQ27">
        <v>2</v>
      </c>
      <c r="BR27">
        <v>0</v>
      </c>
      <c r="BS27">
        <v>18.29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105</v>
      </c>
      <c r="CA27">
        <v>55</v>
      </c>
      <c r="CF27">
        <v>0</v>
      </c>
      <c r="CG27">
        <v>0</v>
      </c>
      <c r="CM27">
        <v>0</v>
      </c>
      <c r="CN27" t="s">
        <v>179</v>
      </c>
      <c r="CO27">
        <v>0</v>
      </c>
      <c r="CP27">
        <f>(P27+Q27+S27)</f>
        <v>5621.3</v>
      </c>
      <c r="CQ27">
        <f>AC27*BC27</f>
        <v>60283.779600000002</v>
      </c>
      <c r="CR27">
        <f>AD27*BB27</f>
        <v>533.35309999999993</v>
      </c>
      <c r="CS27">
        <f>AE27*BS27</f>
        <v>384.82159999999999</v>
      </c>
      <c r="CT27">
        <f>AF27*BA27</f>
        <v>58784.791599999997</v>
      </c>
      <c r="CU27">
        <f t="shared" si="15"/>
        <v>0</v>
      </c>
      <c r="CV27">
        <f t="shared" si="15"/>
        <v>353.96999999999997</v>
      </c>
      <c r="CW27">
        <f t="shared" si="15"/>
        <v>1.6500000000000001</v>
      </c>
      <c r="CX27">
        <f t="shared" si="15"/>
        <v>0</v>
      </c>
      <c r="CY27">
        <f>(((S27+R27)*AT27)/100)</f>
        <v>2224.7840000000001</v>
      </c>
      <c r="CZ27">
        <f>(((S27+R27)*AU27)/100)</f>
        <v>1028.9625999999998</v>
      </c>
      <c r="DC27" t="s">
        <v>3</v>
      </c>
      <c r="DD27" t="s">
        <v>3</v>
      </c>
      <c r="DE27" t="s">
        <v>17</v>
      </c>
      <c r="DF27" t="s">
        <v>17</v>
      </c>
      <c r="DG27" t="s">
        <v>18</v>
      </c>
      <c r="DH27" t="s">
        <v>3</v>
      </c>
      <c r="DI27" t="s">
        <v>18</v>
      </c>
      <c r="DJ27" t="s">
        <v>17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1013</v>
      </c>
      <c r="DV27" t="s">
        <v>15</v>
      </c>
      <c r="DW27" t="s">
        <v>15</v>
      </c>
      <c r="DX27">
        <v>1</v>
      </c>
      <c r="EE27">
        <v>49303387</v>
      </c>
      <c r="EF27">
        <v>2</v>
      </c>
      <c r="EG27" t="s">
        <v>19</v>
      </c>
      <c r="EH27">
        <v>0</v>
      </c>
      <c r="EI27" t="s">
        <v>3</v>
      </c>
      <c r="EJ27">
        <v>1</v>
      </c>
      <c r="EK27">
        <v>15001</v>
      </c>
      <c r="EL27" t="s">
        <v>20</v>
      </c>
      <c r="EM27" t="s">
        <v>21</v>
      </c>
      <c r="EO27" t="s">
        <v>22</v>
      </c>
      <c r="EQ27">
        <v>0</v>
      </c>
      <c r="ER27">
        <v>9724.6299999999992</v>
      </c>
      <c r="ES27">
        <v>6881.71</v>
      </c>
      <c r="ET27">
        <v>48.1</v>
      </c>
      <c r="EU27">
        <v>16.829999999999998</v>
      </c>
      <c r="EV27">
        <v>2794.82</v>
      </c>
      <c r="EW27">
        <v>307.8</v>
      </c>
      <c r="EX27">
        <v>1.32</v>
      </c>
      <c r="EY27">
        <v>0</v>
      </c>
      <c r="FQ27">
        <v>0</v>
      </c>
      <c r="FR27">
        <f>ROUND(IF(AND(BH27=3,BI27=3),P27,0),2)</f>
        <v>0</v>
      </c>
      <c r="FS27">
        <v>0</v>
      </c>
      <c r="FT27" t="s">
        <v>23</v>
      </c>
      <c r="FU27" t="s">
        <v>24</v>
      </c>
      <c r="FV27" t="s">
        <v>24</v>
      </c>
      <c r="FW27" t="s">
        <v>25</v>
      </c>
      <c r="FX27">
        <v>94.5</v>
      </c>
      <c r="FY27">
        <v>46.75</v>
      </c>
      <c r="GA27" t="s">
        <v>3</v>
      </c>
      <c r="GD27">
        <v>0</v>
      </c>
      <c r="GF27">
        <v>-1095386999</v>
      </c>
      <c r="GG27">
        <v>2</v>
      </c>
      <c r="GH27">
        <v>1</v>
      </c>
      <c r="GI27">
        <v>2</v>
      </c>
      <c r="GJ27">
        <v>0</v>
      </c>
      <c r="GK27">
        <f>ROUND(R27*(S12)/100,2)</f>
        <v>0</v>
      </c>
      <c r="GL27">
        <f>ROUND(IF(AND(BH27=3,BI27=3,FS27&lt;&gt;0),P27,0),2)</f>
        <v>0</v>
      </c>
      <c r="GM27">
        <f>ROUND(O27+X27+Y27+GK27,2)+GX27</f>
        <v>8875.0400000000009</v>
      </c>
      <c r="GN27">
        <f>IF(OR(BI27=0,BI27=1),ROUND(O27+X27+Y27+GK27,2),0)</f>
        <v>8875.0400000000009</v>
      </c>
      <c r="GO27">
        <f>IF(BI27=2,ROUND(O27+X27+Y27+GK27,2),0)</f>
        <v>0</v>
      </c>
      <c r="GP27">
        <f>IF(BI27=4,ROUND(O27+X27+Y27+GK27,2)+GX27,0)</f>
        <v>0</v>
      </c>
      <c r="GR27">
        <v>0</v>
      </c>
      <c r="GS27">
        <v>3</v>
      </c>
      <c r="GT27">
        <v>0</v>
      </c>
      <c r="GU27" t="s">
        <v>3</v>
      </c>
      <c r="GV27">
        <f>ROUND(GT27,2)</f>
        <v>0</v>
      </c>
      <c r="GW27">
        <v>1</v>
      </c>
      <c r="GX27">
        <f>ROUND(GV27*GW27*I27,2)</f>
        <v>0</v>
      </c>
      <c r="HA27">
        <v>0</v>
      </c>
      <c r="HB27">
        <v>0</v>
      </c>
      <c r="IK27">
        <v>0</v>
      </c>
    </row>
    <row r="29" spans="1:255">
      <c r="A29" s="3">
        <v>51</v>
      </c>
      <c r="B29" s="3">
        <f>B20</f>
        <v>1</v>
      </c>
      <c r="C29" s="3">
        <f>A20</f>
        <v>3</v>
      </c>
      <c r="D29" s="3">
        <f>ROW(A20)</f>
        <v>20</v>
      </c>
      <c r="E29" s="3"/>
      <c r="F29" s="3" t="str">
        <f>IF(F20&lt;&gt;"",F20,"")</f>
        <v>Новая локальная смета</v>
      </c>
      <c r="G29" s="3" t="str">
        <f>IF(G20&lt;&gt;"",G20,"")</f>
        <v>Новая локальная смета</v>
      </c>
      <c r="H29" s="3">
        <v>0</v>
      </c>
      <c r="I29" s="3"/>
      <c r="J29" s="3"/>
      <c r="K29" s="3"/>
      <c r="L29" s="3"/>
      <c r="M29" s="3"/>
      <c r="N29" s="3"/>
      <c r="O29" s="3">
        <f t="shared" ref="O29:T29" si="16">ROUND(AB29,2)</f>
        <v>993.82</v>
      </c>
      <c r="P29" s="3">
        <f t="shared" si="16"/>
        <v>646.88</v>
      </c>
      <c r="Q29" s="3">
        <f t="shared" si="16"/>
        <v>5.66</v>
      </c>
      <c r="R29" s="3">
        <f t="shared" si="16"/>
        <v>1.98</v>
      </c>
      <c r="S29" s="3">
        <f t="shared" si="16"/>
        <v>341.28</v>
      </c>
      <c r="T29" s="3">
        <f t="shared" si="16"/>
        <v>0</v>
      </c>
      <c r="U29" s="3">
        <f>AH29</f>
        <v>37.586370000000002</v>
      </c>
      <c r="V29" s="3">
        <f>AI29</f>
        <v>0.15510000000000002</v>
      </c>
      <c r="W29" s="3">
        <f>ROUND(AJ29,2)</f>
        <v>0</v>
      </c>
      <c r="X29" s="3">
        <f>ROUND(AK29,2)</f>
        <v>326.10000000000002</v>
      </c>
      <c r="Y29" s="3">
        <f>ROUND(AL29,2)</f>
        <v>161.33000000000001</v>
      </c>
      <c r="Z29" s="3"/>
      <c r="AA29" s="3"/>
      <c r="AB29" s="3">
        <f>ROUND(SUMIF(AA24:AA27,"=55197979",O24:O27),2)</f>
        <v>993.82</v>
      </c>
      <c r="AC29" s="3">
        <f>ROUND(SUMIF(AA24:AA27,"=55197979",P24:P27),2)</f>
        <v>646.88</v>
      </c>
      <c r="AD29" s="3">
        <f>ROUND(SUMIF(AA24:AA27,"=55197979",Q24:Q27),2)</f>
        <v>5.66</v>
      </c>
      <c r="AE29" s="3">
        <f>ROUND(SUMIF(AA24:AA27,"=55197979",R24:R27),2)</f>
        <v>1.98</v>
      </c>
      <c r="AF29" s="3">
        <f>ROUND(SUMIF(AA24:AA27,"=55197979",S24:S27),2)</f>
        <v>341.28</v>
      </c>
      <c r="AG29" s="3">
        <f>ROUND(SUMIF(AA24:AA27,"=55197979",T24:T27),2)</f>
        <v>0</v>
      </c>
      <c r="AH29" s="3">
        <f>SUMIF(AA24:AA27,"=55197979",U24:U27)</f>
        <v>37.586370000000002</v>
      </c>
      <c r="AI29" s="3">
        <f>SUMIF(AA24:AA27,"=55197979",V24:V27)</f>
        <v>0.15510000000000002</v>
      </c>
      <c r="AJ29" s="3">
        <f>ROUND(SUMIF(AA24:AA27,"=55197979",W24:W27),2)</f>
        <v>0</v>
      </c>
      <c r="AK29" s="3">
        <f>ROUND(SUMIF(AA24:AA27,"=55197979",X24:X27),2)</f>
        <v>326.10000000000002</v>
      </c>
      <c r="AL29" s="3">
        <f>ROUND(SUMIF(AA24:AA27,"=55197979",Y24:Y27),2)</f>
        <v>161.33000000000001</v>
      </c>
      <c r="AM29" s="3"/>
      <c r="AN29" s="3"/>
      <c r="AO29" s="3">
        <f t="shared" ref="AO29:BC29" si="17">ROUND(BX29,2)</f>
        <v>0</v>
      </c>
      <c r="AP29" s="3">
        <f t="shared" si="17"/>
        <v>0</v>
      </c>
      <c r="AQ29" s="3">
        <f t="shared" si="17"/>
        <v>0</v>
      </c>
      <c r="AR29" s="3">
        <f t="shared" si="17"/>
        <v>1481.25</v>
      </c>
      <c r="AS29" s="3">
        <f t="shared" si="17"/>
        <v>1481.25</v>
      </c>
      <c r="AT29" s="3">
        <f t="shared" si="17"/>
        <v>0</v>
      </c>
      <c r="AU29" s="3">
        <f t="shared" si="17"/>
        <v>0</v>
      </c>
      <c r="AV29" s="3">
        <f t="shared" si="17"/>
        <v>646.88</v>
      </c>
      <c r="AW29" s="3">
        <f t="shared" si="17"/>
        <v>646.88</v>
      </c>
      <c r="AX29" s="3">
        <f t="shared" si="17"/>
        <v>0</v>
      </c>
      <c r="AY29" s="3">
        <f t="shared" si="17"/>
        <v>646.88</v>
      </c>
      <c r="AZ29" s="3">
        <f t="shared" si="17"/>
        <v>0</v>
      </c>
      <c r="BA29" s="3">
        <f t="shared" si="17"/>
        <v>0</v>
      </c>
      <c r="BB29" s="3">
        <f t="shared" si="17"/>
        <v>0</v>
      </c>
      <c r="BC29" s="3">
        <f t="shared" si="17"/>
        <v>0</v>
      </c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>
        <f>ROUND(SUMIF(AA24:AA27,"=55197979",FQ24:FQ27),2)</f>
        <v>0</v>
      </c>
      <c r="BY29" s="3">
        <f>ROUND(SUMIF(AA24:AA27,"=55197979",FR24:FR27),2)</f>
        <v>0</v>
      </c>
      <c r="BZ29" s="3">
        <f>ROUND(SUMIF(AA24:AA27,"=55197979",GL24:GL27),2)</f>
        <v>0</v>
      </c>
      <c r="CA29" s="3">
        <f>ROUND(SUMIF(AA24:AA27,"=55197979",GM24:GM27),2)</f>
        <v>1481.25</v>
      </c>
      <c r="CB29" s="3">
        <f>ROUND(SUMIF(AA24:AA27,"=55197979",GN24:GN27),2)</f>
        <v>1481.25</v>
      </c>
      <c r="CC29" s="3">
        <f>ROUND(SUMIF(AA24:AA27,"=55197979",GO24:GO27),2)</f>
        <v>0</v>
      </c>
      <c r="CD29" s="3">
        <f>ROUND(SUMIF(AA24:AA27,"=55197979",GP24:GP27),2)</f>
        <v>0</v>
      </c>
      <c r="CE29" s="3">
        <f>AC29-BX29</f>
        <v>646.88</v>
      </c>
      <c r="CF29" s="3">
        <f>AC29-BY29</f>
        <v>646.88</v>
      </c>
      <c r="CG29" s="3">
        <f>BX29-BZ29</f>
        <v>0</v>
      </c>
      <c r="CH29" s="3">
        <f>AC29-BX29-BY29+BZ29</f>
        <v>646.88</v>
      </c>
      <c r="CI29" s="3">
        <f>BY29-BZ29</f>
        <v>0</v>
      </c>
      <c r="CJ29" s="3">
        <f>ROUND(SUMIF(AA24:AA27,"=55197979",GX24:GX27),2)</f>
        <v>0</v>
      </c>
      <c r="CK29" s="3">
        <f>ROUND(SUMIF(AA24:AA27,"=55197979",GY24:GY27),2)</f>
        <v>0</v>
      </c>
      <c r="CL29" s="3">
        <f>ROUND(SUMIF(AA24:AA27,"=55197979",GZ24:GZ27),2)</f>
        <v>0</v>
      </c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4">
        <f t="shared" ref="DG29:DL29" si="18">ROUND(DT29,2)</f>
        <v>11958.91</v>
      </c>
      <c r="DH29" s="4">
        <f t="shared" si="18"/>
        <v>5666.68</v>
      </c>
      <c r="DI29" s="4">
        <f t="shared" si="18"/>
        <v>50.14</v>
      </c>
      <c r="DJ29" s="4">
        <f t="shared" si="18"/>
        <v>36.18</v>
      </c>
      <c r="DK29" s="4">
        <f t="shared" si="18"/>
        <v>6242.09</v>
      </c>
      <c r="DL29" s="4">
        <f t="shared" si="18"/>
        <v>0</v>
      </c>
      <c r="DM29" s="4">
        <f>DZ29</f>
        <v>37.586370000000002</v>
      </c>
      <c r="DN29" s="4">
        <f>EA29</f>
        <v>0.15510000000000002</v>
      </c>
      <c r="DO29" s="4">
        <f>ROUND(EB29,2)</f>
        <v>0</v>
      </c>
      <c r="DP29" s="4">
        <f>ROUND(EC29,2)</f>
        <v>5022.6099999999997</v>
      </c>
      <c r="DQ29" s="4">
        <f>ROUND(ED29,2)</f>
        <v>2322.96</v>
      </c>
      <c r="DR29" s="4"/>
      <c r="DS29" s="4"/>
      <c r="DT29" s="4">
        <f>ROUND(SUMIF(AA24:AA27,"=55197951",O24:O27),2)</f>
        <v>11958.91</v>
      </c>
      <c r="DU29" s="4">
        <f>ROUND(SUMIF(AA24:AA27,"=55197951",P24:P27),2)</f>
        <v>5666.68</v>
      </c>
      <c r="DV29" s="4">
        <f>ROUND(SUMIF(AA24:AA27,"=55197951",Q24:Q27),2)</f>
        <v>50.14</v>
      </c>
      <c r="DW29" s="4">
        <f>ROUND(SUMIF(AA24:AA27,"=55197951",R24:R27),2)</f>
        <v>36.18</v>
      </c>
      <c r="DX29" s="4">
        <f>ROUND(SUMIF(AA24:AA27,"=55197951",S24:S27),2)</f>
        <v>6242.09</v>
      </c>
      <c r="DY29" s="4">
        <f>ROUND(SUMIF(AA24:AA27,"=55197951",T24:T27),2)</f>
        <v>0</v>
      </c>
      <c r="DZ29" s="4">
        <f>SUMIF(AA24:AA27,"=55197951",U24:U27)</f>
        <v>37.586370000000002</v>
      </c>
      <c r="EA29" s="4">
        <f>SUMIF(AA24:AA27,"=55197951",V24:V27)</f>
        <v>0.15510000000000002</v>
      </c>
      <c r="EB29" s="4">
        <f>ROUND(SUMIF(AA24:AA27,"=55197951",W24:W27),2)</f>
        <v>0</v>
      </c>
      <c r="EC29" s="4">
        <f>ROUND(SUMIF(AA24:AA27,"=55197951",X24:X27),2)</f>
        <v>5022.6099999999997</v>
      </c>
      <c r="ED29" s="4">
        <f>ROUND(SUMIF(AA24:AA27,"=55197951",Y24:Y27),2)</f>
        <v>2322.96</v>
      </c>
      <c r="EE29" s="4"/>
      <c r="EF29" s="4"/>
      <c r="EG29" s="4">
        <f t="shared" ref="EG29:EU29" si="19">ROUND(FP29,2)</f>
        <v>0</v>
      </c>
      <c r="EH29" s="4">
        <f t="shared" si="19"/>
        <v>0</v>
      </c>
      <c r="EI29" s="4">
        <f t="shared" si="19"/>
        <v>0</v>
      </c>
      <c r="EJ29" s="4">
        <f t="shared" si="19"/>
        <v>19304.48</v>
      </c>
      <c r="EK29" s="4">
        <f t="shared" si="19"/>
        <v>19304.48</v>
      </c>
      <c r="EL29" s="4">
        <f t="shared" si="19"/>
        <v>0</v>
      </c>
      <c r="EM29" s="4">
        <f t="shared" si="19"/>
        <v>0</v>
      </c>
      <c r="EN29" s="4">
        <f t="shared" si="19"/>
        <v>5666.68</v>
      </c>
      <c r="EO29" s="4">
        <f t="shared" si="19"/>
        <v>5666.68</v>
      </c>
      <c r="EP29" s="4">
        <f t="shared" si="19"/>
        <v>0</v>
      </c>
      <c r="EQ29" s="4">
        <f t="shared" si="19"/>
        <v>5666.68</v>
      </c>
      <c r="ER29" s="4">
        <f t="shared" si="19"/>
        <v>0</v>
      </c>
      <c r="ES29" s="4">
        <f t="shared" si="19"/>
        <v>0</v>
      </c>
      <c r="ET29" s="4">
        <f t="shared" si="19"/>
        <v>0</v>
      </c>
      <c r="EU29" s="4">
        <f t="shared" si="19"/>
        <v>0</v>
      </c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>
        <f>ROUND(SUMIF(AA24:AA27,"=55197951",FQ24:FQ27),2)</f>
        <v>0</v>
      </c>
      <c r="FQ29" s="4">
        <f>ROUND(SUMIF(AA24:AA27,"=55197951",FR24:FR27),2)</f>
        <v>0</v>
      </c>
      <c r="FR29" s="4">
        <f>ROUND(SUMIF(AA24:AA27,"=55197951",GL24:GL27),2)</f>
        <v>0</v>
      </c>
      <c r="FS29" s="4">
        <f>ROUND(SUMIF(AA24:AA27,"=55197951",GM24:GM27),2)</f>
        <v>19304.48</v>
      </c>
      <c r="FT29" s="4">
        <f>ROUND(SUMIF(AA24:AA27,"=55197951",GN24:GN27),2)</f>
        <v>19304.48</v>
      </c>
      <c r="FU29" s="4">
        <f>ROUND(SUMIF(AA24:AA27,"=55197951",GO24:GO27),2)</f>
        <v>0</v>
      </c>
      <c r="FV29" s="4">
        <f>ROUND(SUMIF(AA24:AA27,"=55197951",GP24:GP27),2)</f>
        <v>0</v>
      </c>
      <c r="FW29" s="4">
        <f>DU29-FP29</f>
        <v>5666.68</v>
      </c>
      <c r="FX29" s="4">
        <f>DU29-FQ29</f>
        <v>5666.68</v>
      </c>
      <c r="FY29" s="4">
        <f>FP29-FR29</f>
        <v>0</v>
      </c>
      <c r="FZ29" s="4">
        <f>DU29-FP29-FQ29+FR29</f>
        <v>5666.68</v>
      </c>
      <c r="GA29" s="4">
        <f>FQ29-FR29</f>
        <v>0</v>
      </c>
      <c r="GB29" s="4">
        <f>ROUND(SUMIF(AA24:AA27,"=55197951",GX24:GX27),2)</f>
        <v>0</v>
      </c>
      <c r="GC29" s="4">
        <f>ROUND(SUMIF(AA24:AA27,"=55197951",GY24:GY27),2)</f>
        <v>0</v>
      </c>
      <c r="GD29" s="4">
        <f>ROUND(SUMIF(AA24:AA27,"=55197951",GZ24:GZ27),2)</f>
        <v>0</v>
      </c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>
        <v>0</v>
      </c>
    </row>
    <row r="31" spans="1:255">
      <c r="A31" s="5">
        <v>50</v>
      </c>
      <c r="B31" s="5">
        <v>1</v>
      </c>
      <c r="C31" s="5">
        <v>0</v>
      </c>
      <c r="D31" s="5">
        <v>1</v>
      </c>
      <c r="E31" s="5">
        <v>201</v>
      </c>
      <c r="F31" s="5">
        <f>ROUND(Source!O29,O31)</f>
        <v>993.82</v>
      </c>
      <c r="G31" s="5" t="s">
        <v>30</v>
      </c>
      <c r="H31" s="5" t="s">
        <v>31</v>
      </c>
      <c r="I31" s="5"/>
      <c r="J31" s="5"/>
      <c r="K31" s="5">
        <v>201</v>
      </c>
      <c r="L31" s="5">
        <v>1</v>
      </c>
      <c r="M31" s="5">
        <v>1</v>
      </c>
      <c r="N31" s="5" t="s">
        <v>3</v>
      </c>
      <c r="O31" s="5">
        <v>2</v>
      </c>
      <c r="P31" s="5">
        <f>ROUND(Source!DG29,O31)</f>
        <v>11958.91</v>
      </c>
      <c r="Q31" s="5"/>
      <c r="R31" s="5"/>
      <c r="S31" s="5"/>
      <c r="T31" s="5"/>
      <c r="U31" s="5"/>
      <c r="V31" s="5"/>
      <c r="W31" s="5"/>
    </row>
    <row r="32" spans="1:255">
      <c r="A32" s="5">
        <v>50</v>
      </c>
      <c r="B32" s="5">
        <v>1</v>
      </c>
      <c r="C32" s="5">
        <v>0</v>
      </c>
      <c r="D32" s="5">
        <v>1</v>
      </c>
      <c r="E32" s="5">
        <v>202</v>
      </c>
      <c r="F32" s="5">
        <f>ROUND(Source!P29,O32)</f>
        <v>646.88</v>
      </c>
      <c r="G32" s="5" t="s">
        <v>32</v>
      </c>
      <c r="H32" s="5" t="s">
        <v>33</v>
      </c>
      <c r="I32" s="5"/>
      <c r="J32" s="5"/>
      <c r="K32" s="5">
        <v>202</v>
      </c>
      <c r="L32" s="5">
        <v>2</v>
      </c>
      <c r="M32" s="5">
        <v>1</v>
      </c>
      <c r="N32" s="5" t="s">
        <v>3</v>
      </c>
      <c r="O32" s="5">
        <v>2</v>
      </c>
      <c r="P32" s="5">
        <f>ROUND(Source!DH29,O32)</f>
        <v>5666.68</v>
      </c>
      <c r="Q32" s="5"/>
      <c r="R32" s="5"/>
      <c r="S32" s="5"/>
      <c r="T32" s="5"/>
      <c r="U32" s="5"/>
      <c r="V32" s="5"/>
      <c r="W32" s="5"/>
    </row>
    <row r="33" spans="1:23">
      <c r="A33" s="5">
        <v>50</v>
      </c>
      <c r="B33" s="5">
        <v>0</v>
      </c>
      <c r="C33" s="5">
        <v>0</v>
      </c>
      <c r="D33" s="5">
        <v>1</v>
      </c>
      <c r="E33" s="5">
        <v>222</v>
      </c>
      <c r="F33" s="5">
        <f>ROUND(Source!AO29,O33)</f>
        <v>0</v>
      </c>
      <c r="G33" s="5" t="s">
        <v>34</v>
      </c>
      <c r="H33" s="5" t="s">
        <v>35</v>
      </c>
      <c r="I33" s="5"/>
      <c r="J33" s="5"/>
      <c r="K33" s="5">
        <v>222</v>
      </c>
      <c r="L33" s="5">
        <v>3</v>
      </c>
      <c r="M33" s="5">
        <v>3</v>
      </c>
      <c r="N33" s="5" t="s">
        <v>3</v>
      </c>
      <c r="O33" s="5">
        <v>2</v>
      </c>
      <c r="P33" s="5">
        <f>ROUND(Source!EG29,O33)</f>
        <v>0</v>
      </c>
      <c r="Q33" s="5"/>
      <c r="R33" s="5"/>
      <c r="S33" s="5"/>
      <c r="T33" s="5"/>
      <c r="U33" s="5"/>
      <c r="V33" s="5"/>
      <c r="W33" s="5"/>
    </row>
    <row r="34" spans="1:23">
      <c r="A34" s="5">
        <v>50</v>
      </c>
      <c r="B34" s="5">
        <v>0</v>
      </c>
      <c r="C34" s="5">
        <v>0</v>
      </c>
      <c r="D34" s="5">
        <v>1</v>
      </c>
      <c r="E34" s="5">
        <v>225</v>
      </c>
      <c r="F34" s="5">
        <f>ROUND(Source!AV29,O34)</f>
        <v>646.88</v>
      </c>
      <c r="G34" s="5" t="s">
        <v>36</v>
      </c>
      <c r="H34" s="5" t="s">
        <v>37</v>
      </c>
      <c r="I34" s="5"/>
      <c r="J34" s="5"/>
      <c r="K34" s="5">
        <v>225</v>
      </c>
      <c r="L34" s="5">
        <v>4</v>
      </c>
      <c r="M34" s="5">
        <v>3</v>
      </c>
      <c r="N34" s="5" t="s">
        <v>3</v>
      </c>
      <c r="O34" s="5">
        <v>2</v>
      </c>
      <c r="P34" s="5">
        <f>ROUND(Source!EN29,O34)</f>
        <v>5666.68</v>
      </c>
      <c r="Q34" s="5"/>
      <c r="R34" s="5"/>
      <c r="S34" s="5"/>
      <c r="T34" s="5"/>
      <c r="U34" s="5"/>
      <c r="V34" s="5"/>
      <c r="W34" s="5"/>
    </row>
    <row r="35" spans="1:23">
      <c r="A35" s="5">
        <v>50</v>
      </c>
      <c r="B35" s="5">
        <v>1</v>
      </c>
      <c r="C35" s="5">
        <v>0</v>
      </c>
      <c r="D35" s="5">
        <v>1</v>
      </c>
      <c r="E35" s="5">
        <v>226</v>
      </c>
      <c r="F35" s="5">
        <f>ROUND(Source!AW29,O35)</f>
        <v>646.88</v>
      </c>
      <c r="G35" s="5" t="s">
        <v>38</v>
      </c>
      <c r="H35" s="5" t="s">
        <v>39</v>
      </c>
      <c r="I35" s="5"/>
      <c r="J35" s="5"/>
      <c r="K35" s="5">
        <v>226</v>
      </c>
      <c r="L35" s="5">
        <v>5</v>
      </c>
      <c r="M35" s="5">
        <v>1</v>
      </c>
      <c r="N35" s="5" t="s">
        <v>40</v>
      </c>
      <c r="O35" s="5">
        <v>2</v>
      </c>
      <c r="P35" s="5">
        <f>ROUND(Source!EO29,O35)</f>
        <v>5666.68</v>
      </c>
      <c r="Q35" s="5"/>
      <c r="R35" s="5"/>
      <c r="S35" s="5"/>
      <c r="T35" s="5"/>
      <c r="U35" s="5"/>
      <c r="V35" s="5"/>
      <c r="W35" s="5"/>
    </row>
    <row r="36" spans="1:23">
      <c r="A36" s="5">
        <v>50</v>
      </c>
      <c r="B36" s="5">
        <v>0</v>
      </c>
      <c r="C36" s="5">
        <v>0</v>
      </c>
      <c r="D36" s="5">
        <v>1</v>
      </c>
      <c r="E36" s="5">
        <v>227</v>
      </c>
      <c r="F36" s="5">
        <f>ROUND(Source!AX29,O36)</f>
        <v>0</v>
      </c>
      <c r="G36" s="5" t="s">
        <v>41</v>
      </c>
      <c r="H36" s="5" t="s">
        <v>42</v>
      </c>
      <c r="I36" s="5"/>
      <c r="J36" s="5"/>
      <c r="K36" s="5">
        <v>227</v>
      </c>
      <c r="L36" s="5">
        <v>6</v>
      </c>
      <c r="M36" s="5">
        <v>3</v>
      </c>
      <c r="N36" s="5" t="s">
        <v>3</v>
      </c>
      <c r="O36" s="5">
        <v>2</v>
      </c>
      <c r="P36" s="5">
        <f>ROUND(Source!EP29,O36)</f>
        <v>0</v>
      </c>
      <c r="Q36" s="5"/>
      <c r="R36" s="5"/>
      <c r="S36" s="5"/>
      <c r="T36" s="5"/>
      <c r="U36" s="5"/>
      <c r="V36" s="5"/>
      <c r="W36" s="5"/>
    </row>
    <row r="37" spans="1:23">
      <c r="A37" s="5">
        <v>50</v>
      </c>
      <c r="B37" s="5">
        <v>0</v>
      </c>
      <c r="C37" s="5">
        <v>0</v>
      </c>
      <c r="D37" s="5">
        <v>1</v>
      </c>
      <c r="E37" s="5">
        <v>228</v>
      </c>
      <c r="F37" s="5">
        <f>ROUND(Source!AY29,O37)</f>
        <v>646.88</v>
      </c>
      <c r="G37" s="5" t="s">
        <v>43</v>
      </c>
      <c r="H37" s="5" t="s">
        <v>44</v>
      </c>
      <c r="I37" s="5"/>
      <c r="J37" s="5"/>
      <c r="K37" s="5">
        <v>228</v>
      </c>
      <c r="L37" s="5">
        <v>7</v>
      </c>
      <c r="M37" s="5">
        <v>3</v>
      </c>
      <c r="N37" s="5" t="s">
        <v>3</v>
      </c>
      <c r="O37" s="5">
        <v>2</v>
      </c>
      <c r="P37" s="5">
        <f>ROUND(Source!EQ29,O37)</f>
        <v>5666.68</v>
      </c>
      <c r="Q37" s="5"/>
      <c r="R37" s="5"/>
      <c r="S37" s="5"/>
      <c r="T37" s="5"/>
      <c r="U37" s="5"/>
      <c r="V37" s="5"/>
      <c r="W37" s="5"/>
    </row>
    <row r="38" spans="1:23">
      <c r="A38" s="5">
        <v>50</v>
      </c>
      <c r="B38" s="5">
        <v>0</v>
      </c>
      <c r="C38" s="5">
        <v>0</v>
      </c>
      <c r="D38" s="5">
        <v>1</v>
      </c>
      <c r="E38" s="5">
        <v>216</v>
      </c>
      <c r="F38" s="5">
        <f>ROUND(Source!AP29,O38)</f>
        <v>0</v>
      </c>
      <c r="G38" s="5" t="s">
        <v>45</v>
      </c>
      <c r="H38" s="5" t="s">
        <v>46</v>
      </c>
      <c r="I38" s="5"/>
      <c r="J38" s="5"/>
      <c r="K38" s="5">
        <v>216</v>
      </c>
      <c r="L38" s="5">
        <v>8</v>
      </c>
      <c r="M38" s="5">
        <v>1</v>
      </c>
      <c r="N38" s="5" t="s">
        <v>3</v>
      </c>
      <c r="O38" s="5">
        <v>2</v>
      </c>
      <c r="P38" s="5">
        <f>ROUND(Source!EH29,O38)</f>
        <v>0</v>
      </c>
      <c r="Q38" s="5"/>
      <c r="R38" s="5"/>
      <c r="S38" s="5"/>
      <c r="T38" s="5"/>
      <c r="U38" s="5"/>
      <c r="V38" s="5"/>
      <c r="W38" s="5"/>
    </row>
    <row r="39" spans="1:23">
      <c r="A39" s="5">
        <v>50</v>
      </c>
      <c r="B39" s="5">
        <v>0</v>
      </c>
      <c r="C39" s="5">
        <v>0</v>
      </c>
      <c r="D39" s="5">
        <v>1</v>
      </c>
      <c r="E39" s="5">
        <v>223</v>
      </c>
      <c r="F39" s="5">
        <f>ROUND(Source!AQ29,O39)</f>
        <v>0</v>
      </c>
      <c r="G39" s="5" t="s">
        <v>47</v>
      </c>
      <c r="H39" s="5" t="s">
        <v>48</v>
      </c>
      <c r="I39" s="5"/>
      <c r="J39" s="5"/>
      <c r="K39" s="5">
        <v>223</v>
      </c>
      <c r="L39" s="5">
        <v>9</v>
      </c>
      <c r="M39" s="5">
        <v>3</v>
      </c>
      <c r="N39" s="5" t="s">
        <v>3</v>
      </c>
      <c r="O39" s="5">
        <v>2</v>
      </c>
      <c r="P39" s="5">
        <f>ROUND(Source!EI29,O39)</f>
        <v>0</v>
      </c>
      <c r="Q39" s="5"/>
      <c r="R39" s="5"/>
      <c r="S39" s="5"/>
      <c r="T39" s="5"/>
      <c r="U39" s="5"/>
      <c r="V39" s="5"/>
      <c r="W39" s="5"/>
    </row>
    <row r="40" spans="1:23">
      <c r="A40" s="5">
        <v>50</v>
      </c>
      <c r="B40" s="5">
        <v>0</v>
      </c>
      <c r="C40" s="5">
        <v>0</v>
      </c>
      <c r="D40" s="5">
        <v>1</v>
      </c>
      <c r="E40" s="5">
        <v>229</v>
      </c>
      <c r="F40" s="5">
        <f>ROUND(Source!AZ29,O40)</f>
        <v>0</v>
      </c>
      <c r="G40" s="5" t="s">
        <v>49</v>
      </c>
      <c r="H40" s="5" t="s">
        <v>50</v>
      </c>
      <c r="I40" s="5"/>
      <c r="J40" s="5"/>
      <c r="K40" s="5">
        <v>229</v>
      </c>
      <c r="L40" s="5">
        <v>10</v>
      </c>
      <c r="M40" s="5">
        <v>3</v>
      </c>
      <c r="N40" s="5" t="s">
        <v>3</v>
      </c>
      <c r="O40" s="5">
        <v>2</v>
      </c>
      <c r="P40" s="5">
        <f>ROUND(Source!ER29,O40)</f>
        <v>0</v>
      </c>
      <c r="Q40" s="5"/>
      <c r="R40" s="5"/>
      <c r="S40" s="5"/>
      <c r="T40" s="5"/>
      <c r="U40" s="5"/>
      <c r="V40" s="5"/>
      <c r="W40" s="5"/>
    </row>
    <row r="41" spans="1:23">
      <c r="A41" s="5">
        <v>50</v>
      </c>
      <c r="B41" s="5">
        <v>1</v>
      </c>
      <c r="C41" s="5">
        <v>0</v>
      </c>
      <c r="D41" s="5">
        <v>1</v>
      </c>
      <c r="E41" s="5">
        <v>203</v>
      </c>
      <c r="F41" s="5">
        <f>ROUND(Source!Q29,O41)</f>
        <v>5.66</v>
      </c>
      <c r="G41" s="5" t="s">
        <v>51</v>
      </c>
      <c r="H41" s="5" t="s">
        <v>52</v>
      </c>
      <c r="I41" s="5"/>
      <c r="J41" s="5"/>
      <c r="K41" s="5">
        <v>203</v>
      </c>
      <c r="L41" s="5">
        <v>11</v>
      </c>
      <c r="M41" s="5">
        <v>1</v>
      </c>
      <c r="N41" s="5" t="s">
        <v>3</v>
      </c>
      <c r="O41" s="5">
        <v>2</v>
      </c>
      <c r="P41" s="5">
        <f>ROUND(Source!DI29,O41)</f>
        <v>50.14</v>
      </c>
      <c r="Q41" s="5"/>
      <c r="R41" s="5"/>
      <c r="S41" s="5"/>
      <c r="T41" s="5"/>
      <c r="U41" s="5"/>
      <c r="V41" s="5"/>
      <c r="W41" s="5"/>
    </row>
    <row r="42" spans="1:23">
      <c r="A42" s="5">
        <v>50</v>
      </c>
      <c r="B42" s="5">
        <v>0</v>
      </c>
      <c r="C42" s="5">
        <v>0</v>
      </c>
      <c r="D42" s="5">
        <v>1</v>
      </c>
      <c r="E42" s="5">
        <v>231</v>
      </c>
      <c r="F42" s="5">
        <f>ROUND(Source!BB29,O42)</f>
        <v>0</v>
      </c>
      <c r="G42" s="5" t="s">
        <v>53</v>
      </c>
      <c r="H42" s="5" t="s">
        <v>54</v>
      </c>
      <c r="I42" s="5"/>
      <c r="J42" s="5"/>
      <c r="K42" s="5">
        <v>231</v>
      </c>
      <c r="L42" s="5">
        <v>12</v>
      </c>
      <c r="M42" s="5">
        <v>3</v>
      </c>
      <c r="N42" s="5" t="s">
        <v>3</v>
      </c>
      <c r="O42" s="5">
        <v>2</v>
      </c>
      <c r="P42" s="5">
        <f>ROUND(Source!ET29,O42)</f>
        <v>0</v>
      </c>
      <c r="Q42" s="5"/>
      <c r="R42" s="5"/>
      <c r="S42" s="5"/>
      <c r="T42" s="5"/>
      <c r="U42" s="5"/>
      <c r="V42" s="5"/>
      <c r="W42" s="5"/>
    </row>
    <row r="43" spans="1:23">
      <c r="A43" s="5">
        <v>50</v>
      </c>
      <c r="B43" s="5">
        <v>1</v>
      </c>
      <c r="C43" s="5">
        <v>0</v>
      </c>
      <c r="D43" s="5">
        <v>1</v>
      </c>
      <c r="E43" s="5">
        <v>204</v>
      </c>
      <c r="F43" s="5">
        <f>ROUND(Source!R29,O43)</f>
        <v>1.98</v>
      </c>
      <c r="G43" s="5" t="s">
        <v>55</v>
      </c>
      <c r="H43" s="5" t="s">
        <v>56</v>
      </c>
      <c r="I43" s="5"/>
      <c r="J43" s="5"/>
      <c r="K43" s="5">
        <v>204</v>
      </c>
      <c r="L43" s="5">
        <v>13</v>
      </c>
      <c r="M43" s="5">
        <v>1</v>
      </c>
      <c r="N43" s="5" t="s">
        <v>3</v>
      </c>
      <c r="O43" s="5">
        <v>2</v>
      </c>
      <c r="P43" s="5">
        <f>ROUND(Source!DJ29,O43)</f>
        <v>36.18</v>
      </c>
      <c r="Q43" s="5"/>
      <c r="R43" s="5"/>
      <c r="S43" s="5"/>
      <c r="T43" s="5"/>
      <c r="U43" s="5"/>
      <c r="V43" s="5"/>
      <c r="W43" s="5"/>
    </row>
    <row r="44" spans="1:23">
      <c r="A44" s="5">
        <v>50</v>
      </c>
      <c r="B44" s="5">
        <v>1</v>
      </c>
      <c r="C44" s="5">
        <v>0</v>
      </c>
      <c r="D44" s="5">
        <v>1</v>
      </c>
      <c r="E44" s="5">
        <v>205</v>
      </c>
      <c r="F44" s="5">
        <f>ROUND(Source!S29,O44)</f>
        <v>341.28</v>
      </c>
      <c r="G44" s="5" t="s">
        <v>57</v>
      </c>
      <c r="H44" s="5" t="s">
        <v>58</v>
      </c>
      <c r="I44" s="5"/>
      <c r="J44" s="5"/>
      <c r="K44" s="5">
        <v>205</v>
      </c>
      <c r="L44" s="5">
        <v>14</v>
      </c>
      <c r="M44" s="5">
        <v>1</v>
      </c>
      <c r="N44" s="5" t="s">
        <v>3</v>
      </c>
      <c r="O44" s="5">
        <v>2</v>
      </c>
      <c r="P44" s="5">
        <f>ROUND(Source!DK29,O44)</f>
        <v>6242.09</v>
      </c>
      <c r="Q44" s="5"/>
      <c r="R44" s="5"/>
      <c r="S44" s="5"/>
      <c r="T44" s="5"/>
      <c r="U44" s="5"/>
      <c r="V44" s="5"/>
      <c r="W44" s="5"/>
    </row>
    <row r="45" spans="1:23">
      <c r="A45" s="5">
        <v>50</v>
      </c>
      <c r="B45" s="5">
        <v>0</v>
      </c>
      <c r="C45" s="5">
        <v>0</v>
      </c>
      <c r="D45" s="5">
        <v>1</v>
      </c>
      <c r="E45" s="5">
        <v>232</v>
      </c>
      <c r="F45" s="5">
        <f>ROUND(Source!BC29,O45)</f>
        <v>0</v>
      </c>
      <c r="G45" s="5" t="s">
        <v>59</v>
      </c>
      <c r="H45" s="5" t="s">
        <v>60</v>
      </c>
      <c r="I45" s="5"/>
      <c r="J45" s="5"/>
      <c r="K45" s="5">
        <v>232</v>
      </c>
      <c r="L45" s="5">
        <v>15</v>
      </c>
      <c r="M45" s="5">
        <v>3</v>
      </c>
      <c r="N45" s="5" t="s">
        <v>3</v>
      </c>
      <c r="O45" s="5">
        <v>2</v>
      </c>
      <c r="P45" s="5">
        <f>ROUND(Source!EU29,O45)</f>
        <v>0</v>
      </c>
      <c r="Q45" s="5"/>
      <c r="R45" s="5"/>
      <c r="S45" s="5"/>
      <c r="T45" s="5"/>
      <c r="U45" s="5"/>
      <c r="V45" s="5"/>
      <c r="W45" s="5"/>
    </row>
    <row r="46" spans="1:23">
      <c r="A46" s="5">
        <v>50</v>
      </c>
      <c r="B46" s="5">
        <v>1</v>
      </c>
      <c r="C46" s="5">
        <v>0</v>
      </c>
      <c r="D46" s="5">
        <v>1</v>
      </c>
      <c r="E46" s="5">
        <v>214</v>
      </c>
      <c r="F46" s="5">
        <f>ROUND(Source!AS29,O46)</f>
        <v>1481.25</v>
      </c>
      <c r="G46" s="5" t="s">
        <v>61</v>
      </c>
      <c r="H46" s="5" t="s">
        <v>62</v>
      </c>
      <c r="I46" s="5"/>
      <c r="J46" s="5"/>
      <c r="K46" s="5">
        <v>214</v>
      </c>
      <c r="L46" s="5">
        <v>16</v>
      </c>
      <c r="M46" s="5">
        <v>1</v>
      </c>
      <c r="N46" s="5" t="s">
        <v>3</v>
      </c>
      <c r="O46" s="5">
        <v>2</v>
      </c>
      <c r="P46" s="5">
        <f>ROUND(Source!EK29,O46)</f>
        <v>19304.48</v>
      </c>
      <c r="Q46" s="5"/>
      <c r="R46" s="5"/>
      <c r="S46" s="5"/>
      <c r="T46" s="5"/>
      <c r="U46" s="5"/>
      <c r="V46" s="5"/>
      <c r="W46" s="5"/>
    </row>
    <row r="47" spans="1:23">
      <c r="A47" s="5">
        <v>50</v>
      </c>
      <c r="B47" s="5">
        <v>0</v>
      </c>
      <c r="C47" s="5">
        <v>0</v>
      </c>
      <c r="D47" s="5">
        <v>1</v>
      </c>
      <c r="E47" s="5">
        <v>215</v>
      </c>
      <c r="F47" s="5">
        <f>ROUND(Source!AT29,O47)</f>
        <v>0</v>
      </c>
      <c r="G47" s="5" t="s">
        <v>63</v>
      </c>
      <c r="H47" s="5" t="s">
        <v>64</v>
      </c>
      <c r="I47" s="5"/>
      <c r="J47" s="5"/>
      <c r="K47" s="5">
        <v>215</v>
      </c>
      <c r="L47" s="5">
        <v>17</v>
      </c>
      <c r="M47" s="5">
        <v>1</v>
      </c>
      <c r="N47" s="5" t="s">
        <v>3</v>
      </c>
      <c r="O47" s="5">
        <v>2</v>
      </c>
      <c r="P47" s="5">
        <f>ROUND(Source!EL29,O47)</f>
        <v>0</v>
      </c>
      <c r="Q47" s="5"/>
      <c r="R47" s="5"/>
      <c r="S47" s="5"/>
      <c r="T47" s="5"/>
      <c r="U47" s="5"/>
      <c r="V47" s="5"/>
      <c r="W47" s="5"/>
    </row>
    <row r="48" spans="1:23">
      <c r="A48" s="5">
        <v>50</v>
      </c>
      <c r="B48" s="5">
        <v>0</v>
      </c>
      <c r="C48" s="5">
        <v>0</v>
      </c>
      <c r="D48" s="5">
        <v>1</v>
      </c>
      <c r="E48" s="5">
        <v>217</v>
      </c>
      <c r="F48" s="5">
        <f>ROUND(Source!AU29,O48)</f>
        <v>0</v>
      </c>
      <c r="G48" s="5" t="s">
        <v>65</v>
      </c>
      <c r="H48" s="5" t="s">
        <v>66</v>
      </c>
      <c r="I48" s="5"/>
      <c r="J48" s="5"/>
      <c r="K48" s="5">
        <v>217</v>
      </c>
      <c r="L48" s="5">
        <v>18</v>
      </c>
      <c r="M48" s="5">
        <v>1</v>
      </c>
      <c r="N48" s="5" t="s">
        <v>3</v>
      </c>
      <c r="O48" s="5">
        <v>2</v>
      </c>
      <c r="P48" s="5">
        <f>ROUND(Source!EM29,O48)</f>
        <v>0</v>
      </c>
      <c r="Q48" s="5"/>
      <c r="R48" s="5"/>
      <c r="S48" s="5"/>
      <c r="T48" s="5"/>
      <c r="U48" s="5"/>
      <c r="V48" s="5"/>
      <c r="W48" s="5"/>
    </row>
    <row r="49" spans="1:206">
      <c r="A49" s="5">
        <v>50</v>
      </c>
      <c r="B49" s="5">
        <v>0</v>
      </c>
      <c r="C49" s="5">
        <v>0</v>
      </c>
      <c r="D49" s="5">
        <v>1</v>
      </c>
      <c r="E49" s="5">
        <v>230</v>
      </c>
      <c r="F49" s="5">
        <f>ROUND(Source!BA29,O49)</f>
        <v>0</v>
      </c>
      <c r="G49" s="5" t="s">
        <v>67</v>
      </c>
      <c r="H49" s="5" t="s">
        <v>68</v>
      </c>
      <c r="I49" s="5"/>
      <c r="J49" s="5"/>
      <c r="K49" s="5">
        <v>230</v>
      </c>
      <c r="L49" s="5">
        <v>19</v>
      </c>
      <c r="M49" s="5">
        <v>3</v>
      </c>
      <c r="N49" s="5" t="s">
        <v>3</v>
      </c>
      <c r="O49" s="5">
        <v>2</v>
      </c>
      <c r="P49" s="5">
        <f>ROUND(Source!ES29,O49)</f>
        <v>0</v>
      </c>
      <c r="Q49" s="5"/>
      <c r="R49" s="5"/>
      <c r="S49" s="5"/>
      <c r="T49" s="5"/>
      <c r="U49" s="5"/>
      <c r="V49" s="5"/>
      <c r="W49" s="5"/>
    </row>
    <row r="50" spans="1:206">
      <c r="A50" s="5">
        <v>50</v>
      </c>
      <c r="B50" s="5">
        <v>0</v>
      </c>
      <c r="C50" s="5">
        <v>0</v>
      </c>
      <c r="D50" s="5">
        <v>1</v>
      </c>
      <c r="E50" s="5">
        <v>206</v>
      </c>
      <c r="F50" s="5">
        <f>ROUND(Source!T29,O50)</f>
        <v>0</v>
      </c>
      <c r="G50" s="5" t="s">
        <v>69</v>
      </c>
      <c r="H50" s="5" t="s">
        <v>70</v>
      </c>
      <c r="I50" s="5"/>
      <c r="J50" s="5"/>
      <c r="K50" s="5">
        <v>206</v>
      </c>
      <c r="L50" s="5">
        <v>20</v>
      </c>
      <c r="M50" s="5">
        <v>1</v>
      </c>
      <c r="N50" s="5" t="s">
        <v>3</v>
      </c>
      <c r="O50" s="5">
        <v>2</v>
      </c>
      <c r="P50" s="5">
        <f>ROUND(Source!DL29,O50)</f>
        <v>0</v>
      </c>
      <c r="Q50" s="5"/>
      <c r="R50" s="5"/>
      <c r="S50" s="5"/>
      <c r="T50" s="5"/>
      <c r="U50" s="5"/>
      <c r="V50" s="5"/>
      <c r="W50" s="5"/>
    </row>
    <row r="51" spans="1:206">
      <c r="A51" s="5">
        <v>50</v>
      </c>
      <c r="B51" s="5">
        <v>1</v>
      </c>
      <c r="C51" s="5">
        <v>0</v>
      </c>
      <c r="D51" s="5">
        <v>1</v>
      </c>
      <c r="E51" s="5">
        <v>207</v>
      </c>
      <c r="F51" s="5">
        <f>Source!U29</f>
        <v>37.586370000000002</v>
      </c>
      <c r="G51" s="5" t="s">
        <v>71</v>
      </c>
      <c r="H51" s="5" t="s">
        <v>72</v>
      </c>
      <c r="I51" s="5"/>
      <c r="J51" s="5"/>
      <c r="K51" s="5">
        <v>207</v>
      </c>
      <c r="L51" s="5">
        <v>21</v>
      </c>
      <c r="M51" s="5">
        <v>1</v>
      </c>
      <c r="N51" s="5" t="s">
        <v>3</v>
      </c>
      <c r="O51" s="5">
        <v>-1</v>
      </c>
      <c r="P51" s="5">
        <f>Source!DM29</f>
        <v>37.586370000000002</v>
      </c>
      <c r="Q51" s="5"/>
      <c r="R51" s="5"/>
      <c r="S51" s="5"/>
      <c r="T51" s="5"/>
      <c r="U51" s="5"/>
      <c r="V51" s="5"/>
      <c r="W51" s="5"/>
    </row>
    <row r="52" spans="1:206">
      <c r="A52" s="5">
        <v>50</v>
      </c>
      <c r="B52" s="5">
        <v>1</v>
      </c>
      <c r="C52" s="5">
        <v>0</v>
      </c>
      <c r="D52" s="5">
        <v>1</v>
      </c>
      <c r="E52" s="5">
        <v>208</v>
      </c>
      <c r="F52" s="5">
        <f>Source!V29</f>
        <v>0.15510000000000002</v>
      </c>
      <c r="G52" s="5" t="s">
        <v>73</v>
      </c>
      <c r="H52" s="5" t="s">
        <v>74</v>
      </c>
      <c r="I52" s="5"/>
      <c r="J52" s="5"/>
      <c r="K52" s="5">
        <v>208</v>
      </c>
      <c r="L52" s="5">
        <v>22</v>
      </c>
      <c r="M52" s="5">
        <v>1</v>
      </c>
      <c r="N52" s="5" t="s">
        <v>3</v>
      </c>
      <c r="O52" s="5">
        <v>-1</v>
      </c>
      <c r="P52" s="5">
        <f>Source!DN29</f>
        <v>0.15510000000000002</v>
      </c>
      <c r="Q52" s="5"/>
      <c r="R52" s="5"/>
      <c r="S52" s="5"/>
      <c r="T52" s="5"/>
      <c r="U52" s="5"/>
      <c r="V52" s="5"/>
      <c r="W52" s="5"/>
    </row>
    <row r="53" spans="1:206">
      <c r="A53" s="5">
        <v>50</v>
      </c>
      <c r="B53" s="5">
        <v>0</v>
      </c>
      <c r="C53" s="5">
        <v>0</v>
      </c>
      <c r="D53" s="5">
        <v>1</v>
      </c>
      <c r="E53" s="5">
        <v>209</v>
      </c>
      <c r="F53" s="5">
        <f>ROUND(Source!W29,O53)</f>
        <v>0</v>
      </c>
      <c r="G53" s="5" t="s">
        <v>75</v>
      </c>
      <c r="H53" s="5" t="s">
        <v>76</v>
      </c>
      <c r="I53" s="5"/>
      <c r="J53" s="5"/>
      <c r="K53" s="5">
        <v>209</v>
      </c>
      <c r="L53" s="5">
        <v>23</v>
      </c>
      <c r="M53" s="5">
        <v>1</v>
      </c>
      <c r="N53" s="5" t="s">
        <v>3</v>
      </c>
      <c r="O53" s="5">
        <v>2</v>
      </c>
      <c r="P53" s="5">
        <f>ROUND(Source!DO29,O53)</f>
        <v>0</v>
      </c>
      <c r="Q53" s="5"/>
      <c r="R53" s="5"/>
      <c r="S53" s="5"/>
      <c r="T53" s="5"/>
      <c r="U53" s="5"/>
      <c r="V53" s="5"/>
      <c r="W53" s="5"/>
    </row>
    <row r="54" spans="1:206">
      <c r="A54" s="5">
        <v>50</v>
      </c>
      <c r="B54" s="5">
        <v>1</v>
      </c>
      <c r="C54" s="5">
        <v>0</v>
      </c>
      <c r="D54" s="5">
        <v>1</v>
      </c>
      <c r="E54" s="5">
        <v>210</v>
      </c>
      <c r="F54" s="5">
        <f>ROUND(Source!X29,O54)</f>
        <v>326.10000000000002</v>
      </c>
      <c r="G54" s="5" t="s">
        <v>77</v>
      </c>
      <c r="H54" s="5" t="s">
        <v>78</v>
      </c>
      <c r="I54" s="5"/>
      <c r="J54" s="5"/>
      <c r="K54" s="5">
        <v>210</v>
      </c>
      <c r="L54" s="5">
        <v>24</v>
      </c>
      <c r="M54" s="5">
        <v>1</v>
      </c>
      <c r="N54" s="5" t="s">
        <v>3</v>
      </c>
      <c r="O54" s="5">
        <v>2</v>
      </c>
      <c r="P54" s="5">
        <f>ROUND(Source!DP29,O54)</f>
        <v>5022.6099999999997</v>
      </c>
      <c r="Q54" s="5"/>
      <c r="R54" s="5"/>
      <c r="S54" s="5"/>
      <c r="T54" s="5"/>
      <c r="U54" s="5"/>
      <c r="V54" s="5"/>
      <c r="W54" s="5"/>
    </row>
    <row r="55" spans="1:206">
      <c r="A55" s="5">
        <v>50</v>
      </c>
      <c r="B55" s="5">
        <v>1</v>
      </c>
      <c r="C55" s="5">
        <v>0</v>
      </c>
      <c r="D55" s="5">
        <v>1</v>
      </c>
      <c r="E55" s="5">
        <v>211</v>
      </c>
      <c r="F55" s="5">
        <f>ROUND(Source!Y29,O55)</f>
        <v>161.33000000000001</v>
      </c>
      <c r="G55" s="5" t="s">
        <v>79</v>
      </c>
      <c r="H55" s="5" t="s">
        <v>80</v>
      </c>
      <c r="I55" s="5"/>
      <c r="J55" s="5"/>
      <c r="K55" s="5">
        <v>211</v>
      </c>
      <c r="L55" s="5">
        <v>25</v>
      </c>
      <c r="M55" s="5">
        <v>1</v>
      </c>
      <c r="N55" s="5" t="s">
        <v>3</v>
      </c>
      <c r="O55" s="5">
        <v>2</v>
      </c>
      <c r="P55" s="5">
        <f>ROUND(Source!DQ29,O55)</f>
        <v>2322.96</v>
      </c>
      <c r="Q55" s="5"/>
      <c r="R55" s="5"/>
      <c r="S55" s="5"/>
      <c r="T55" s="5"/>
      <c r="U55" s="5"/>
      <c r="V55" s="5"/>
      <c r="W55" s="5"/>
    </row>
    <row r="56" spans="1:206">
      <c r="A56" s="5">
        <v>50</v>
      </c>
      <c r="B56" s="5">
        <v>1</v>
      </c>
      <c r="C56" s="5">
        <v>0</v>
      </c>
      <c r="D56" s="5">
        <v>1</v>
      </c>
      <c r="E56" s="5">
        <v>224</v>
      </c>
      <c r="F56" s="5">
        <f>ROUND(Source!AR29,O56)</f>
        <v>1481.25</v>
      </c>
      <c r="G56" s="5" t="s">
        <v>81</v>
      </c>
      <c r="H56" s="5" t="s">
        <v>82</v>
      </c>
      <c r="I56" s="5"/>
      <c r="J56" s="5"/>
      <c r="K56" s="5">
        <v>224</v>
      </c>
      <c r="L56" s="5">
        <v>26</v>
      </c>
      <c r="M56" s="5">
        <v>1</v>
      </c>
      <c r="N56" s="5" t="s">
        <v>3</v>
      </c>
      <c r="O56" s="5">
        <v>2</v>
      </c>
      <c r="P56" s="5">
        <f>ROUND(Source!EJ29,O56)</f>
        <v>19304.48</v>
      </c>
      <c r="Q56" s="5"/>
      <c r="R56" s="5"/>
      <c r="S56" s="5"/>
      <c r="T56" s="5"/>
      <c r="U56" s="5"/>
      <c r="V56" s="5"/>
      <c r="W56" s="5"/>
    </row>
    <row r="58" spans="1:206">
      <c r="A58" s="3">
        <v>51</v>
      </c>
      <c r="B58" s="3">
        <f>B12</f>
        <v>115</v>
      </c>
      <c r="C58" s="3">
        <f>A12</f>
        <v>1</v>
      </c>
      <c r="D58" s="3">
        <f>ROW(A12)</f>
        <v>12</v>
      </c>
      <c r="E58" s="3"/>
      <c r="F58" s="3" t="str">
        <f>IF(F12&lt;&gt;"",F12,"")</f>
        <v>Новый объект</v>
      </c>
      <c r="G58" s="3" t="str">
        <f>IF(G12&lt;&gt;"",G12,"")</f>
        <v>Новый объект</v>
      </c>
      <c r="H58" s="3">
        <v>0</v>
      </c>
      <c r="I58" s="3"/>
      <c r="J58" s="3"/>
      <c r="K58" s="3"/>
      <c r="L58" s="3"/>
      <c r="M58" s="3"/>
      <c r="N58" s="3"/>
      <c r="O58" s="3">
        <f t="shared" ref="O58:T58" si="20">ROUND(O29,2)</f>
        <v>993.82</v>
      </c>
      <c r="P58" s="3">
        <f t="shared" si="20"/>
        <v>646.88</v>
      </c>
      <c r="Q58" s="3">
        <f t="shared" si="20"/>
        <v>5.66</v>
      </c>
      <c r="R58" s="3">
        <f t="shared" si="20"/>
        <v>1.98</v>
      </c>
      <c r="S58" s="3">
        <f t="shared" si="20"/>
        <v>341.28</v>
      </c>
      <c r="T58" s="3">
        <f t="shared" si="20"/>
        <v>0</v>
      </c>
      <c r="U58" s="3">
        <f>U29</f>
        <v>37.586370000000002</v>
      </c>
      <c r="V58" s="3">
        <f>V29</f>
        <v>0.15510000000000002</v>
      </c>
      <c r="W58" s="3">
        <f>ROUND(W29,2)</f>
        <v>0</v>
      </c>
      <c r="X58" s="3">
        <f>ROUND(X29,2)</f>
        <v>326.10000000000002</v>
      </c>
      <c r="Y58" s="3">
        <f>ROUND(Y29,2)</f>
        <v>161.33000000000001</v>
      </c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>
        <f t="shared" ref="AO58:BC58" si="21">ROUND(AO29,2)</f>
        <v>0</v>
      </c>
      <c r="AP58" s="3">
        <f t="shared" si="21"/>
        <v>0</v>
      </c>
      <c r="AQ58" s="3">
        <f t="shared" si="21"/>
        <v>0</v>
      </c>
      <c r="AR58" s="3">
        <f t="shared" si="21"/>
        <v>1481.25</v>
      </c>
      <c r="AS58" s="3">
        <f t="shared" si="21"/>
        <v>1481.25</v>
      </c>
      <c r="AT58" s="3">
        <f t="shared" si="21"/>
        <v>0</v>
      </c>
      <c r="AU58" s="3">
        <f t="shared" si="21"/>
        <v>0</v>
      </c>
      <c r="AV58" s="3">
        <f t="shared" si="21"/>
        <v>646.88</v>
      </c>
      <c r="AW58" s="3">
        <f t="shared" si="21"/>
        <v>646.88</v>
      </c>
      <c r="AX58" s="3">
        <f t="shared" si="21"/>
        <v>0</v>
      </c>
      <c r="AY58" s="3">
        <f t="shared" si="21"/>
        <v>646.88</v>
      </c>
      <c r="AZ58" s="3">
        <f t="shared" si="21"/>
        <v>0</v>
      </c>
      <c r="BA58" s="3">
        <f t="shared" si="21"/>
        <v>0</v>
      </c>
      <c r="BB58" s="3">
        <f t="shared" si="21"/>
        <v>0</v>
      </c>
      <c r="BC58" s="3">
        <f t="shared" si="21"/>
        <v>0</v>
      </c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4">
        <f t="shared" ref="DG58:DL58" si="22">ROUND(DG29,2)</f>
        <v>11958.91</v>
      </c>
      <c r="DH58" s="4">
        <f t="shared" si="22"/>
        <v>5666.68</v>
      </c>
      <c r="DI58" s="4">
        <f t="shared" si="22"/>
        <v>50.14</v>
      </c>
      <c r="DJ58" s="4">
        <f t="shared" si="22"/>
        <v>36.18</v>
      </c>
      <c r="DK58" s="4">
        <f t="shared" si="22"/>
        <v>6242.09</v>
      </c>
      <c r="DL58" s="4">
        <f t="shared" si="22"/>
        <v>0</v>
      </c>
      <c r="DM58" s="4">
        <f>DM29</f>
        <v>37.586370000000002</v>
      </c>
      <c r="DN58" s="4">
        <f>DN29</f>
        <v>0.15510000000000002</v>
      </c>
      <c r="DO58" s="4">
        <f>ROUND(DO29,2)</f>
        <v>0</v>
      </c>
      <c r="DP58" s="4">
        <f>ROUND(DP29,2)</f>
        <v>5022.6099999999997</v>
      </c>
      <c r="DQ58" s="4">
        <f>ROUND(DQ29,2)</f>
        <v>2322.96</v>
      </c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>
        <f t="shared" ref="EG58:EU58" si="23">ROUND(EG29,2)</f>
        <v>0</v>
      </c>
      <c r="EH58" s="4">
        <f t="shared" si="23"/>
        <v>0</v>
      </c>
      <c r="EI58" s="4">
        <f t="shared" si="23"/>
        <v>0</v>
      </c>
      <c r="EJ58" s="4">
        <f t="shared" si="23"/>
        <v>19304.48</v>
      </c>
      <c r="EK58" s="4">
        <f t="shared" si="23"/>
        <v>19304.48</v>
      </c>
      <c r="EL58" s="4">
        <f t="shared" si="23"/>
        <v>0</v>
      </c>
      <c r="EM58" s="4">
        <f t="shared" si="23"/>
        <v>0</v>
      </c>
      <c r="EN58" s="4">
        <f t="shared" si="23"/>
        <v>5666.68</v>
      </c>
      <c r="EO58" s="4">
        <f t="shared" si="23"/>
        <v>5666.68</v>
      </c>
      <c r="EP58" s="4">
        <f t="shared" si="23"/>
        <v>0</v>
      </c>
      <c r="EQ58" s="4">
        <f t="shared" si="23"/>
        <v>5666.68</v>
      </c>
      <c r="ER58" s="4">
        <f t="shared" si="23"/>
        <v>0</v>
      </c>
      <c r="ES58" s="4">
        <f t="shared" si="23"/>
        <v>0</v>
      </c>
      <c r="ET58" s="4">
        <f t="shared" si="23"/>
        <v>0</v>
      </c>
      <c r="EU58" s="4">
        <f t="shared" si="23"/>
        <v>0</v>
      </c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>
        <v>0</v>
      </c>
    </row>
    <row r="60" spans="1:206">
      <c r="A60" s="5">
        <v>50</v>
      </c>
      <c r="B60" s="5">
        <v>1</v>
      </c>
      <c r="C60" s="5">
        <v>0</v>
      </c>
      <c r="D60" s="5">
        <v>1</v>
      </c>
      <c r="E60" s="5">
        <v>201</v>
      </c>
      <c r="F60" s="5">
        <f>ROUND(Source!O58,O60)</f>
        <v>993.82</v>
      </c>
      <c r="G60" s="5" t="s">
        <v>30</v>
      </c>
      <c r="H60" s="5" t="s">
        <v>31</v>
      </c>
      <c r="I60" s="5"/>
      <c r="J60" s="5"/>
      <c r="K60" s="5">
        <v>201</v>
      </c>
      <c r="L60" s="5">
        <v>1</v>
      </c>
      <c r="M60" s="5">
        <v>1</v>
      </c>
      <c r="N60" s="5" t="s">
        <v>3</v>
      </c>
      <c r="O60" s="5">
        <v>2</v>
      </c>
      <c r="P60" s="5">
        <f>ROUND(Source!DG58,O60)</f>
        <v>11958.91</v>
      </c>
      <c r="Q60" s="5"/>
      <c r="R60" s="5"/>
      <c r="S60" s="5"/>
      <c r="T60" s="5"/>
      <c r="U60" s="5"/>
      <c r="V60" s="5"/>
      <c r="W60" s="5"/>
    </row>
    <row r="61" spans="1:206">
      <c r="A61" s="5">
        <v>50</v>
      </c>
      <c r="B61" s="5">
        <v>1</v>
      </c>
      <c r="C61" s="5">
        <v>0</v>
      </c>
      <c r="D61" s="5">
        <v>1</v>
      </c>
      <c r="E61" s="5">
        <v>202</v>
      </c>
      <c r="F61" s="5">
        <f>ROUND(Source!P58,O61)</f>
        <v>646.88</v>
      </c>
      <c r="G61" s="5" t="s">
        <v>32</v>
      </c>
      <c r="H61" s="5" t="s">
        <v>33</v>
      </c>
      <c r="I61" s="5"/>
      <c r="J61" s="5"/>
      <c r="K61" s="5">
        <v>202</v>
      </c>
      <c r="L61" s="5">
        <v>2</v>
      </c>
      <c r="M61" s="5">
        <v>1</v>
      </c>
      <c r="N61" s="5" t="s">
        <v>3</v>
      </c>
      <c r="O61" s="5">
        <v>2</v>
      </c>
      <c r="P61" s="5">
        <f>ROUND(Source!DH58,O61)</f>
        <v>5666.68</v>
      </c>
      <c r="Q61" s="5"/>
      <c r="R61" s="5"/>
      <c r="S61" s="5"/>
      <c r="T61" s="5"/>
      <c r="U61" s="5"/>
      <c r="V61" s="5"/>
      <c r="W61" s="5"/>
    </row>
    <row r="62" spans="1:206">
      <c r="A62" s="5">
        <v>50</v>
      </c>
      <c r="B62" s="5">
        <v>0</v>
      </c>
      <c r="C62" s="5">
        <v>0</v>
      </c>
      <c r="D62" s="5">
        <v>1</v>
      </c>
      <c r="E62" s="5">
        <v>222</v>
      </c>
      <c r="F62" s="5">
        <f>ROUND(Source!AO58,O62)</f>
        <v>0</v>
      </c>
      <c r="G62" s="5" t="s">
        <v>34</v>
      </c>
      <c r="H62" s="5" t="s">
        <v>35</v>
      </c>
      <c r="I62" s="5"/>
      <c r="J62" s="5"/>
      <c r="K62" s="5">
        <v>222</v>
      </c>
      <c r="L62" s="5">
        <v>3</v>
      </c>
      <c r="M62" s="5">
        <v>3</v>
      </c>
      <c r="N62" s="5" t="s">
        <v>3</v>
      </c>
      <c r="O62" s="5">
        <v>2</v>
      </c>
      <c r="P62" s="5">
        <f>ROUND(Source!EG58,O62)</f>
        <v>0</v>
      </c>
      <c r="Q62" s="5"/>
      <c r="R62" s="5"/>
      <c r="S62" s="5"/>
      <c r="T62" s="5"/>
      <c r="U62" s="5"/>
      <c r="V62" s="5"/>
      <c r="W62" s="5"/>
    </row>
    <row r="63" spans="1:206">
      <c r="A63" s="5">
        <v>50</v>
      </c>
      <c r="B63" s="5">
        <v>0</v>
      </c>
      <c r="C63" s="5">
        <v>0</v>
      </c>
      <c r="D63" s="5">
        <v>1</v>
      </c>
      <c r="E63" s="5">
        <v>225</v>
      </c>
      <c r="F63" s="5">
        <f>ROUND(Source!AV58,O63)</f>
        <v>646.88</v>
      </c>
      <c r="G63" s="5" t="s">
        <v>36</v>
      </c>
      <c r="H63" s="5" t="s">
        <v>37</v>
      </c>
      <c r="I63" s="5"/>
      <c r="J63" s="5"/>
      <c r="K63" s="5">
        <v>225</v>
      </c>
      <c r="L63" s="5">
        <v>4</v>
      </c>
      <c r="M63" s="5">
        <v>3</v>
      </c>
      <c r="N63" s="5" t="s">
        <v>3</v>
      </c>
      <c r="O63" s="5">
        <v>2</v>
      </c>
      <c r="P63" s="5">
        <f>ROUND(Source!EN58,O63)</f>
        <v>5666.68</v>
      </c>
      <c r="Q63" s="5"/>
      <c r="R63" s="5"/>
      <c r="S63" s="5"/>
      <c r="T63" s="5"/>
      <c r="U63" s="5"/>
      <c r="V63" s="5"/>
      <c r="W63" s="5"/>
    </row>
    <row r="64" spans="1:206">
      <c r="A64" s="5">
        <v>50</v>
      </c>
      <c r="B64" s="5">
        <v>1</v>
      </c>
      <c r="C64" s="5">
        <v>0</v>
      </c>
      <c r="D64" s="5">
        <v>1</v>
      </c>
      <c r="E64" s="5">
        <v>226</v>
      </c>
      <c r="F64" s="5">
        <f>ROUND(Source!AW58,O64)</f>
        <v>646.88</v>
      </c>
      <c r="G64" s="5" t="s">
        <v>38</v>
      </c>
      <c r="H64" s="5" t="s">
        <v>39</v>
      </c>
      <c r="I64" s="5"/>
      <c r="J64" s="5"/>
      <c r="K64" s="5">
        <v>226</v>
      </c>
      <c r="L64" s="5">
        <v>5</v>
      </c>
      <c r="M64" s="5">
        <v>1</v>
      </c>
      <c r="N64" s="5" t="s">
        <v>40</v>
      </c>
      <c r="O64" s="5">
        <v>2</v>
      </c>
      <c r="P64" s="5">
        <f>ROUND(Source!EO58,O64)</f>
        <v>5666.68</v>
      </c>
      <c r="Q64" s="5"/>
      <c r="R64" s="5"/>
      <c r="S64" s="5"/>
      <c r="T64" s="5"/>
      <c r="U64" s="5"/>
      <c r="V64" s="5"/>
      <c r="W64" s="5"/>
    </row>
    <row r="65" spans="1:23">
      <c r="A65" s="5">
        <v>50</v>
      </c>
      <c r="B65" s="5">
        <v>0</v>
      </c>
      <c r="C65" s="5">
        <v>0</v>
      </c>
      <c r="D65" s="5">
        <v>1</v>
      </c>
      <c r="E65" s="5">
        <v>227</v>
      </c>
      <c r="F65" s="5">
        <f>ROUND(Source!AX58,O65)</f>
        <v>0</v>
      </c>
      <c r="G65" s="5" t="s">
        <v>41</v>
      </c>
      <c r="H65" s="5" t="s">
        <v>42</v>
      </c>
      <c r="I65" s="5"/>
      <c r="J65" s="5"/>
      <c r="K65" s="5">
        <v>227</v>
      </c>
      <c r="L65" s="5">
        <v>6</v>
      </c>
      <c r="M65" s="5">
        <v>3</v>
      </c>
      <c r="N65" s="5" t="s">
        <v>3</v>
      </c>
      <c r="O65" s="5">
        <v>2</v>
      </c>
      <c r="P65" s="5">
        <f>ROUND(Source!EP58,O65)</f>
        <v>0</v>
      </c>
      <c r="Q65" s="5"/>
      <c r="R65" s="5"/>
      <c r="S65" s="5"/>
      <c r="T65" s="5"/>
      <c r="U65" s="5"/>
      <c r="V65" s="5"/>
      <c r="W65" s="5"/>
    </row>
    <row r="66" spans="1:23">
      <c r="A66" s="5">
        <v>50</v>
      </c>
      <c r="B66" s="5">
        <v>0</v>
      </c>
      <c r="C66" s="5">
        <v>0</v>
      </c>
      <c r="D66" s="5">
        <v>1</v>
      </c>
      <c r="E66" s="5">
        <v>228</v>
      </c>
      <c r="F66" s="5">
        <f>ROUND(Source!AY58,O66)</f>
        <v>646.88</v>
      </c>
      <c r="G66" s="5" t="s">
        <v>43</v>
      </c>
      <c r="H66" s="5" t="s">
        <v>44</v>
      </c>
      <c r="I66" s="5"/>
      <c r="J66" s="5"/>
      <c r="K66" s="5">
        <v>228</v>
      </c>
      <c r="L66" s="5">
        <v>7</v>
      </c>
      <c r="M66" s="5">
        <v>3</v>
      </c>
      <c r="N66" s="5" t="s">
        <v>3</v>
      </c>
      <c r="O66" s="5">
        <v>2</v>
      </c>
      <c r="P66" s="5">
        <f>ROUND(Source!EQ58,O66)</f>
        <v>5666.68</v>
      </c>
      <c r="Q66" s="5"/>
      <c r="R66" s="5"/>
      <c r="S66" s="5"/>
      <c r="T66" s="5"/>
      <c r="U66" s="5"/>
      <c r="V66" s="5"/>
      <c r="W66" s="5"/>
    </row>
    <row r="67" spans="1:23">
      <c r="A67" s="5">
        <v>50</v>
      </c>
      <c r="B67" s="5">
        <v>0</v>
      </c>
      <c r="C67" s="5">
        <v>0</v>
      </c>
      <c r="D67" s="5">
        <v>1</v>
      </c>
      <c r="E67" s="5">
        <v>216</v>
      </c>
      <c r="F67" s="5">
        <f>ROUND(Source!AP58,O67)</f>
        <v>0</v>
      </c>
      <c r="G67" s="5" t="s">
        <v>45</v>
      </c>
      <c r="H67" s="5" t="s">
        <v>46</v>
      </c>
      <c r="I67" s="5"/>
      <c r="J67" s="5"/>
      <c r="K67" s="5">
        <v>216</v>
      </c>
      <c r="L67" s="5">
        <v>8</v>
      </c>
      <c r="M67" s="5">
        <v>1</v>
      </c>
      <c r="N67" s="5" t="s">
        <v>3</v>
      </c>
      <c r="O67" s="5">
        <v>2</v>
      </c>
      <c r="P67" s="5">
        <f>ROUND(Source!EH58,O67)</f>
        <v>0</v>
      </c>
      <c r="Q67" s="5"/>
      <c r="R67" s="5"/>
      <c r="S67" s="5"/>
      <c r="T67" s="5"/>
      <c r="U67" s="5"/>
      <c r="V67" s="5"/>
      <c r="W67" s="5"/>
    </row>
    <row r="68" spans="1:23">
      <c r="A68" s="5">
        <v>50</v>
      </c>
      <c r="B68" s="5">
        <v>0</v>
      </c>
      <c r="C68" s="5">
        <v>0</v>
      </c>
      <c r="D68" s="5">
        <v>1</v>
      </c>
      <c r="E68" s="5">
        <v>223</v>
      </c>
      <c r="F68" s="5">
        <f>ROUND(Source!AQ58,O68)</f>
        <v>0</v>
      </c>
      <c r="G68" s="5" t="s">
        <v>47</v>
      </c>
      <c r="H68" s="5" t="s">
        <v>48</v>
      </c>
      <c r="I68" s="5"/>
      <c r="J68" s="5"/>
      <c r="K68" s="5">
        <v>223</v>
      </c>
      <c r="L68" s="5">
        <v>9</v>
      </c>
      <c r="M68" s="5">
        <v>3</v>
      </c>
      <c r="N68" s="5" t="s">
        <v>3</v>
      </c>
      <c r="O68" s="5">
        <v>2</v>
      </c>
      <c r="P68" s="5">
        <f>ROUND(Source!EI58,O68)</f>
        <v>0</v>
      </c>
      <c r="Q68" s="5"/>
      <c r="R68" s="5"/>
      <c r="S68" s="5"/>
      <c r="T68" s="5"/>
      <c r="U68" s="5"/>
      <c r="V68" s="5"/>
      <c r="W68" s="5"/>
    </row>
    <row r="69" spans="1:23">
      <c r="A69" s="5">
        <v>50</v>
      </c>
      <c r="B69" s="5">
        <v>0</v>
      </c>
      <c r="C69" s="5">
        <v>0</v>
      </c>
      <c r="D69" s="5">
        <v>1</v>
      </c>
      <c r="E69" s="5">
        <v>229</v>
      </c>
      <c r="F69" s="5">
        <f>ROUND(Source!AZ58,O69)</f>
        <v>0</v>
      </c>
      <c r="G69" s="5" t="s">
        <v>49</v>
      </c>
      <c r="H69" s="5" t="s">
        <v>50</v>
      </c>
      <c r="I69" s="5"/>
      <c r="J69" s="5"/>
      <c r="K69" s="5">
        <v>229</v>
      </c>
      <c r="L69" s="5">
        <v>10</v>
      </c>
      <c r="M69" s="5">
        <v>3</v>
      </c>
      <c r="N69" s="5" t="s">
        <v>3</v>
      </c>
      <c r="O69" s="5">
        <v>2</v>
      </c>
      <c r="P69" s="5">
        <f>ROUND(Source!ER58,O69)</f>
        <v>0</v>
      </c>
      <c r="Q69" s="5"/>
      <c r="R69" s="5"/>
      <c r="S69" s="5"/>
      <c r="T69" s="5"/>
      <c r="U69" s="5"/>
      <c r="V69" s="5"/>
      <c r="W69" s="5"/>
    </row>
    <row r="70" spans="1:23">
      <c r="A70" s="5">
        <v>50</v>
      </c>
      <c r="B70" s="5">
        <v>1</v>
      </c>
      <c r="C70" s="5">
        <v>0</v>
      </c>
      <c r="D70" s="5">
        <v>1</v>
      </c>
      <c r="E70" s="5">
        <v>203</v>
      </c>
      <c r="F70" s="5">
        <f>ROUND(Source!Q58,O70)</f>
        <v>5.66</v>
      </c>
      <c r="G70" s="5" t="s">
        <v>51</v>
      </c>
      <c r="H70" s="5" t="s">
        <v>52</v>
      </c>
      <c r="I70" s="5"/>
      <c r="J70" s="5"/>
      <c r="K70" s="5">
        <v>203</v>
      </c>
      <c r="L70" s="5">
        <v>11</v>
      </c>
      <c r="M70" s="5">
        <v>1</v>
      </c>
      <c r="N70" s="5" t="s">
        <v>3</v>
      </c>
      <c r="O70" s="5">
        <v>2</v>
      </c>
      <c r="P70" s="5">
        <f>ROUND(Source!DI58,O70)</f>
        <v>50.14</v>
      </c>
      <c r="Q70" s="5"/>
      <c r="R70" s="5"/>
      <c r="S70" s="5"/>
      <c r="T70" s="5"/>
      <c r="U70" s="5"/>
      <c r="V70" s="5"/>
      <c r="W70" s="5"/>
    </row>
    <row r="71" spans="1:23">
      <c r="A71" s="5">
        <v>50</v>
      </c>
      <c r="B71" s="5">
        <v>0</v>
      </c>
      <c r="C71" s="5">
        <v>0</v>
      </c>
      <c r="D71" s="5">
        <v>1</v>
      </c>
      <c r="E71" s="5">
        <v>231</v>
      </c>
      <c r="F71" s="5">
        <f>ROUND(Source!BB58,O71)</f>
        <v>0</v>
      </c>
      <c r="G71" s="5" t="s">
        <v>53</v>
      </c>
      <c r="H71" s="5" t="s">
        <v>54</v>
      </c>
      <c r="I71" s="5"/>
      <c r="J71" s="5"/>
      <c r="K71" s="5">
        <v>231</v>
      </c>
      <c r="L71" s="5">
        <v>12</v>
      </c>
      <c r="M71" s="5">
        <v>3</v>
      </c>
      <c r="N71" s="5" t="s">
        <v>3</v>
      </c>
      <c r="O71" s="5">
        <v>2</v>
      </c>
      <c r="P71" s="5">
        <f>ROUND(Source!ET58,O71)</f>
        <v>0</v>
      </c>
      <c r="Q71" s="5"/>
      <c r="R71" s="5"/>
      <c r="S71" s="5"/>
      <c r="T71" s="5"/>
      <c r="U71" s="5"/>
      <c r="V71" s="5"/>
      <c r="W71" s="5"/>
    </row>
    <row r="72" spans="1:23">
      <c r="A72" s="5">
        <v>50</v>
      </c>
      <c r="B72" s="5">
        <v>1</v>
      </c>
      <c r="C72" s="5">
        <v>0</v>
      </c>
      <c r="D72" s="5">
        <v>1</v>
      </c>
      <c r="E72" s="5">
        <v>204</v>
      </c>
      <c r="F72" s="5">
        <f>ROUND(Source!R58,O72)</f>
        <v>1.98</v>
      </c>
      <c r="G72" s="5" t="s">
        <v>55</v>
      </c>
      <c r="H72" s="5" t="s">
        <v>56</v>
      </c>
      <c r="I72" s="5"/>
      <c r="J72" s="5"/>
      <c r="K72" s="5">
        <v>204</v>
      </c>
      <c r="L72" s="5">
        <v>13</v>
      </c>
      <c r="M72" s="5">
        <v>1</v>
      </c>
      <c r="N72" s="5" t="s">
        <v>3</v>
      </c>
      <c r="O72" s="5">
        <v>2</v>
      </c>
      <c r="P72" s="5">
        <f>ROUND(Source!DJ58,O72)</f>
        <v>36.18</v>
      </c>
      <c r="Q72" s="5"/>
      <c r="R72" s="5"/>
      <c r="S72" s="5"/>
      <c r="T72" s="5"/>
      <c r="U72" s="5"/>
      <c r="V72" s="5"/>
      <c r="W72" s="5"/>
    </row>
    <row r="73" spans="1:23">
      <c r="A73" s="5">
        <v>50</v>
      </c>
      <c r="B73" s="5">
        <v>1</v>
      </c>
      <c r="C73" s="5">
        <v>0</v>
      </c>
      <c r="D73" s="5">
        <v>1</v>
      </c>
      <c r="E73" s="5">
        <v>205</v>
      </c>
      <c r="F73" s="5">
        <f>ROUND(Source!S58,O73)</f>
        <v>341.28</v>
      </c>
      <c r="G73" s="5" t="s">
        <v>57</v>
      </c>
      <c r="H73" s="5" t="s">
        <v>58</v>
      </c>
      <c r="I73" s="5"/>
      <c r="J73" s="5"/>
      <c r="K73" s="5">
        <v>205</v>
      </c>
      <c r="L73" s="5">
        <v>14</v>
      </c>
      <c r="M73" s="5">
        <v>1</v>
      </c>
      <c r="N73" s="5" t="s">
        <v>3</v>
      </c>
      <c r="O73" s="5">
        <v>2</v>
      </c>
      <c r="P73" s="5">
        <f>ROUND(Source!DK58,O73)</f>
        <v>6242.09</v>
      </c>
      <c r="Q73" s="5"/>
      <c r="R73" s="5"/>
      <c r="S73" s="5"/>
      <c r="T73" s="5"/>
      <c r="U73" s="5"/>
      <c r="V73" s="5"/>
      <c r="W73" s="5"/>
    </row>
    <row r="74" spans="1:23">
      <c r="A74" s="5">
        <v>50</v>
      </c>
      <c r="B74" s="5">
        <v>0</v>
      </c>
      <c r="C74" s="5">
        <v>0</v>
      </c>
      <c r="D74" s="5">
        <v>1</v>
      </c>
      <c r="E74" s="5">
        <v>232</v>
      </c>
      <c r="F74" s="5">
        <f>ROUND(Source!BC58,O74)</f>
        <v>0</v>
      </c>
      <c r="G74" s="5" t="s">
        <v>59</v>
      </c>
      <c r="H74" s="5" t="s">
        <v>60</v>
      </c>
      <c r="I74" s="5"/>
      <c r="J74" s="5"/>
      <c r="K74" s="5">
        <v>232</v>
      </c>
      <c r="L74" s="5">
        <v>15</v>
      </c>
      <c r="M74" s="5">
        <v>3</v>
      </c>
      <c r="N74" s="5" t="s">
        <v>3</v>
      </c>
      <c r="O74" s="5">
        <v>2</v>
      </c>
      <c r="P74" s="5">
        <f>ROUND(Source!EU58,O74)</f>
        <v>0</v>
      </c>
      <c r="Q74" s="5"/>
      <c r="R74" s="5"/>
      <c r="S74" s="5"/>
      <c r="T74" s="5"/>
      <c r="U74" s="5"/>
      <c r="V74" s="5"/>
      <c r="W74" s="5"/>
    </row>
    <row r="75" spans="1:23">
      <c r="A75" s="5">
        <v>50</v>
      </c>
      <c r="B75" s="5">
        <v>1</v>
      </c>
      <c r="C75" s="5">
        <v>0</v>
      </c>
      <c r="D75" s="5">
        <v>1</v>
      </c>
      <c r="E75" s="5">
        <v>214</v>
      </c>
      <c r="F75" s="5">
        <f>ROUND(Source!AS58,O75)</f>
        <v>1481.25</v>
      </c>
      <c r="G75" s="5" t="s">
        <v>61</v>
      </c>
      <c r="H75" s="5" t="s">
        <v>62</v>
      </c>
      <c r="I75" s="5"/>
      <c r="J75" s="5"/>
      <c r="K75" s="5">
        <v>214</v>
      </c>
      <c r="L75" s="5">
        <v>16</v>
      </c>
      <c r="M75" s="5">
        <v>1</v>
      </c>
      <c r="N75" s="5" t="s">
        <v>3</v>
      </c>
      <c r="O75" s="5">
        <v>2</v>
      </c>
      <c r="P75" s="5">
        <f>ROUND(Source!EK58,O75)</f>
        <v>19304.48</v>
      </c>
      <c r="Q75" s="5"/>
      <c r="R75" s="5"/>
      <c r="S75" s="5"/>
      <c r="T75" s="5"/>
      <c r="U75" s="5"/>
      <c r="V75" s="5"/>
      <c r="W75" s="5"/>
    </row>
    <row r="76" spans="1:23">
      <c r="A76" s="5">
        <v>50</v>
      </c>
      <c r="B76" s="5">
        <v>0</v>
      </c>
      <c r="C76" s="5">
        <v>0</v>
      </c>
      <c r="D76" s="5">
        <v>1</v>
      </c>
      <c r="E76" s="5">
        <v>215</v>
      </c>
      <c r="F76" s="5">
        <f>ROUND(Source!AT58,O76)</f>
        <v>0</v>
      </c>
      <c r="G76" s="5" t="s">
        <v>63</v>
      </c>
      <c r="H76" s="5" t="s">
        <v>64</v>
      </c>
      <c r="I76" s="5"/>
      <c r="J76" s="5"/>
      <c r="K76" s="5">
        <v>215</v>
      </c>
      <c r="L76" s="5">
        <v>17</v>
      </c>
      <c r="M76" s="5">
        <v>1</v>
      </c>
      <c r="N76" s="5" t="s">
        <v>3</v>
      </c>
      <c r="O76" s="5">
        <v>2</v>
      </c>
      <c r="P76" s="5">
        <f>ROUND(Source!EL58,O76)</f>
        <v>0</v>
      </c>
      <c r="Q76" s="5"/>
      <c r="R76" s="5"/>
      <c r="S76" s="5"/>
      <c r="T76" s="5"/>
      <c r="U76" s="5"/>
      <c r="V76" s="5"/>
      <c r="W76" s="5"/>
    </row>
    <row r="77" spans="1:23">
      <c r="A77" s="5">
        <v>50</v>
      </c>
      <c r="B77" s="5">
        <v>0</v>
      </c>
      <c r="C77" s="5">
        <v>0</v>
      </c>
      <c r="D77" s="5">
        <v>1</v>
      </c>
      <c r="E77" s="5">
        <v>217</v>
      </c>
      <c r="F77" s="5">
        <f>ROUND(Source!AU58,O77)</f>
        <v>0</v>
      </c>
      <c r="G77" s="5" t="s">
        <v>65</v>
      </c>
      <c r="H77" s="5" t="s">
        <v>66</v>
      </c>
      <c r="I77" s="5"/>
      <c r="J77" s="5"/>
      <c r="K77" s="5">
        <v>217</v>
      </c>
      <c r="L77" s="5">
        <v>18</v>
      </c>
      <c r="M77" s="5">
        <v>1</v>
      </c>
      <c r="N77" s="5" t="s">
        <v>3</v>
      </c>
      <c r="O77" s="5">
        <v>2</v>
      </c>
      <c r="P77" s="5">
        <f>ROUND(Source!EM58,O77)</f>
        <v>0</v>
      </c>
      <c r="Q77" s="5"/>
      <c r="R77" s="5"/>
      <c r="S77" s="5"/>
      <c r="T77" s="5"/>
      <c r="U77" s="5"/>
      <c r="V77" s="5"/>
      <c r="W77" s="5"/>
    </row>
    <row r="78" spans="1:23">
      <c r="A78" s="5">
        <v>50</v>
      </c>
      <c r="B78" s="5">
        <v>0</v>
      </c>
      <c r="C78" s="5">
        <v>0</v>
      </c>
      <c r="D78" s="5">
        <v>1</v>
      </c>
      <c r="E78" s="5">
        <v>230</v>
      </c>
      <c r="F78" s="5">
        <f>ROUND(Source!BA58,O78)</f>
        <v>0</v>
      </c>
      <c r="G78" s="5" t="s">
        <v>67</v>
      </c>
      <c r="H78" s="5" t="s">
        <v>68</v>
      </c>
      <c r="I78" s="5"/>
      <c r="J78" s="5"/>
      <c r="K78" s="5">
        <v>230</v>
      </c>
      <c r="L78" s="5">
        <v>19</v>
      </c>
      <c r="M78" s="5">
        <v>3</v>
      </c>
      <c r="N78" s="5" t="s">
        <v>3</v>
      </c>
      <c r="O78" s="5">
        <v>2</v>
      </c>
      <c r="P78" s="5">
        <f>ROUND(Source!ES58,O78)</f>
        <v>0</v>
      </c>
      <c r="Q78" s="5"/>
      <c r="R78" s="5"/>
      <c r="S78" s="5"/>
      <c r="T78" s="5"/>
      <c r="U78" s="5"/>
      <c r="V78" s="5"/>
      <c r="W78" s="5"/>
    </row>
    <row r="79" spans="1:23">
      <c r="A79" s="5">
        <v>50</v>
      </c>
      <c r="B79" s="5">
        <v>0</v>
      </c>
      <c r="C79" s="5">
        <v>0</v>
      </c>
      <c r="D79" s="5">
        <v>1</v>
      </c>
      <c r="E79" s="5">
        <v>206</v>
      </c>
      <c r="F79" s="5">
        <f>ROUND(Source!T58,O79)</f>
        <v>0</v>
      </c>
      <c r="G79" s="5" t="s">
        <v>69</v>
      </c>
      <c r="H79" s="5" t="s">
        <v>70</v>
      </c>
      <c r="I79" s="5"/>
      <c r="J79" s="5"/>
      <c r="K79" s="5">
        <v>206</v>
      </c>
      <c r="L79" s="5">
        <v>20</v>
      </c>
      <c r="M79" s="5">
        <v>1</v>
      </c>
      <c r="N79" s="5" t="s">
        <v>3</v>
      </c>
      <c r="O79" s="5">
        <v>2</v>
      </c>
      <c r="P79" s="5">
        <f>ROUND(Source!DL58,O79)</f>
        <v>0</v>
      </c>
      <c r="Q79" s="5"/>
      <c r="R79" s="5"/>
      <c r="S79" s="5"/>
      <c r="T79" s="5"/>
      <c r="U79" s="5"/>
      <c r="V79" s="5"/>
      <c r="W79" s="5"/>
    </row>
    <row r="80" spans="1:23">
      <c r="A80" s="5">
        <v>50</v>
      </c>
      <c r="B80" s="5">
        <v>1</v>
      </c>
      <c r="C80" s="5">
        <v>0</v>
      </c>
      <c r="D80" s="5">
        <v>1</v>
      </c>
      <c r="E80" s="5">
        <v>207</v>
      </c>
      <c r="F80" s="5">
        <f>Source!U58</f>
        <v>37.586370000000002</v>
      </c>
      <c r="G80" s="5" t="s">
        <v>71</v>
      </c>
      <c r="H80" s="5" t="s">
        <v>72</v>
      </c>
      <c r="I80" s="5"/>
      <c r="J80" s="5"/>
      <c r="K80" s="5">
        <v>207</v>
      </c>
      <c r="L80" s="5">
        <v>21</v>
      </c>
      <c r="M80" s="5">
        <v>1</v>
      </c>
      <c r="N80" s="5" t="s">
        <v>3</v>
      </c>
      <c r="O80" s="5">
        <v>-1</v>
      </c>
      <c r="P80" s="5">
        <f>Source!DM58</f>
        <v>37.586370000000002</v>
      </c>
      <c r="Q80" s="5"/>
      <c r="R80" s="5"/>
      <c r="S80" s="5"/>
      <c r="T80" s="5"/>
      <c r="U80" s="5"/>
      <c r="V80" s="5"/>
      <c r="W80" s="5"/>
    </row>
    <row r="81" spans="1:23">
      <c r="A81" s="5">
        <v>50</v>
      </c>
      <c r="B81" s="5">
        <v>1</v>
      </c>
      <c r="C81" s="5">
        <v>0</v>
      </c>
      <c r="D81" s="5">
        <v>1</v>
      </c>
      <c r="E81" s="5">
        <v>208</v>
      </c>
      <c r="F81" s="5">
        <f>Source!V58</f>
        <v>0.15510000000000002</v>
      </c>
      <c r="G81" s="5" t="s">
        <v>73</v>
      </c>
      <c r="H81" s="5" t="s">
        <v>74</v>
      </c>
      <c r="I81" s="5"/>
      <c r="J81" s="5"/>
      <c r="K81" s="5">
        <v>208</v>
      </c>
      <c r="L81" s="5">
        <v>22</v>
      </c>
      <c r="M81" s="5">
        <v>1</v>
      </c>
      <c r="N81" s="5" t="s">
        <v>3</v>
      </c>
      <c r="O81" s="5">
        <v>-1</v>
      </c>
      <c r="P81" s="5">
        <f>Source!DN58</f>
        <v>0.15510000000000002</v>
      </c>
      <c r="Q81" s="5"/>
      <c r="R81" s="5"/>
      <c r="S81" s="5"/>
      <c r="T81" s="5"/>
      <c r="U81" s="5"/>
      <c r="V81" s="5"/>
      <c r="W81" s="5"/>
    </row>
    <row r="82" spans="1:23">
      <c r="A82" s="5">
        <v>50</v>
      </c>
      <c r="B82" s="5">
        <v>0</v>
      </c>
      <c r="C82" s="5">
        <v>0</v>
      </c>
      <c r="D82" s="5">
        <v>1</v>
      </c>
      <c r="E82" s="5">
        <v>209</v>
      </c>
      <c r="F82" s="5">
        <f>ROUND(Source!W58,O82)</f>
        <v>0</v>
      </c>
      <c r="G82" s="5" t="s">
        <v>75</v>
      </c>
      <c r="H82" s="5" t="s">
        <v>76</v>
      </c>
      <c r="I82" s="5"/>
      <c r="J82" s="5"/>
      <c r="K82" s="5">
        <v>209</v>
      </c>
      <c r="L82" s="5">
        <v>23</v>
      </c>
      <c r="M82" s="5">
        <v>1</v>
      </c>
      <c r="N82" s="5" t="s">
        <v>3</v>
      </c>
      <c r="O82" s="5">
        <v>2</v>
      </c>
      <c r="P82" s="5">
        <f>ROUND(Source!DO58,O82)</f>
        <v>0</v>
      </c>
      <c r="Q82" s="5"/>
      <c r="R82" s="5"/>
      <c r="S82" s="5"/>
      <c r="T82" s="5"/>
      <c r="U82" s="5"/>
      <c r="V82" s="5"/>
      <c r="W82" s="5"/>
    </row>
    <row r="83" spans="1:23">
      <c r="A83" s="5">
        <v>50</v>
      </c>
      <c r="B83" s="5">
        <v>1</v>
      </c>
      <c r="C83" s="5">
        <v>0</v>
      </c>
      <c r="D83" s="5">
        <v>1</v>
      </c>
      <c r="E83" s="5">
        <v>210</v>
      </c>
      <c r="F83" s="5">
        <f>ROUND(Source!X58,O83)</f>
        <v>326.10000000000002</v>
      </c>
      <c r="G83" s="5" t="s">
        <v>77</v>
      </c>
      <c r="H83" s="5" t="s">
        <v>78</v>
      </c>
      <c r="I83" s="5"/>
      <c r="J83" s="5"/>
      <c r="K83" s="5">
        <v>210</v>
      </c>
      <c r="L83" s="5">
        <v>24</v>
      </c>
      <c r="M83" s="5">
        <v>1</v>
      </c>
      <c r="N83" s="5" t="s">
        <v>3</v>
      </c>
      <c r="O83" s="5">
        <v>2</v>
      </c>
      <c r="P83" s="5">
        <f>ROUND(Source!DP58,O83)</f>
        <v>5022.6099999999997</v>
      </c>
      <c r="Q83" s="5"/>
      <c r="R83" s="5"/>
      <c r="S83" s="5"/>
      <c r="T83" s="5"/>
      <c r="U83" s="5"/>
      <c r="V83" s="5"/>
      <c r="W83" s="5"/>
    </row>
    <row r="84" spans="1:23">
      <c r="A84" s="5">
        <v>50</v>
      </c>
      <c r="B84" s="5">
        <v>1</v>
      </c>
      <c r="C84" s="5">
        <v>0</v>
      </c>
      <c r="D84" s="5">
        <v>1</v>
      </c>
      <c r="E84" s="5">
        <v>211</v>
      </c>
      <c r="F84" s="5">
        <f>ROUND(Source!Y58,O84)</f>
        <v>161.33000000000001</v>
      </c>
      <c r="G84" s="5" t="s">
        <v>79</v>
      </c>
      <c r="H84" s="5" t="s">
        <v>80</v>
      </c>
      <c r="I84" s="5"/>
      <c r="J84" s="5"/>
      <c r="K84" s="5">
        <v>211</v>
      </c>
      <c r="L84" s="5">
        <v>25</v>
      </c>
      <c r="M84" s="5">
        <v>1</v>
      </c>
      <c r="N84" s="5" t="s">
        <v>3</v>
      </c>
      <c r="O84" s="5">
        <v>2</v>
      </c>
      <c r="P84" s="5">
        <f>ROUND(Source!DQ58,O84)</f>
        <v>2322.96</v>
      </c>
      <c r="Q84" s="5"/>
      <c r="R84" s="5"/>
      <c r="S84" s="5"/>
      <c r="T84" s="5"/>
      <c r="U84" s="5"/>
      <c r="V84" s="5"/>
      <c r="W84" s="5"/>
    </row>
    <row r="85" spans="1:23">
      <c r="A85" s="5">
        <v>50</v>
      </c>
      <c r="B85" s="5">
        <v>1</v>
      </c>
      <c r="C85" s="5">
        <v>0</v>
      </c>
      <c r="D85" s="5">
        <v>1</v>
      </c>
      <c r="E85" s="5">
        <v>224</v>
      </c>
      <c r="F85" s="5">
        <f>ROUND(Source!AR58,O85)</f>
        <v>1481.25</v>
      </c>
      <c r="G85" s="5" t="s">
        <v>81</v>
      </c>
      <c r="H85" s="5" t="s">
        <v>82</v>
      </c>
      <c r="I85" s="5"/>
      <c r="J85" s="5"/>
      <c r="K85" s="5">
        <v>224</v>
      </c>
      <c r="L85" s="5">
        <v>26</v>
      </c>
      <c r="M85" s="5">
        <v>1</v>
      </c>
      <c r="N85" s="5" t="s">
        <v>3</v>
      </c>
      <c r="O85" s="5">
        <v>2</v>
      </c>
      <c r="P85" s="5">
        <f>ROUND(Source!EJ58,O85)</f>
        <v>19304.48</v>
      </c>
      <c r="Q85" s="5"/>
      <c r="R85" s="5"/>
      <c r="S85" s="5"/>
      <c r="T85" s="5"/>
      <c r="U85" s="5"/>
      <c r="V85" s="5"/>
      <c r="W85" s="5"/>
    </row>
    <row r="88" spans="1:23">
      <c r="A88">
        <v>70</v>
      </c>
      <c r="B88">
        <v>1</v>
      </c>
      <c r="D88">
        <v>1</v>
      </c>
      <c r="E88" t="s">
        <v>83</v>
      </c>
      <c r="F88" t="s">
        <v>84</v>
      </c>
      <c r="G88">
        <v>0</v>
      </c>
      <c r="H88">
        <v>0</v>
      </c>
      <c r="I88" t="s">
        <v>3</v>
      </c>
      <c r="J88">
        <v>1</v>
      </c>
      <c r="K88">
        <v>0</v>
      </c>
      <c r="L88" t="s">
        <v>3</v>
      </c>
      <c r="M88" t="s">
        <v>3</v>
      </c>
      <c r="N88">
        <v>0</v>
      </c>
      <c r="O88">
        <v>0</v>
      </c>
    </row>
    <row r="89" spans="1:23">
      <c r="A89">
        <v>70</v>
      </c>
      <c r="B89">
        <v>1</v>
      </c>
      <c r="D89">
        <v>2</v>
      </c>
      <c r="E89" t="s">
        <v>85</v>
      </c>
      <c r="F89" t="s">
        <v>86</v>
      </c>
      <c r="G89">
        <v>1</v>
      </c>
      <c r="H89">
        <v>0</v>
      </c>
      <c r="I89" t="s">
        <v>3</v>
      </c>
      <c r="J89">
        <v>1</v>
      </c>
      <c r="K89">
        <v>0</v>
      </c>
      <c r="L89" t="s">
        <v>3</v>
      </c>
      <c r="M89" t="s">
        <v>3</v>
      </c>
      <c r="N89">
        <v>0</v>
      </c>
      <c r="O89">
        <v>1</v>
      </c>
    </row>
    <row r="90" spans="1:23">
      <c r="A90">
        <v>70</v>
      </c>
      <c r="B90">
        <v>1</v>
      </c>
      <c r="D90">
        <v>3</v>
      </c>
      <c r="E90" t="s">
        <v>87</v>
      </c>
      <c r="F90" t="s">
        <v>88</v>
      </c>
      <c r="G90">
        <v>0</v>
      </c>
      <c r="H90">
        <v>0</v>
      </c>
      <c r="I90" t="s">
        <v>3</v>
      </c>
      <c r="J90">
        <v>1</v>
      </c>
      <c r="K90">
        <v>0</v>
      </c>
      <c r="L90" t="s">
        <v>3</v>
      </c>
      <c r="M90" t="s">
        <v>3</v>
      </c>
      <c r="N90">
        <v>0</v>
      </c>
      <c r="O90">
        <v>0</v>
      </c>
    </row>
    <row r="91" spans="1:23">
      <c r="A91">
        <v>70</v>
      </c>
      <c r="B91">
        <v>1</v>
      </c>
      <c r="D91">
        <v>4</v>
      </c>
      <c r="E91" t="s">
        <v>89</v>
      </c>
      <c r="F91" t="s">
        <v>90</v>
      </c>
      <c r="G91">
        <v>0</v>
      </c>
      <c r="H91">
        <v>0</v>
      </c>
      <c r="I91" t="s">
        <v>91</v>
      </c>
      <c r="J91">
        <v>0</v>
      </c>
      <c r="K91">
        <v>0</v>
      </c>
      <c r="L91" t="s">
        <v>3</v>
      </c>
      <c r="M91" t="s">
        <v>3</v>
      </c>
      <c r="N91">
        <v>0</v>
      </c>
      <c r="O91">
        <v>0</v>
      </c>
    </row>
    <row r="92" spans="1:23">
      <c r="A92">
        <v>70</v>
      </c>
      <c r="B92">
        <v>1</v>
      </c>
      <c r="D92">
        <v>5</v>
      </c>
      <c r="E92" t="s">
        <v>92</v>
      </c>
      <c r="F92" t="s">
        <v>93</v>
      </c>
      <c r="G92">
        <v>0</v>
      </c>
      <c r="H92">
        <v>0</v>
      </c>
      <c r="I92" t="s">
        <v>94</v>
      </c>
      <c r="J92">
        <v>0</v>
      </c>
      <c r="K92">
        <v>0</v>
      </c>
      <c r="L92" t="s">
        <v>3</v>
      </c>
      <c r="M92" t="s">
        <v>3</v>
      </c>
      <c r="N92">
        <v>0</v>
      </c>
      <c r="O92">
        <v>0</v>
      </c>
    </row>
    <row r="93" spans="1:23">
      <c r="A93">
        <v>70</v>
      </c>
      <c r="B93">
        <v>1</v>
      </c>
      <c r="D93">
        <v>6</v>
      </c>
      <c r="E93" t="s">
        <v>95</v>
      </c>
      <c r="F93" t="s">
        <v>96</v>
      </c>
      <c r="G93">
        <v>0</v>
      </c>
      <c r="H93">
        <v>0</v>
      </c>
      <c r="I93" t="s">
        <v>97</v>
      </c>
      <c r="J93">
        <v>0</v>
      </c>
      <c r="K93">
        <v>0</v>
      </c>
      <c r="L93" t="s">
        <v>3</v>
      </c>
      <c r="M93" t="s">
        <v>3</v>
      </c>
      <c r="N93">
        <v>0</v>
      </c>
      <c r="O93">
        <v>0</v>
      </c>
    </row>
    <row r="94" spans="1:23">
      <c r="A94">
        <v>70</v>
      </c>
      <c r="B94">
        <v>1</v>
      </c>
      <c r="D94">
        <v>7</v>
      </c>
      <c r="E94" t="s">
        <v>98</v>
      </c>
      <c r="F94" t="s">
        <v>99</v>
      </c>
      <c r="G94">
        <v>0</v>
      </c>
      <c r="H94">
        <v>0</v>
      </c>
      <c r="I94" t="s">
        <v>3</v>
      </c>
      <c r="J94">
        <v>0</v>
      </c>
      <c r="K94">
        <v>0</v>
      </c>
      <c r="L94" t="s">
        <v>3</v>
      </c>
      <c r="M94" t="s">
        <v>3</v>
      </c>
      <c r="N94">
        <v>0</v>
      </c>
      <c r="O94">
        <v>0</v>
      </c>
    </row>
    <row r="95" spans="1:23">
      <c r="A95">
        <v>70</v>
      </c>
      <c r="B95">
        <v>1</v>
      </c>
      <c r="D95">
        <v>8</v>
      </c>
      <c r="E95" t="s">
        <v>100</v>
      </c>
      <c r="F95" t="s">
        <v>101</v>
      </c>
      <c r="G95">
        <v>0</v>
      </c>
      <c r="H95">
        <v>0</v>
      </c>
      <c r="I95" t="s">
        <v>102</v>
      </c>
      <c r="J95">
        <v>0</v>
      </c>
      <c r="K95">
        <v>0</v>
      </c>
      <c r="L95" t="s">
        <v>3</v>
      </c>
      <c r="M95" t="s">
        <v>3</v>
      </c>
      <c r="N95">
        <v>0</v>
      </c>
      <c r="O95">
        <v>0</v>
      </c>
    </row>
    <row r="96" spans="1:23">
      <c r="A96">
        <v>70</v>
      </c>
      <c r="B96">
        <v>1</v>
      </c>
      <c r="D96">
        <v>9</v>
      </c>
      <c r="E96" t="s">
        <v>103</v>
      </c>
      <c r="F96" t="s">
        <v>104</v>
      </c>
      <c r="G96">
        <v>0</v>
      </c>
      <c r="H96">
        <v>0</v>
      </c>
      <c r="I96" t="s">
        <v>105</v>
      </c>
      <c r="J96">
        <v>0</v>
      </c>
      <c r="K96">
        <v>0</v>
      </c>
      <c r="L96" t="s">
        <v>3</v>
      </c>
      <c r="M96" t="s">
        <v>3</v>
      </c>
      <c r="N96">
        <v>0</v>
      </c>
      <c r="O96">
        <v>0</v>
      </c>
    </row>
    <row r="97" spans="1:15">
      <c r="A97">
        <v>70</v>
      </c>
      <c r="B97">
        <v>1</v>
      </c>
      <c r="D97">
        <v>10</v>
      </c>
      <c r="E97" t="s">
        <v>106</v>
      </c>
      <c r="F97" t="s">
        <v>107</v>
      </c>
      <c r="G97">
        <v>0</v>
      </c>
      <c r="H97">
        <v>0</v>
      </c>
      <c r="I97" t="s">
        <v>108</v>
      </c>
      <c r="J97">
        <v>0</v>
      </c>
      <c r="K97">
        <v>0</v>
      </c>
      <c r="L97" t="s">
        <v>3</v>
      </c>
      <c r="M97" t="s">
        <v>3</v>
      </c>
      <c r="N97">
        <v>0</v>
      </c>
      <c r="O97">
        <v>0</v>
      </c>
    </row>
    <row r="98" spans="1:15">
      <c r="A98">
        <v>70</v>
      </c>
      <c r="B98">
        <v>1</v>
      </c>
      <c r="D98">
        <v>11</v>
      </c>
      <c r="E98" t="s">
        <v>109</v>
      </c>
      <c r="F98" t="s">
        <v>110</v>
      </c>
      <c r="G98">
        <v>0</v>
      </c>
      <c r="H98">
        <v>0</v>
      </c>
      <c r="I98" t="s">
        <v>111</v>
      </c>
      <c r="J98">
        <v>0</v>
      </c>
      <c r="K98">
        <v>0</v>
      </c>
      <c r="L98" t="s">
        <v>3</v>
      </c>
      <c r="M98" t="s">
        <v>3</v>
      </c>
      <c r="N98">
        <v>0</v>
      </c>
      <c r="O98">
        <v>0</v>
      </c>
    </row>
    <row r="99" spans="1:15">
      <c r="A99">
        <v>70</v>
      </c>
      <c r="B99">
        <v>1</v>
      </c>
      <c r="D99">
        <v>1</v>
      </c>
      <c r="E99" t="s">
        <v>112</v>
      </c>
      <c r="F99" t="s">
        <v>113</v>
      </c>
      <c r="G99">
        <v>0.9</v>
      </c>
      <c r="H99">
        <v>1</v>
      </c>
      <c r="I99" t="s">
        <v>114</v>
      </c>
      <c r="J99">
        <v>0</v>
      </c>
      <c r="K99">
        <v>0</v>
      </c>
      <c r="L99" t="s">
        <v>3</v>
      </c>
      <c r="M99" t="s">
        <v>3</v>
      </c>
      <c r="N99">
        <v>0</v>
      </c>
      <c r="O99">
        <v>0.9</v>
      </c>
    </row>
    <row r="100" spans="1:15">
      <c r="A100">
        <v>70</v>
      </c>
      <c r="B100">
        <v>1</v>
      </c>
      <c r="D100">
        <v>2</v>
      </c>
      <c r="E100" t="s">
        <v>115</v>
      </c>
      <c r="F100" t="s">
        <v>116</v>
      </c>
      <c r="G100">
        <v>0.85</v>
      </c>
      <c r="H100">
        <v>1</v>
      </c>
      <c r="I100" t="s">
        <v>117</v>
      </c>
      <c r="J100">
        <v>0</v>
      </c>
      <c r="K100">
        <v>0</v>
      </c>
      <c r="L100" t="s">
        <v>3</v>
      </c>
      <c r="M100" t="s">
        <v>3</v>
      </c>
      <c r="N100">
        <v>0</v>
      </c>
      <c r="O100">
        <v>0.85</v>
      </c>
    </row>
    <row r="101" spans="1:15">
      <c r="A101">
        <v>70</v>
      </c>
      <c r="B101">
        <v>1</v>
      </c>
      <c r="D101">
        <v>3</v>
      </c>
      <c r="E101" t="s">
        <v>118</v>
      </c>
      <c r="F101" t="s">
        <v>119</v>
      </c>
      <c r="G101">
        <v>1</v>
      </c>
      <c r="H101">
        <v>0.85</v>
      </c>
      <c r="I101" t="s">
        <v>120</v>
      </c>
      <c r="J101">
        <v>0</v>
      </c>
      <c r="K101">
        <v>0</v>
      </c>
      <c r="L101" t="s">
        <v>3</v>
      </c>
      <c r="M101" t="s">
        <v>3</v>
      </c>
      <c r="N101">
        <v>0</v>
      </c>
      <c r="O101">
        <v>1</v>
      </c>
    </row>
    <row r="102" spans="1:15">
      <c r="A102">
        <v>70</v>
      </c>
      <c r="B102">
        <v>1</v>
      </c>
      <c r="D102">
        <v>4</v>
      </c>
      <c r="E102" t="s">
        <v>121</v>
      </c>
      <c r="F102" t="s">
        <v>122</v>
      </c>
      <c r="G102">
        <v>1</v>
      </c>
      <c r="H102">
        <v>0</v>
      </c>
      <c r="I102" t="s">
        <v>3</v>
      </c>
      <c r="J102">
        <v>0</v>
      </c>
      <c r="K102">
        <v>0</v>
      </c>
      <c r="L102" t="s">
        <v>3</v>
      </c>
      <c r="M102" t="s">
        <v>3</v>
      </c>
      <c r="N102">
        <v>0</v>
      </c>
      <c r="O102">
        <v>1</v>
      </c>
    </row>
    <row r="103" spans="1:15">
      <c r="A103">
        <v>70</v>
      </c>
      <c r="B103">
        <v>1</v>
      </c>
      <c r="D103">
        <v>5</v>
      </c>
      <c r="E103" t="s">
        <v>123</v>
      </c>
      <c r="F103" t="s">
        <v>124</v>
      </c>
      <c r="G103">
        <v>1</v>
      </c>
      <c r="H103">
        <v>0.8</v>
      </c>
      <c r="I103" t="s">
        <v>125</v>
      </c>
      <c r="J103">
        <v>0</v>
      </c>
      <c r="K103">
        <v>0</v>
      </c>
      <c r="L103" t="s">
        <v>3</v>
      </c>
      <c r="M103" t="s">
        <v>3</v>
      </c>
      <c r="N103">
        <v>0</v>
      </c>
      <c r="O103">
        <v>1</v>
      </c>
    </row>
    <row r="104" spans="1:15">
      <c r="A104">
        <v>70</v>
      </c>
      <c r="B104">
        <v>1</v>
      </c>
      <c r="D104">
        <v>6</v>
      </c>
      <c r="E104" t="s">
        <v>126</v>
      </c>
      <c r="F104" t="s">
        <v>127</v>
      </c>
      <c r="G104">
        <v>1</v>
      </c>
      <c r="H104">
        <v>0</v>
      </c>
      <c r="I104" t="s">
        <v>3</v>
      </c>
      <c r="J104">
        <v>0</v>
      </c>
      <c r="K104">
        <v>0</v>
      </c>
      <c r="L104" t="s">
        <v>3</v>
      </c>
      <c r="M104" t="s">
        <v>3</v>
      </c>
      <c r="N104">
        <v>0</v>
      </c>
      <c r="O104">
        <v>0.85</v>
      </c>
    </row>
    <row r="105" spans="1:15">
      <c r="A105">
        <v>70</v>
      </c>
      <c r="B105">
        <v>1</v>
      </c>
      <c r="D105">
        <v>7</v>
      </c>
      <c r="E105" t="s">
        <v>128</v>
      </c>
      <c r="F105" t="s">
        <v>129</v>
      </c>
      <c r="G105">
        <v>1</v>
      </c>
      <c r="H105">
        <v>0</v>
      </c>
      <c r="I105" t="s">
        <v>3</v>
      </c>
      <c r="J105">
        <v>0</v>
      </c>
      <c r="K105">
        <v>0</v>
      </c>
      <c r="L105" t="s">
        <v>3</v>
      </c>
      <c r="M105" t="s">
        <v>3</v>
      </c>
      <c r="N105">
        <v>0</v>
      </c>
      <c r="O105">
        <v>0.8</v>
      </c>
    </row>
    <row r="106" spans="1:15">
      <c r="A106">
        <v>70</v>
      </c>
      <c r="B106">
        <v>1</v>
      </c>
      <c r="D106">
        <v>8</v>
      </c>
      <c r="E106" t="s">
        <v>130</v>
      </c>
      <c r="F106" t="s">
        <v>131</v>
      </c>
      <c r="G106">
        <v>0.7</v>
      </c>
      <c r="H106">
        <v>0</v>
      </c>
      <c r="I106" t="s">
        <v>3</v>
      </c>
      <c r="J106">
        <v>0</v>
      </c>
      <c r="K106">
        <v>0</v>
      </c>
      <c r="L106" t="s">
        <v>3</v>
      </c>
      <c r="M106" t="s">
        <v>3</v>
      </c>
      <c r="N106">
        <v>0</v>
      </c>
      <c r="O106">
        <v>0.94</v>
      </c>
    </row>
    <row r="107" spans="1:15">
      <c r="A107">
        <v>70</v>
      </c>
      <c r="B107">
        <v>1</v>
      </c>
      <c r="D107">
        <v>9</v>
      </c>
      <c r="E107" t="s">
        <v>132</v>
      </c>
      <c r="F107" t="s">
        <v>133</v>
      </c>
      <c r="G107">
        <v>0.9</v>
      </c>
      <c r="H107">
        <v>0</v>
      </c>
      <c r="I107" t="s">
        <v>3</v>
      </c>
      <c r="J107">
        <v>0</v>
      </c>
      <c r="K107">
        <v>0</v>
      </c>
      <c r="L107" t="s">
        <v>3</v>
      </c>
      <c r="M107" t="s">
        <v>3</v>
      </c>
      <c r="N107">
        <v>0</v>
      </c>
      <c r="O107">
        <v>0.9</v>
      </c>
    </row>
    <row r="108" spans="1:15">
      <c r="A108">
        <v>70</v>
      </c>
      <c r="B108">
        <v>1</v>
      </c>
      <c r="D108">
        <v>10</v>
      </c>
      <c r="E108" t="s">
        <v>134</v>
      </c>
      <c r="F108" t="s">
        <v>135</v>
      </c>
      <c r="G108">
        <v>0.6</v>
      </c>
      <c r="H108">
        <v>0</v>
      </c>
      <c r="I108" t="s">
        <v>3</v>
      </c>
      <c r="J108">
        <v>0</v>
      </c>
      <c r="K108">
        <v>0</v>
      </c>
      <c r="L108" t="s">
        <v>3</v>
      </c>
      <c r="M108" t="s">
        <v>3</v>
      </c>
      <c r="N108">
        <v>0</v>
      </c>
      <c r="O108">
        <v>0.6</v>
      </c>
    </row>
    <row r="109" spans="1:15">
      <c r="A109">
        <v>70</v>
      </c>
      <c r="B109">
        <v>1</v>
      </c>
      <c r="D109">
        <v>11</v>
      </c>
      <c r="E109" t="s">
        <v>136</v>
      </c>
      <c r="F109" t="s">
        <v>137</v>
      </c>
      <c r="G109">
        <v>1.2</v>
      </c>
      <c r="H109">
        <v>0</v>
      </c>
      <c r="I109" t="s">
        <v>3</v>
      </c>
      <c r="J109">
        <v>0</v>
      </c>
      <c r="K109">
        <v>0</v>
      </c>
      <c r="L109" t="s">
        <v>3</v>
      </c>
      <c r="M109" t="s">
        <v>3</v>
      </c>
      <c r="N109">
        <v>0</v>
      </c>
      <c r="O109">
        <v>1.2</v>
      </c>
    </row>
    <row r="110" spans="1:15">
      <c r="A110">
        <v>70</v>
      </c>
      <c r="B110">
        <v>1</v>
      </c>
      <c r="D110">
        <v>12</v>
      </c>
      <c r="E110" t="s">
        <v>138</v>
      </c>
      <c r="F110" t="s">
        <v>139</v>
      </c>
      <c r="G110">
        <v>0</v>
      </c>
      <c r="H110">
        <v>0</v>
      </c>
      <c r="I110" t="s">
        <v>3</v>
      </c>
      <c r="J110">
        <v>0</v>
      </c>
      <c r="K110">
        <v>0</v>
      </c>
      <c r="L110" t="s">
        <v>3</v>
      </c>
      <c r="M110" t="s">
        <v>3</v>
      </c>
      <c r="N110">
        <v>0</v>
      </c>
      <c r="O110">
        <v>0</v>
      </c>
    </row>
    <row r="111" spans="1:15">
      <c r="A111">
        <v>70</v>
      </c>
      <c r="B111">
        <v>1</v>
      </c>
      <c r="D111">
        <v>13</v>
      </c>
      <c r="E111" t="s">
        <v>140</v>
      </c>
      <c r="F111" t="s">
        <v>141</v>
      </c>
      <c r="G111">
        <v>1</v>
      </c>
      <c r="H111">
        <v>0</v>
      </c>
      <c r="I111" t="s">
        <v>3</v>
      </c>
      <c r="J111">
        <v>0</v>
      </c>
      <c r="K111">
        <v>0</v>
      </c>
      <c r="L111" t="s">
        <v>3</v>
      </c>
      <c r="M111" t="s">
        <v>3</v>
      </c>
      <c r="N111">
        <v>0</v>
      </c>
      <c r="O111">
        <v>0.94</v>
      </c>
    </row>
    <row r="113" spans="1:27">
      <c r="A113">
        <v>-1</v>
      </c>
    </row>
    <row r="115" spans="1:27">
      <c r="A115" s="4">
        <v>75</v>
      </c>
      <c r="B115" s="4" t="s">
        <v>142</v>
      </c>
      <c r="C115" s="4">
        <v>2017</v>
      </c>
      <c r="D115" s="4">
        <v>0</v>
      </c>
      <c r="E115" s="4">
        <v>12</v>
      </c>
      <c r="F115" s="4"/>
      <c r="G115" s="4">
        <v>0</v>
      </c>
      <c r="H115" s="4">
        <v>1</v>
      </c>
      <c r="I115" s="4">
        <v>0</v>
      </c>
      <c r="J115" s="4">
        <v>1</v>
      </c>
      <c r="K115" s="4">
        <v>0</v>
      </c>
      <c r="L115" s="4">
        <v>0</v>
      </c>
      <c r="M115" s="4">
        <v>1</v>
      </c>
      <c r="N115" s="4">
        <v>55197951</v>
      </c>
      <c r="O115" s="4">
        <v>1</v>
      </c>
    </row>
    <row r="116" spans="1:27">
      <c r="A116" s="6">
        <v>1</v>
      </c>
      <c r="B116" s="6" t="s">
        <v>143</v>
      </c>
      <c r="C116" s="6" t="s">
        <v>144</v>
      </c>
      <c r="D116" s="6">
        <v>2017</v>
      </c>
      <c r="E116" s="6">
        <v>12</v>
      </c>
      <c r="F116" s="6">
        <v>1</v>
      </c>
      <c r="G116" s="6">
        <v>1</v>
      </c>
      <c r="H116" s="6">
        <v>0</v>
      </c>
      <c r="I116" s="6">
        <v>2</v>
      </c>
      <c r="J116" s="6">
        <v>1</v>
      </c>
      <c r="K116" s="6">
        <v>1</v>
      </c>
      <c r="L116" s="6">
        <v>1</v>
      </c>
      <c r="M116" s="6">
        <v>1</v>
      </c>
      <c r="N116" s="6">
        <v>1</v>
      </c>
      <c r="O116" s="6">
        <v>1</v>
      </c>
      <c r="P116" s="6">
        <v>1</v>
      </c>
      <c r="Q116" s="6">
        <v>1</v>
      </c>
      <c r="R116" s="6" t="s">
        <v>3</v>
      </c>
      <c r="S116" s="6" t="s">
        <v>3</v>
      </c>
      <c r="T116" s="6" t="s">
        <v>3</v>
      </c>
      <c r="U116" s="6" t="s">
        <v>3</v>
      </c>
      <c r="V116" s="6" t="s">
        <v>3</v>
      </c>
      <c r="W116" s="6" t="s">
        <v>3</v>
      </c>
      <c r="X116" s="6" t="s">
        <v>3</v>
      </c>
      <c r="Y116" s="6" t="s">
        <v>3</v>
      </c>
      <c r="Z116" s="6" t="s">
        <v>3</v>
      </c>
      <c r="AA116" s="6" t="s">
        <v>3</v>
      </c>
    </row>
    <row r="117" spans="1:27">
      <c r="A117" s="4">
        <v>75</v>
      </c>
      <c r="B117" s="4" t="s">
        <v>145</v>
      </c>
      <c r="C117" s="4">
        <v>2000</v>
      </c>
      <c r="D117" s="4">
        <v>0</v>
      </c>
      <c r="E117" s="4">
        <v>1</v>
      </c>
      <c r="F117" s="4"/>
      <c r="G117" s="4">
        <v>0</v>
      </c>
      <c r="H117" s="4">
        <v>1</v>
      </c>
      <c r="I117" s="4">
        <v>0</v>
      </c>
      <c r="J117" s="4">
        <v>1</v>
      </c>
      <c r="K117" s="4">
        <v>0</v>
      </c>
      <c r="L117" s="4">
        <v>0</v>
      </c>
      <c r="M117" s="4">
        <v>0</v>
      </c>
      <c r="N117" s="4">
        <v>55197979</v>
      </c>
      <c r="O117" s="4">
        <v>2</v>
      </c>
    </row>
    <row r="121" spans="1:27">
      <c r="A121">
        <v>65</v>
      </c>
      <c r="C121">
        <v>1</v>
      </c>
      <c r="D121">
        <v>0</v>
      </c>
      <c r="E121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C52"/>
  <sheetViews>
    <sheetView workbookViewId="0"/>
  </sheetViews>
  <sheetFormatPr defaultColWidth="9.140625" defaultRowHeight="12.75"/>
  <cols>
    <col min="1" max="256" width="9.140625" customWidth="1"/>
  </cols>
  <sheetData>
    <row r="1" spans="1:133">
      <c r="A1">
        <v>0</v>
      </c>
      <c r="B1" t="s">
        <v>0</v>
      </c>
      <c r="D1" t="s">
        <v>146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28224</v>
      </c>
      <c r="M1">
        <v>10</v>
      </c>
    </row>
    <row r="12" spans="1:133">
      <c r="A12" s="1">
        <v>1</v>
      </c>
      <c r="B12" s="1">
        <v>50</v>
      </c>
      <c r="C12" s="1">
        <v>0</v>
      </c>
      <c r="D12" s="1"/>
      <c r="E12" s="1">
        <v>0</v>
      </c>
      <c r="F12" s="1" t="s">
        <v>4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0</v>
      </c>
      <c r="BK12" s="1">
        <v>1</v>
      </c>
      <c r="BL12" s="1">
        <v>0</v>
      </c>
      <c r="BM12" s="1">
        <v>1</v>
      </c>
      <c r="BN12" s="1">
        <v>1</v>
      </c>
      <c r="BO12" s="1">
        <v>0</v>
      </c>
      <c r="BP12" s="1">
        <v>2</v>
      </c>
      <c r="BQ12" s="1">
        <v>2</v>
      </c>
      <c r="BR12" s="1">
        <v>1</v>
      </c>
      <c r="BS12" s="1">
        <v>0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393224</v>
      </c>
      <c r="CI12" s="1" t="s">
        <v>3</v>
      </c>
      <c r="CJ12" s="1" t="s">
        <v>3</v>
      </c>
      <c r="CK12" s="1">
        <v>0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>
      <c r="A14" s="1">
        <v>22</v>
      </c>
      <c r="B14" s="1">
        <v>0</v>
      </c>
      <c r="C14" s="1">
        <v>0</v>
      </c>
      <c r="D14" s="1">
        <v>55197951</v>
      </c>
      <c r="E14" s="1">
        <v>55197979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>
      <c r="A16" s="7">
        <v>3</v>
      </c>
      <c r="B16" s="7">
        <v>1</v>
      </c>
      <c r="C16" s="7" t="s">
        <v>11</v>
      </c>
      <c r="D16" s="7" t="s">
        <v>11</v>
      </c>
      <c r="E16" s="8">
        <f>(Source!P46)/1000</f>
        <v>19.304479999999998</v>
      </c>
      <c r="F16" s="8">
        <f>(Source!P47)/1000</f>
        <v>0</v>
      </c>
      <c r="G16" s="8">
        <f>(Source!P38)/1000</f>
        <v>0</v>
      </c>
      <c r="H16" s="8">
        <f>(Source!P48)/1000+(Source!P49)/1000</f>
        <v>0</v>
      </c>
      <c r="I16" s="8">
        <f>E16+F16+G16+H16</f>
        <v>19.304479999999998</v>
      </c>
      <c r="J16" s="8">
        <f>(Source!P44)/1000</f>
        <v>6.2420900000000001</v>
      </c>
      <c r="T16" s="9">
        <f>(Source!F46)/1000</f>
        <v>1.48125</v>
      </c>
      <c r="U16" s="9">
        <f>(Source!F47)/1000</f>
        <v>0</v>
      </c>
      <c r="V16" s="9">
        <f>(Source!F38)/1000</f>
        <v>0</v>
      </c>
      <c r="W16" s="9">
        <f>(Source!F48)/1000+(Source!F49)/1000</f>
        <v>0</v>
      </c>
      <c r="X16" s="9">
        <f>T16+U16+V16+W16</f>
        <v>1.48125</v>
      </c>
      <c r="Y16" s="9">
        <f>(Source!F44)/1000</f>
        <v>0.34127999999999997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11958.91</v>
      </c>
      <c r="AU16" s="8">
        <v>5666.68</v>
      </c>
      <c r="AV16" s="8">
        <v>0</v>
      </c>
      <c r="AW16" s="8">
        <v>0</v>
      </c>
      <c r="AX16" s="8">
        <v>0</v>
      </c>
      <c r="AY16" s="8">
        <v>50.14</v>
      </c>
      <c r="AZ16" s="8">
        <v>36.18</v>
      </c>
      <c r="BA16" s="8">
        <v>6242.09</v>
      </c>
      <c r="BB16" s="8">
        <v>19304.48</v>
      </c>
      <c r="BC16" s="8">
        <v>0</v>
      </c>
      <c r="BD16" s="8">
        <v>0</v>
      </c>
      <c r="BE16" s="8">
        <v>0</v>
      </c>
      <c r="BF16" s="8">
        <v>37.586370000000002</v>
      </c>
      <c r="BG16" s="8">
        <v>0.15509999999999999</v>
      </c>
      <c r="BH16" s="8">
        <v>0</v>
      </c>
      <c r="BI16" s="8">
        <v>5022.6099999999997</v>
      </c>
      <c r="BJ16" s="8">
        <v>2322.96</v>
      </c>
      <c r="BK16" s="8">
        <v>19304.48</v>
      </c>
      <c r="BR16" s="9">
        <v>993.82</v>
      </c>
      <c r="BS16" s="9">
        <v>646.88</v>
      </c>
      <c r="BT16" s="9">
        <v>0</v>
      </c>
      <c r="BU16" s="9">
        <v>0</v>
      </c>
      <c r="BV16" s="9">
        <v>0</v>
      </c>
      <c r="BW16" s="9">
        <v>5.66</v>
      </c>
      <c r="BX16" s="9">
        <v>1.98</v>
      </c>
      <c r="BY16" s="9">
        <v>341.28</v>
      </c>
      <c r="BZ16" s="9">
        <v>1481.25</v>
      </c>
      <c r="CA16" s="9">
        <v>0</v>
      </c>
      <c r="CB16" s="9">
        <v>0</v>
      </c>
      <c r="CC16" s="9">
        <v>0</v>
      </c>
      <c r="CD16" s="9">
        <v>37.586370000000002</v>
      </c>
      <c r="CE16" s="9">
        <v>0.15509999999999999</v>
      </c>
      <c r="CF16" s="9">
        <v>0</v>
      </c>
      <c r="CG16" s="9">
        <v>326.10000000000002</v>
      </c>
      <c r="CH16" s="9">
        <v>161.33000000000001</v>
      </c>
      <c r="CI16" s="9">
        <v>1481.25</v>
      </c>
    </row>
    <row r="18" spans="1:40">
      <c r="A18">
        <v>51</v>
      </c>
      <c r="E18" s="10">
        <f>SUMIF(A16:A17,3,E16:E17)</f>
        <v>19.304479999999998</v>
      </c>
      <c r="F18" s="10">
        <f>SUMIF(A16:A17,3,F16:F17)</f>
        <v>0</v>
      </c>
      <c r="G18" s="10">
        <f>SUMIF(A16:A17,3,G16:G17)</f>
        <v>0</v>
      </c>
      <c r="H18" s="10">
        <f>SUMIF(A16:A17,3,H16:H17)</f>
        <v>0</v>
      </c>
      <c r="I18" s="10">
        <f>SUMIF(A16:A17,3,I16:I17)</f>
        <v>19.304479999999998</v>
      </c>
      <c r="J18" s="10">
        <f>SUMIF(A16:A17,3,J16:J17)</f>
        <v>6.2420900000000001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1.48125</v>
      </c>
      <c r="U18" s="3">
        <f>SUMIF(A16:A17,3,U16:U17)</f>
        <v>0</v>
      </c>
      <c r="V18" s="3">
        <f>SUMIF(A16:A17,3,V16:V17)</f>
        <v>0</v>
      </c>
      <c r="W18" s="3">
        <f>SUMIF(A16:A17,3,W16:W17)</f>
        <v>0</v>
      </c>
      <c r="X18" s="3">
        <f>SUMIF(A16:A17,3,X16:X17)</f>
        <v>1.48125</v>
      </c>
      <c r="Y18" s="3">
        <f>SUMIF(A16:A17,3,Y16:Y17)</f>
        <v>0.34127999999999997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>
      <c r="A20" s="5">
        <v>50</v>
      </c>
      <c r="B20" s="5">
        <f>IF(SourceObSm!F20&lt;&gt;0,1,0)</f>
        <v>1</v>
      </c>
      <c r="C20" s="5">
        <v>0</v>
      </c>
      <c r="D20" s="5">
        <v>1</v>
      </c>
      <c r="E20" s="5">
        <v>201</v>
      </c>
      <c r="F20" s="5">
        <v>11958.91</v>
      </c>
      <c r="G20" s="5" t="s">
        <v>30</v>
      </c>
      <c r="H20" s="5" t="s">
        <v>31</v>
      </c>
      <c r="I20" s="5"/>
      <c r="J20" s="5"/>
      <c r="K20" s="5">
        <v>201</v>
      </c>
      <c r="L20" s="5">
        <v>1</v>
      </c>
      <c r="M20" s="5">
        <v>1</v>
      </c>
      <c r="N20" s="5" t="s">
        <v>3</v>
      </c>
      <c r="O20" s="5">
        <v>2</v>
      </c>
      <c r="P20" s="5">
        <v>993.82</v>
      </c>
    </row>
    <row r="21" spans="1:40">
      <c r="A21" s="5">
        <v>50</v>
      </c>
      <c r="B21" s="5">
        <f>IF(SourceObSm!F21&lt;&gt;0,1,0)</f>
        <v>1</v>
      </c>
      <c r="C21" s="5">
        <v>0</v>
      </c>
      <c r="D21" s="5">
        <v>1</v>
      </c>
      <c r="E21" s="5">
        <v>202</v>
      </c>
      <c r="F21" s="5">
        <v>5666.68</v>
      </c>
      <c r="G21" s="5" t="s">
        <v>32</v>
      </c>
      <c r="H21" s="5" t="s">
        <v>33</v>
      </c>
      <c r="I21" s="5"/>
      <c r="J21" s="5"/>
      <c r="K21" s="5">
        <v>202</v>
      </c>
      <c r="L21" s="5">
        <v>2</v>
      </c>
      <c r="M21" s="5">
        <v>1</v>
      </c>
      <c r="N21" s="5" t="s">
        <v>3</v>
      </c>
      <c r="O21" s="5">
        <v>2</v>
      </c>
      <c r="P21" s="5">
        <v>646.88</v>
      </c>
    </row>
    <row r="22" spans="1:40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34</v>
      </c>
      <c r="H22" s="5" t="s">
        <v>35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5666.68</v>
      </c>
      <c r="G23" s="5" t="s">
        <v>36</v>
      </c>
      <c r="H23" s="5" t="s">
        <v>37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646.88</v>
      </c>
    </row>
    <row r="24" spans="1:40">
      <c r="A24" s="5">
        <v>50</v>
      </c>
      <c r="B24" s="5">
        <f>IF(SourceObSm!F24&lt;&gt;0,1,0)</f>
        <v>1</v>
      </c>
      <c r="C24" s="5">
        <v>0</v>
      </c>
      <c r="D24" s="5">
        <v>1</v>
      </c>
      <c r="E24" s="5">
        <v>226</v>
      </c>
      <c r="F24" s="5">
        <v>5666.68</v>
      </c>
      <c r="G24" s="5" t="s">
        <v>38</v>
      </c>
      <c r="H24" s="5" t="s">
        <v>39</v>
      </c>
      <c r="I24" s="5"/>
      <c r="J24" s="5"/>
      <c r="K24" s="5">
        <v>226</v>
      </c>
      <c r="L24" s="5">
        <v>5</v>
      </c>
      <c r="M24" s="5">
        <v>1</v>
      </c>
      <c r="N24" s="5" t="s">
        <v>40</v>
      </c>
      <c r="O24" s="5">
        <v>2</v>
      </c>
      <c r="P24" s="5">
        <v>646.88</v>
      </c>
    </row>
    <row r="25" spans="1:40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41</v>
      </c>
      <c r="H25" s="5" t="s">
        <v>42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5666.68</v>
      </c>
      <c r="G26" s="5" t="s">
        <v>43</v>
      </c>
      <c r="H26" s="5" t="s">
        <v>44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646.88</v>
      </c>
    </row>
    <row r="27" spans="1:40">
      <c r="A27" s="5">
        <v>50</v>
      </c>
      <c r="B27" s="5">
        <f>IF(SourceObSm!F27&lt;&gt;0,1,0)</f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45</v>
      </c>
      <c r="H27" s="5" t="s">
        <v>46</v>
      </c>
      <c r="I27" s="5"/>
      <c r="J27" s="5"/>
      <c r="K27" s="5">
        <v>216</v>
      </c>
      <c r="L27" s="5">
        <v>8</v>
      </c>
      <c r="M27" s="5">
        <v>1</v>
      </c>
      <c r="N27" s="5" t="s">
        <v>3</v>
      </c>
      <c r="O27" s="5">
        <v>2</v>
      </c>
      <c r="P27" s="5">
        <v>0</v>
      </c>
    </row>
    <row r="28" spans="1:40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47</v>
      </c>
      <c r="H28" s="5" t="s">
        <v>48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49</v>
      </c>
      <c r="H29" s="5" t="s">
        <v>50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>
      <c r="A30" s="5">
        <v>50</v>
      </c>
      <c r="B30" s="5">
        <f>IF(SourceObSm!F30&lt;&gt;0,1,0)</f>
        <v>1</v>
      </c>
      <c r="C30" s="5">
        <v>0</v>
      </c>
      <c r="D30" s="5">
        <v>1</v>
      </c>
      <c r="E30" s="5">
        <v>203</v>
      </c>
      <c r="F30" s="5">
        <v>50.14</v>
      </c>
      <c r="G30" s="5" t="s">
        <v>51</v>
      </c>
      <c r="H30" s="5" t="s">
        <v>52</v>
      </c>
      <c r="I30" s="5"/>
      <c r="J30" s="5"/>
      <c r="K30" s="5">
        <v>203</v>
      </c>
      <c r="L30" s="5">
        <v>11</v>
      </c>
      <c r="M30" s="5">
        <v>1</v>
      </c>
      <c r="N30" s="5" t="s">
        <v>3</v>
      </c>
      <c r="O30" s="5">
        <v>2</v>
      </c>
      <c r="P30" s="5">
        <v>5.66</v>
      </c>
    </row>
    <row r="31" spans="1:40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53</v>
      </c>
      <c r="H31" s="5" t="s">
        <v>54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>
      <c r="A32" s="5">
        <v>50</v>
      </c>
      <c r="B32" s="5">
        <f>IF(SourceObSm!F32&lt;&gt;0,1,0)</f>
        <v>1</v>
      </c>
      <c r="C32" s="5">
        <v>0</v>
      </c>
      <c r="D32" s="5">
        <v>1</v>
      </c>
      <c r="E32" s="5">
        <v>204</v>
      </c>
      <c r="F32" s="5">
        <v>36.18</v>
      </c>
      <c r="G32" s="5" t="s">
        <v>55</v>
      </c>
      <c r="H32" s="5" t="s">
        <v>56</v>
      </c>
      <c r="I32" s="5"/>
      <c r="J32" s="5"/>
      <c r="K32" s="5">
        <v>204</v>
      </c>
      <c r="L32" s="5">
        <v>13</v>
      </c>
      <c r="M32" s="5">
        <v>1</v>
      </c>
      <c r="N32" s="5" t="s">
        <v>3</v>
      </c>
      <c r="O32" s="5">
        <v>2</v>
      </c>
      <c r="P32" s="5">
        <v>1.98</v>
      </c>
    </row>
    <row r="33" spans="1:16">
      <c r="A33" s="5">
        <v>50</v>
      </c>
      <c r="B33" s="5">
        <f>IF(SourceObSm!F33&lt;&gt;0,1,0)</f>
        <v>1</v>
      </c>
      <c r="C33" s="5">
        <v>0</v>
      </c>
      <c r="D33" s="5">
        <v>1</v>
      </c>
      <c r="E33" s="5">
        <v>205</v>
      </c>
      <c r="F33" s="5">
        <v>6242.09</v>
      </c>
      <c r="G33" s="5" t="s">
        <v>57</v>
      </c>
      <c r="H33" s="5" t="s">
        <v>58</v>
      </c>
      <c r="I33" s="5"/>
      <c r="J33" s="5"/>
      <c r="K33" s="5">
        <v>205</v>
      </c>
      <c r="L33" s="5">
        <v>14</v>
      </c>
      <c r="M33" s="5">
        <v>1</v>
      </c>
      <c r="N33" s="5" t="s">
        <v>3</v>
      </c>
      <c r="O33" s="5">
        <v>2</v>
      </c>
      <c r="P33" s="5">
        <v>341.28</v>
      </c>
    </row>
    <row r="34" spans="1:16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59</v>
      </c>
      <c r="H34" s="5" t="s">
        <v>60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>
      <c r="A35" s="5">
        <v>50</v>
      </c>
      <c r="B35" s="5">
        <f>IF(SourceObSm!F35&lt;&gt;0,1,0)</f>
        <v>1</v>
      </c>
      <c r="C35" s="5">
        <v>0</v>
      </c>
      <c r="D35" s="5">
        <v>1</v>
      </c>
      <c r="E35" s="5">
        <v>214</v>
      </c>
      <c r="F35" s="5">
        <v>19304.48</v>
      </c>
      <c r="G35" s="5" t="s">
        <v>61</v>
      </c>
      <c r="H35" s="5" t="s">
        <v>62</v>
      </c>
      <c r="I35" s="5"/>
      <c r="J35" s="5"/>
      <c r="K35" s="5">
        <v>214</v>
      </c>
      <c r="L35" s="5">
        <v>16</v>
      </c>
      <c r="M35" s="5">
        <v>1</v>
      </c>
      <c r="N35" s="5" t="s">
        <v>3</v>
      </c>
      <c r="O35" s="5">
        <v>2</v>
      </c>
      <c r="P35" s="5">
        <v>1481.25</v>
      </c>
    </row>
    <row r="36" spans="1:16">
      <c r="A36" s="5">
        <v>50</v>
      </c>
      <c r="B36" s="5">
        <f>IF(SourceObSm!F36&lt;&gt;0,1,0)</f>
        <v>0</v>
      </c>
      <c r="C36" s="5">
        <v>0</v>
      </c>
      <c r="D36" s="5">
        <v>1</v>
      </c>
      <c r="E36" s="5">
        <v>215</v>
      </c>
      <c r="F36" s="5">
        <v>0</v>
      </c>
      <c r="G36" s="5" t="s">
        <v>63</v>
      </c>
      <c r="H36" s="5" t="s">
        <v>64</v>
      </c>
      <c r="I36" s="5"/>
      <c r="J36" s="5"/>
      <c r="K36" s="5">
        <v>215</v>
      </c>
      <c r="L36" s="5">
        <v>17</v>
      </c>
      <c r="M36" s="5">
        <v>1</v>
      </c>
      <c r="N36" s="5" t="s">
        <v>3</v>
      </c>
      <c r="O36" s="5">
        <v>2</v>
      </c>
      <c r="P36" s="5">
        <v>0</v>
      </c>
    </row>
    <row r="37" spans="1:16">
      <c r="A37" s="5">
        <v>50</v>
      </c>
      <c r="B37" s="5">
        <f>IF(SourceObSm!F37&lt;&gt;0,1,0)</f>
        <v>0</v>
      </c>
      <c r="C37" s="5">
        <v>0</v>
      </c>
      <c r="D37" s="5">
        <v>1</v>
      </c>
      <c r="E37" s="5">
        <v>217</v>
      </c>
      <c r="F37" s="5">
        <v>0</v>
      </c>
      <c r="G37" s="5" t="s">
        <v>65</v>
      </c>
      <c r="H37" s="5" t="s">
        <v>66</v>
      </c>
      <c r="I37" s="5"/>
      <c r="J37" s="5"/>
      <c r="K37" s="5">
        <v>217</v>
      </c>
      <c r="L37" s="5">
        <v>18</v>
      </c>
      <c r="M37" s="5">
        <v>1</v>
      </c>
      <c r="N37" s="5" t="s">
        <v>3</v>
      </c>
      <c r="O37" s="5">
        <v>2</v>
      </c>
      <c r="P37" s="5">
        <v>0</v>
      </c>
    </row>
    <row r="38" spans="1:16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67</v>
      </c>
      <c r="H38" s="5" t="s">
        <v>68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>
      <c r="A39" s="5">
        <v>50</v>
      </c>
      <c r="B39" s="5">
        <f>IF(SourceObSm!F39&lt;&gt;0,1,0)</f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69</v>
      </c>
      <c r="H39" s="5" t="s">
        <v>70</v>
      </c>
      <c r="I39" s="5"/>
      <c r="J39" s="5"/>
      <c r="K39" s="5">
        <v>206</v>
      </c>
      <c r="L39" s="5">
        <v>20</v>
      </c>
      <c r="M39" s="5">
        <v>1</v>
      </c>
      <c r="N39" s="5" t="s">
        <v>3</v>
      </c>
      <c r="O39" s="5">
        <v>2</v>
      </c>
      <c r="P39" s="5">
        <v>0</v>
      </c>
    </row>
    <row r="40" spans="1:16">
      <c r="A40" s="5">
        <v>50</v>
      </c>
      <c r="B40" s="5">
        <f>IF(SourceObSm!F40&lt;&gt;0,1,0)</f>
        <v>1</v>
      </c>
      <c r="C40" s="5">
        <v>0</v>
      </c>
      <c r="D40" s="5">
        <v>1</v>
      </c>
      <c r="E40" s="5">
        <v>207</v>
      </c>
      <c r="F40" s="5">
        <v>37.586370000000002</v>
      </c>
      <c r="G40" s="5" t="s">
        <v>71</v>
      </c>
      <c r="H40" s="5" t="s">
        <v>72</v>
      </c>
      <c r="I40" s="5"/>
      <c r="J40" s="5"/>
      <c r="K40" s="5">
        <v>207</v>
      </c>
      <c r="L40" s="5">
        <v>21</v>
      </c>
      <c r="M40" s="5">
        <v>1</v>
      </c>
      <c r="N40" s="5" t="s">
        <v>3</v>
      </c>
      <c r="O40" s="5">
        <v>-1</v>
      </c>
      <c r="P40" s="5">
        <v>37.586370000000002</v>
      </c>
    </row>
    <row r="41" spans="1:16">
      <c r="A41" s="5">
        <v>50</v>
      </c>
      <c r="B41" s="5">
        <f>IF(SourceObSm!F41&lt;&gt;0,1,0)</f>
        <v>1</v>
      </c>
      <c r="C41" s="5">
        <v>0</v>
      </c>
      <c r="D41" s="5">
        <v>1</v>
      </c>
      <c r="E41" s="5">
        <v>208</v>
      </c>
      <c r="F41" s="5">
        <v>0.15509999999999999</v>
      </c>
      <c r="G41" s="5" t="s">
        <v>73</v>
      </c>
      <c r="H41" s="5" t="s">
        <v>74</v>
      </c>
      <c r="I41" s="5"/>
      <c r="J41" s="5"/>
      <c r="K41" s="5">
        <v>208</v>
      </c>
      <c r="L41" s="5">
        <v>22</v>
      </c>
      <c r="M41" s="5">
        <v>1</v>
      </c>
      <c r="N41" s="5" t="s">
        <v>3</v>
      </c>
      <c r="O41" s="5">
        <v>-1</v>
      </c>
      <c r="P41" s="5">
        <v>0.15509999999999999</v>
      </c>
    </row>
    <row r="42" spans="1:16">
      <c r="A42" s="5">
        <v>50</v>
      </c>
      <c r="B42" s="5">
        <f>IF(SourceObSm!F42&lt;&gt;0,1,0)</f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75</v>
      </c>
      <c r="H42" s="5" t="s">
        <v>76</v>
      </c>
      <c r="I42" s="5"/>
      <c r="J42" s="5"/>
      <c r="K42" s="5">
        <v>209</v>
      </c>
      <c r="L42" s="5">
        <v>23</v>
      </c>
      <c r="M42" s="5">
        <v>1</v>
      </c>
      <c r="N42" s="5" t="s">
        <v>3</v>
      </c>
      <c r="O42" s="5">
        <v>2</v>
      </c>
      <c r="P42" s="5">
        <v>0</v>
      </c>
    </row>
    <row r="43" spans="1:16">
      <c r="A43" s="5">
        <v>50</v>
      </c>
      <c r="B43" s="5">
        <f>IF(SourceObSm!F43&lt;&gt;0,1,0)</f>
        <v>1</v>
      </c>
      <c r="C43" s="5">
        <v>0</v>
      </c>
      <c r="D43" s="5">
        <v>1</v>
      </c>
      <c r="E43" s="5">
        <v>210</v>
      </c>
      <c r="F43" s="5">
        <v>5022.6099999999997</v>
      </c>
      <c r="G43" s="5" t="s">
        <v>77</v>
      </c>
      <c r="H43" s="5" t="s">
        <v>78</v>
      </c>
      <c r="I43" s="5"/>
      <c r="J43" s="5"/>
      <c r="K43" s="5">
        <v>210</v>
      </c>
      <c r="L43" s="5">
        <v>24</v>
      </c>
      <c r="M43" s="5">
        <v>1</v>
      </c>
      <c r="N43" s="5" t="s">
        <v>3</v>
      </c>
      <c r="O43" s="5">
        <v>2</v>
      </c>
      <c r="P43" s="5">
        <v>326.10000000000002</v>
      </c>
    </row>
    <row r="44" spans="1:16">
      <c r="A44" s="5">
        <v>50</v>
      </c>
      <c r="B44" s="5">
        <f>IF(SourceObSm!F44&lt;&gt;0,1,0)</f>
        <v>1</v>
      </c>
      <c r="C44" s="5">
        <v>0</v>
      </c>
      <c r="D44" s="5">
        <v>1</v>
      </c>
      <c r="E44" s="5">
        <v>211</v>
      </c>
      <c r="F44" s="5">
        <v>2322.96</v>
      </c>
      <c r="G44" s="5" t="s">
        <v>79</v>
      </c>
      <c r="H44" s="5" t="s">
        <v>80</v>
      </c>
      <c r="I44" s="5"/>
      <c r="J44" s="5"/>
      <c r="K44" s="5">
        <v>211</v>
      </c>
      <c r="L44" s="5">
        <v>25</v>
      </c>
      <c r="M44" s="5">
        <v>1</v>
      </c>
      <c r="N44" s="5" t="s">
        <v>3</v>
      </c>
      <c r="O44" s="5">
        <v>2</v>
      </c>
      <c r="P44" s="5">
        <v>161.33000000000001</v>
      </c>
    </row>
    <row r="45" spans="1:16">
      <c r="A45" s="5">
        <v>50</v>
      </c>
      <c r="B45" s="5">
        <f>IF(SourceObSm!F45&lt;&gt;0,1,0)</f>
        <v>1</v>
      </c>
      <c r="C45" s="5">
        <v>0</v>
      </c>
      <c r="D45" s="5">
        <v>1</v>
      </c>
      <c r="E45" s="5">
        <v>224</v>
      </c>
      <c r="F45" s="5">
        <v>19304.48</v>
      </c>
      <c r="G45" s="5" t="s">
        <v>81</v>
      </c>
      <c r="H45" s="5" t="s">
        <v>82</v>
      </c>
      <c r="I45" s="5"/>
      <c r="J45" s="5"/>
      <c r="K45" s="5">
        <v>224</v>
      </c>
      <c r="L45" s="5">
        <v>26</v>
      </c>
      <c r="M45" s="5">
        <v>1</v>
      </c>
      <c r="N45" s="5" t="s">
        <v>3</v>
      </c>
      <c r="O45" s="5">
        <v>2</v>
      </c>
      <c r="P45" s="5">
        <v>1481.25</v>
      </c>
    </row>
    <row r="47" spans="1:16">
      <c r="A47">
        <v>-1</v>
      </c>
    </row>
    <row r="50" spans="1:27">
      <c r="A50" s="4">
        <v>75</v>
      </c>
      <c r="B50" s="4" t="s">
        <v>142</v>
      </c>
      <c r="C50" s="4">
        <v>2017</v>
      </c>
      <c r="D50" s="4">
        <v>0</v>
      </c>
      <c r="E50" s="4">
        <v>12</v>
      </c>
      <c r="F50" s="4"/>
      <c r="G50" s="4">
        <v>0</v>
      </c>
      <c r="H50" s="4">
        <v>1</v>
      </c>
      <c r="I50" s="4">
        <v>0</v>
      </c>
      <c r="J50" s="4">
        <v>1</v>
      </c>
      <c r="K50" s="4">
        <v>0</v>
      </c>
      <c r="L50" s="4">
        <v>0</v>
      </c>
      <c r="M50" s="4">
        <v>1</v>
      </c>
      <c r="N50" s="4">
        <v>55197951</v>
      </c>
      <c r="O50" s="4">
        <v>1</v>
      </c>
    </row>
    <row r="51" spans="1:27">
      <c r="A51" s="6">
        <v>1</v>
      </c>
      <c r="B51" s="6" t="s">
        <v>143</v>
      </c>
      <c r="C51" s="6" t="s">
        <v>144</v>
      </c>
      <c r="D51" s="6">
        <v>2017</v>
      </c>
      <c r="E51" s="6">
        <v>12</v>
      </c>
      <c r="F51" s="6">
        <v>1</v>
      </c>
      <c r="G51" s="6">
        <v>1</v>
      </c>
      <c r="H51" s="6">
        <v>0</v>
      </c>
      <c r="I51" s="6">
        <v>2</v>
      </c>
      <c r="J51" s="6">
        <v>1</v>
      </c>
      <c r="K51" s="6">
        <v>1</v>
      </c>
      <c r="L51" s="6">
        <v>1</v>
      </c>
      <c r="M51" s="6">
        <v>1</v>
      </c>
      <c r="N51" s="6">
        <v>1</v>
      </c>
      <c r="O51" s="6">
        <v>1</v>
      </c>
      <c r="P51" s="6">
        <v>1</v>
      </c>
      <c r="Q51" s="6">
        <v>1</v>
      </c>
      <c r="R51" s="6" t="s">
        <v>3</v>
      </c>
      <c r="S51" s="6" t="s">
        <v>3</v>
      </c>
      <c r="T51" s="6" t="s">
        <v>3</v>
      </c>
      <c r="U51" s="6" t="s">
        <v>3</v>
      </c>
      <c r="V51" s="6" t="s">
        <v>3</v>
      </c>
      <c r="W51" s="6" t="s">
        <v>3</v>
      </c>
      <c r="X51" s="6" t="s">
        <v>3</v>
      </c>
      <c r="Y51" s="6" t="s">
        <v>3</v>
      </c>
      <c r="Z51" s="6" t="s">
        <v>3</v>
      </c>
      <c r="AA51" s="6" t="s">
        <v>3</v>
      </c>
    </row>
    <row r="52" spans="1:27">
      <c r="A52" s="4">
        <v>75</v>
      </c>
      <c r="B52" s="4" t="s">
        <v>145</v>
      </c>
      <c r="C52" s="4">
        <v>2000</v>
      </c>
      <c r="D52" s="4">
        <v>0</v>
      </c>
      <c r="E52" s="4">
        <v>1</v>
      </c>
      <c r="F52" s="4"/>
      <c r="G52" s="4">
        <v>0</v>
      </c>
      <c r="H52" s="4">
        <v>1</v>
      </c>
      <c r="I52" s="4">
        <v>0</v>
      </c>
      <c r="J52" s="4">
        <v>1</v>
      </c>
      <c r="K52" s="4">
        <v>0</v>
      </c>
      <c r="L52" s="4">
        <v>0</v>
      </c>
      <c r="M52" s="4">
        <v>0</v>
      </c>
      <c r="N52" s="4">
        <v>55197979</v>
      </c>
      <c r="O52" s="4">
        <v>2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B36"/>
  <sheetViews>
    <sheetView workbookViewId="0"/>
  </sheetViews>
  <sheetFormatPr defaultColWidth="9.140625" defaultRowHeight="12.75"/>
  <cols>
    <col min="1" max="256" width="9.140625" customWidth="1"/>
  </cols>
  <sheetData>
    <row r="1" spans="1:106">
      <c r="A1">
        <f>ROW(Source!A24)</f>
        <v>24</v>
      </c>
      <c r="B1">
        <v>55197979</v>
      </c>
      <c r="C1">
        <v>55197969</v>
      </c>
      <c r="D1">
        <v>25655219</v>
      </c>
      <c r="E1">
        <v>1</v>
      </c>
      <c r="F1">
        <v>1</v>
      </c>
      <c r="G1">
        <v>1</v>
      </c>
      <c r="H1">
        <v>1</v>
      </c>
      <c r="I1" t="s">
        <v>147</v>
      </c>
      <c r="J1" t="s">
        <v>3</v>
      </c>
      <c r="K1" t="s">
        <v>148</v>
      </c>
      <c r="L1">
        <v>1369</v>
      </c>
      <c r="N1">
        <v>1013</v>
      </c>
      <c r="O1" t="s">
        <v>149</v>
      </c>
      <c r="P1" t="s">
        <v>149</v>
      </c>
      <c r="Q1">
        <v>1</v>
      </c>
      <c r="W1">
        <v>0</v>
      </c>
      <c r="X1">
        <v>-953108061</v>
      </c>
      <c r="Y1">
        <v>445.74</v>
      </c>
      <c r="AA1">
        <v>0</v>
      </c>
      <c r="AB1">
        <v>0</v>
      </c>
      <c r="AC1">
        <v>0</v>
      </c>
      <c r="AD1">
        <v>9.08</v>
      </c>
      <c r="AE1">
        <v>0</v>
      </c>
      <c r="AF1">
        <v>0</v>
      </c>
      <c r="AG1">
        <v>0</v>
      </c>
      <c r="AH1">
        <v>9.08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S1" t="s">
        <v>3</v>
      </c>
      <c r="AT1">
        <v>387.6</v>
      </c>
      <c r="AU1" t="s">
        <v>18</v>
      </c>
      <c r="AV1">
        <v>1</v>
      </c>
      <c r="AW1">
        <v>2</v>
      </c>
      <c r="AX1">
        <v>55197970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20.949780000000001</v>
      </c>
      <c r="CY1">
        <f>AD1</f>
        <v>9.08</v>
      </c>
      <c r="CZ1">
        <f>AH1</f>
        <v>9.08</v>
      </c>
      <c r="DA1">
        <f>AL1</f>
        <v>1</v>
      </c>
      <c r="DB1">
        <v>0</v>
      </c>
    </row>
    <row r="2" spans="1:106">
      <c r="A2">
        <f>ROW(Source!A24)</f>
        <v>24</v>
      </c>
      <c r="B2">
        <v>55197979</v>
      </c>
      <c r="C2">
        <v>55197969</v>
      </c>
      <c r="D2">
        <v>40494002</v>
      </c>
      <c r="E2">
        <v>1</v>
      </c>
      <c r="F2">
        <v>1</v>
      </c>
      <c r="G2">
        <v>1</v>
      </c>
      <c r="H2">
        <v>1</v>
      </c>
      <c r="I2" t="s">
        <v>150</v>
      </c>
      <c r="J2" t="s">
        <v>3</v>
      </c>
      <c r="K2" t="s">
        <v>151</v>
      </c>
      <c r="L2">
        <v>608254</v>
      </c>
      <c r="N2">
        <v>1013</v>
      </c>
      <c r="O2" t="s">
        <v>152</v>
      </c>
      <c r="P2" t="s">
        <v>152</v>
      </c>
      <c r="Q2">
        <v>1</v>
      </c>
      <c r="W2">
        <v>0</v>
      </c>
      <c r="X2">
        <v>95408949</v>
      </c>
      <c r="Y2">
        <v>1.6500000000000001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1</v>
      </c>
      <c r="AQ2">
        <v>0</v>
      </c>
      <c r="AR2">
        <v>0</v>
      </c>
      <c r="AS2" t="s">
        <v>3</v>
      </c>
      <c r="AT2">
        <v>1.32</v>
      </c>
      <c r="AU2" t="s">
        <v>17</v>
      </c>
      <c r="AV2">
        <v>2</v>
      </c>
      <c r="AW2">
        <v>2</v>
      </c>
      <c r="AX2">
        <v>55197971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7.7550000000000008E-2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>
      <c r="A3">
        <f>ROW(Source!A24)</f>
        <v>24</v>
      </c>
      <c r="B3">
        <v>55197979</v>
      </c>
      <c r="C3">
        <v>55197969</v>
      </c>
      <c r="D3">
        <v>42066299</v>
      </c>
      <c r="E3">
        <v>1</v>
      </c>
      <c r="F3">
        <v>1</v>
      </c>
      <c r="G3">
        <v>1</v>
      </c>
      <c r="H3">
        <v>2</v>
      </c>
      <c r="I3" t="s">
        <v>153</v>
      </c>
      <c r="J3" t="s">
        <v>154</v>
      </c>
      <c r="K3" t="s">
        <v>155</v>
      </c>
      <c r="L3">
        <v>1368</v>
      </c>
      <c r="N3">
        <v>1011</v>
      </c>
      <c r="O3" t="s">
        <v>156</v>
      </c>
      <c r="P3" t="s">
        <v>156</v>
      </c>
      <c r="Q3">
        <v>1</v>
      </c>
      <c r="W3">
        <v>0</v>
      </c>
      <c r="X3">
        <v>-149788903</v>
      </c>
      <c r="Y3">
        <v>0.13750000000000001</v>
      </c>
      <c r="AA3">
        <v>0</v>
      </c>
      <c r="AB3">
        <v>97.95</v>
      </c>
      <c r="AC3">
        <v>9.7100000000000009</v>
      </c>
      <c r="AD3">
        <v>0</v>
      </c>
      <c r="AE3">
        <v>0</v>
      </c>
      <c r="AF3">
        <v>97.95</v>
      </c>
      <c r="AG3">
        <v>9.7100000000000009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1</v>
      </c>
      <c r="AQ3">
        <v>0</v>
      </c>
      <c r="AR3">
        <v>0</v>
      </c>
      <c r="AS3" t="s">
        <v>3</v>
      </c>
      <c r="AT3">
        <v>0.11</v>
      </c>
      <c r="AU3" t="s">
        <v>17</v>
      </c>
      <c r="AV3">
        <v>0</v>
      </c>
      <c r="AW3">
        <v>2</v>
      </c>
      <c r="AX3">
        <v>55197972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6.4625000000000004E-3</v>
      </c>
      <c r="CY3">
        <f>AB3</f>
        <v>97.95</v>
      </c>
      <c r="CZ3">
        <f>AF3</f>
        <v>97.95</v>
      </c>
      <c r="DA3">
        <f>AJ3</f>
        <v>1</v>
      </c>
      <c r="DB3">
        <v>0</v>
      </c>
    </row>
    <row r="4" spans="1:106">
      <c r="A4">
        <f>ROW(Source!A24)</f>
        <v>24</v>
      </c>
      <c r="B4">
        <v>55197979</v>
      </c>
      <c r="C4">
        <v>55197969</v>
      </c>
      <c r="D4">
        <v>42066358</v>
      </c>
      <c r="E4">
        <v>1</v>
      </c>
      <c r="F4">
        <v>1</v>
      </c>
      <c r="G4">
        <v>1</v>
      </c>
      <c r="H4">
        <v>2</v>
      </c>
      <c r="I4" t="s">
        <v>157</v>
      </c>
      <c r="J4" t="s">
        <v>158</v>
      </c>
      <c r="K4" t="s">
        <v>159</v>
      </c>
      <c r="L4">
        <v>1368</v>
      </c>
      <c r="N4">
        <v>1011</v>
      </c>
      <c r="O4" t="s">
        <v>156</v>
      </c>
      <c r="P4" t="s">
        <v>156</v>
      </c>
      <c r="Q4">
        <v>1</v>
      </c>
      <c r="W4">
        <v>0</v>
      </c>
      <c r="X4">
        <v>-1205898307</v>
      </c>
      <c r="Y4">
        <v>1.5125</v>
      </c>
      <c r="AA4">
        <v>0</v>
      </c>
      <c r="AB4">
        <v>30.85</v>
      </c>
      <c r="AC4">
        <v>13.03</v>
      </c>
      <c r="AD4">
        <v>0</v>
      </c>
      <c r="AE4">
        <v>0</v>
      </c>
      <c r="AF4">
        <v>30.85</v>
      </c>
      <c r="AG4">
        <v>13.03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1</v>
      </c>
      <c r="AQ4">
        <v>0</v>
      </c>
      <c r="AR4">
        <v>0</v>
      </c>
      <c r="AS4" t="s">
        <v>3</v>
      </c>
      <c r="AT4">
        <v>1.21</v>
      </c>
      <c r="AU4" t="s">
        <v>17</v>
      </c>
      <c r="AV4">
        <v>0</v>
      </c>
      <c r="AW4">
        <v>2</v>
      </c>
      <c r="AX4">
        <v>55197973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Y4*Source!I24</f>
        <v>7.1087499999999998E-2</v>
      </c>
      <c r="CY4">
        <f>AB4</f>
        <v>30.85</v>
      </c>
      <c r="CZ4">
        <f>AF4</f>
        <v>30.85</v>
      </c>
      <c r="DA4">
        <f>AJ4</f>
        <v>1</v>
      </c>
      <c r="DB4">
        <v>0</v>
      </c>
    </row>
    <row r="5" spans="1:106">
      <c r="A5">
        <f>ROW(Source!A24)</f>
        <v>24</v>
      </c>
      <c r="B5">
        <v>55197979</v>
      </c>
      <c r="C5">
        <v>55197969</v>
      </c>
      <c r="D5">
        <v>42069182</v>
      </c>
      <c r="E5">
        <v>1</v>
      </c>
      <c r="F5">
        <v>1</v>
      </c>
      <c r="G5">
        <v>1</v>
      </c>
      <c r="H5">
        <v>3</v>
      </c>
      <c r="I5" t="s">
        <v>160</v>
      </c>
      <c r="J5" t="s">
        <v>161</v>
      </c>
      <c r="K5" t="s">
        <v>162</v>
      </c>
      <c r="L5">
        <v>1327</v>
      </c>
      <c r="N5">
        <v>1005</v>
      </c>
      <c r="O5" t="s">
        <v>163</v>
      </c>
      <c r="P5" t="s">
        <v>163</v>
      </c>
      <c r="Q5">
        <v>1</v>
      </c>
      <c r="W5">
        <v>0</v>
      </c>
      <c r="X5">
        <v>157810889</v>
      </c>
      <c r="Y5">
        <v>100</v>
      </c>
      <c r="AA5">
        <v>57.98</v>
      </c>
      <c r="AB5">
        <v>0</v>
      </c>
      <c r="AC5">
        <v>0</v>
      </c>
      <c r="AD5">
        <v>0</v>
      </c>
      <c r="AE5">
        <v>57.98</v>
      </c>
      <c r="AF5">
        <v>0</v>
      </c>
      <c r="AG5">
        <v>0</v>
      </c>
      <c r="AH5">
        <v>0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100</v>
      </c>
      <c r="AU5" t="s">
        <v>3</v>
      </c>
      <c r="AV5">
        <v>0</v>
      </c>
      <c r="AW5">
        <v>2</v>
      </c>
      <c r="AX5">
        <v>55197974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Y5*Source!I24</f>
        <v>4.7</v>
      </c>
      <c r="CY5">
        <f>AA5</f>
        <v>57.98</v>
      </c>
      <c r="CZ5">
        <f>AE5</f>
        <v>57.98</v>
      </c>
      <c r="DA5">
        <f>AI5</f>
        <v>1</v>
      </c>
      <c r="DB5">
        <v>0</v>
      </c>
    </row>
    <row r="6" spans="1:106">
      <c r="A6">
        <f>ROW(Source!A24)</f>
        <v>24</v>
      </c>
      <c r="B6">
        <v>55197979</v>
      </c>
      <c r="C6">
        <v>55197969</v>
      </c>
      <c r="D6">
        <v>42070112</v>
      </c>
      <c r="E6">
        <v>1</v>
      </c>
      <c r="F6">
        <v>1</v>
      </c>
      <c r="G6">
        <v>1</v>
      </c>
      <c r="H6">
        <v>3</v>
      </c>
      <c r="I6" t="s">
        <v>164</v>
      </c>
      <c r="J6" t="s">
        <v>165</v>
      </c>
      <c r="K6" t="s">
        <v>166</v>
      </c>
      <c r="L6">
        <v>1348</v>
      </c>
      <c r="N6">
        <v>1009</v>
      </c>
      <c r="O6" t="s">
        <v>167</v>
      </c>
      <c r="P6" t="s">
        <v>167</v>
      </c>
      <c r="Q6">
        <v>1000</v>
      </c>
      <c r="W6">
        <v>0</v>
      </c>
      <c r="X6">
        <v>-1598640094</v>
      </c>
      <c r="Y6">
        <v>0.04</v>
      </c>
      <c r="AA6">
        <v>418.43</v>
      </c>
      <c r="AB6">
        <v>0</v>
      </c>
      <c r="AC6">
        <v>0</v>
      </c>
      <c r="AD6">
        <v>0</v>
      </c>
      <c r="AE6">
        <v>418.43</v>
      </c>
      <c r="AF6">
        <v>0</v>
      </c>
      <c r="AG6">
        <v>0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0.04</v>
      </c>
      <c r="AU6" t="s">
        <v>3</v>
      </c>
      <c r="AV6">
        <v>0</v>
      </c>
      <c r="AW6">
        <v>2</v>
      </c>
      <c r="AX6">
        <v>55197975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Y6*Source!I24</f>
        <v>1.8799999999999999E-3</v>
      </c>
      <c r="CY6">
        <f>AA6</f>
        <v>418.43</v>
      </c>
      <c r="CZ6">
        <f>AE6</f>
        <v>418.43</v>
      </c>
      <c r="DA6">
        <f>AI6</f>
        <v>1</v>
      </c>
      <c r="DB6">
        <v>0</v>
      </c>
    </row>
    <row r="7" spans="1:106">
      <c r="A7">
        <f>ROW(Source!A24)</f>
        <v>24</v>
      </c>
      <c r="B7">
        <v>55197979</v>
      </c>
      <c r="C7">
        <v>55197969</v>
      </c>
      <c r="D7">
        <v>42070510</v>
      </c>
      <c r="E7">
        <v>1</v>
      </c>
      <c r="F7">
        <v>1</v>
      </c>
      <c r="G7">
        <v>1</v>
      </c>
      <c r="H7">
        <v>3</v>
      </c>
      <c r="I7" t="s">
        <v>168</v>
      </c>
      <c r="J7" t="s">
        <v>169</v>
      </c>
      <c r="K7" t="s">
        <v>170</v>
      </c>
      <c r="L7">
        <v>1346</v>
      </c>
      <c r="N7">
        <v>1009</v>
      </c>
      <c r="O7" t="s">
        <v>171</v>
      </c>
      <c r="P7" t="s">
        <v>171</v>
      </c>
      <c r="Q7">
        <v>1</v>
      </c>
      <c r="W7">
        <v>0</v>
      </c>
      <c r="X7">
        <v>-1526040720</v>
      </c>
      <c r="Y7">
        <v>0.5</v>
      </c>
      <c r="AA7">
        <v>1.94</v>
      </c>
      <c r="AB7">
        <v>0</v>
      </c>
      <c r="AC7">
        <v>0</v>
      </c>
      <c r="AD7">
        <v>0</v>
      </c>
      <c r="AE7">
        <v>1.94</v>
      </c>
      <c r="AF7">
        <v>0</v>
      </c>
      <c r="AG7">
        <v>0</v>
      </c>
      <c r="AH7">
        <v>0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0.5</v>
      </c>
      <c r="AU7" t="s">
        <v>3</v>
      </c>
      <c r="AV7">
        <v>0</v>
      </c>
      <c r="AW7">
        <v>2</v>
      </c>
      <c r="AX7">
        <v>55197976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Y7*Source!I24</f>
        <v>2.35E-2</v>
      </c>
      <c r="CY7">
        <f>AA7</f>
        <v>1.94</v>
      </c>
      <c r="CZ7">
        <f>AE7</f>
        <v>1.94</v>
      </c>
      <c r="DA7">
        <f>AI7</f>
        <v>1</v>
      </c>
      <c r="DB7">
        <v>0</v>
      </c>
    </row>
    <row r="8" spans="1:106">
      <c r="A8">
        <f>ROW(Source!A24)</f>
        <v>24</v>
      </c>
      <c r="B8">
        <v>55197979</v>
      </c>
      <c r="C8">
        <v>55197969</v>
      </c>
      <c r="D8">
        <v>42103993</v>
      </c>
      <c r="E8">
        <v>1</v>
      </c>
      <c r="F8">
        <v>1</v>
      </c>
      <c r="G8">
        <v>1</v>
      </c>
      <c r="H8">
        <v>3</v>
      </c>
      <c r="I8" t="s">
        <v>172</v>
      </c>
      <c r="J8" t="s">
        <v>173</v>
      </c>
      <c r="K8" t="s">
        <v>174</v>
      </c>
      <c r="L8">
        <v>1339</v>
      </c>
      <c r="N8">
        <v>1007</v>
      </c>
      <c r="O8" t="s">
        <v>175</v>
      </c>
      <c r="P8" t="s">
        <v>175</v>
      </c>
      <c r="Q8">
        <v>1</v>
      </c>
      <c r="W8">
        <v>0</v>
      </c>
      <c r="X8">
        <v>1516837705</v>
      </c>
      <c r="Y8">
        <v>2</v>
      </c>
      <c r="AA8">
        <v>532.39</v>
      </c>
      <c r="AB8">
        <v>0</v>
      </c>
      <c r="AC8">
        <v>0</v>
      </c>
      <c r="AD8">
        <v>0</v>
      </c>
      <c r="AE8">
        <v>532.39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2</v>
      </c>
      <c r="AU8" t="s">
        <v>3</v>
      </c>
      <c r="AV8">
        <v>0</v>
      </c>
      <c r="AW8">
        <v>2</v>
      </c>
      <c r="AX8">
        <v>55197977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Y8*Source!I24</f>
        <v>9.4E-2</v>
      </c>
      <c r="CY8">
        <f>AA8</f>
        <v>532.39</v>
      </c>
      <c r="CZ8">
        <f>AE8</f>
        <v>532.39</v>
      </c>
      <c r="DA8">
        <f>AI8</f>
        <v>1</v>
      </c>
      <c r="DB8">
        <v>0</v>
      </c>
    </row>
    <row r="9" spans="1:106">
      <c r="A9">
        <f>ROW(Source!A24)</f>
        <v>24</v>
      </c>
      <c r="B9">
        <v>55197979</v>
      </c>
      <c r="C9">
        <v>55197969</v>
      </c>
      <c r="D9">
        <v>42112512</v>
      </c>
      <c r="E9">
        <v>1</v>
      </c>
      <c r="F9">
        <v>1</v>
      </c>
      <c r="G9">
        <v>1</v>
      </c>
      <c r="H9">
        <v>3</v>
      </c>
      <c r="I9" t="s">
        <v>176</v>
      </c>
      <c r="J9" t="s">
        <v>177</v>
      </c>
      <c r="K9" t="s">
        <v>178</v>
      </c>
      <c r="L9">
        <v>1339</v>
      </c>
      <c r="N9">
        <v>1007</v>
      </c>
      <c r="O9" t="s">
        <v>175</v>
      </c>
      <c r="P9" t="s">
        <v>175</v>
      </c>
      <c r="Q9">
        <v>1</v>
      </c>
      <c r="W9">
        <v>0</v>
      </c>
      <c r="X9">
        <v>2050165204</v>
      </c>
      <c r="Y9">
        <v>0.5</v>
      </c>
      <c r="AA9">
        <v>2.4500000000000002</v>
      </c>
      <c r="AB9">
        <v>0</v>
      </c>
      <c r="AC9">
        <v>0</v>
      </c>
      <c r="AD9">
        <v>0</v>
      </c>
      <c r="AE9">
        <v>2.4500000000000002</v>
      </c>
      <c r="AF9">
        <v>0</v>
      </c>
      <c r="AG9">
        <v>0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0.5</v>
      </c>
      <c r="AU9" t="s">
        <v>3</v>
      </c>
      <c r="AV9">
        <v>0</v>
      </c>
      <c r="AW9">
        <v>2</v>
      </c>
      <c r="AX9">
        <v>55197978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Y9*Source!I24</f>
        <v>2.35E-2</v>
      </c>
      <c r="CY9">
        <f>AA9</f>
        <v>2.4500000000000002</v>
      </c>
      <c r="CZ9">
        <f>AE9</f>
        <v>2.4500000000000002</v>
      </c>
      <c r="DA9">
        <f>AI9</f>
        <v>1</v>
      </c>
      <c r="DB9">
        <v>0</v>
      </c>
    </row>
    <row r="10" spans="1:106">
      <c r="A10">
        <f>ROW(Source!A25)</f>
        <v>25</v>
      </c>
      <c r="B10">
        <v>55197951</v>
      </c>
      <c r="C10">
        <v>55197969</v>
      </c>
      <c r="D10">
        <v>25655219</v>
      </c>
      <c r="E10">
        <v>1</v>
      </c>
      <c r="F10">
        <v>1</v>
      </c>
      <c r="G10">
        <v>1</v>
      </c>
      <c r="H10">
        <v>1</v>
      </c>
      <c r="I10" t="s">
        <v>147</v>
      </c>
      <c r="J10" t="s">
        <v>3</v>
      </c>
      <c r="K10" t="s">
        <v>148</v>
      </c>
      <c r="L10">
        <v>1369</v>
      </c>
      <c r="N10">
        <v>1013</v>
      </c>
      <c r="O10" t="s">
        <v>149</v>
      </c>
      <c r="P10" t="s">
        <v>149</v>
      </c>
      <c r="Q10">
        <v>1</v>
      </c>
      <c r="W10">
        <v>0</v>
      </c>
      <c r="X10">
        <v>-953108061</v>
      </c>
      <c r="Y10">
        <v>445.74</v>
      </c>
      <c r="AA10">
        <v>0</v>
      </c>
      <c r="AB10">
        <v>0</v>
      </c>
      <c r="AC10">
        <v>0</v>
      </c>
      <c r="AD10">
        <v>9.08</v>
      </c>
      <c r="AE10">
        <v>0</v>
      </c>
      <c r="AF10">
        <v>0</v>
      </c>
      <c r="AG10">
        <v>0</v>
      </c>
      <c r="AH10">
        <v>9.08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1</v>
      </c>
      <c r="AQ10">
        <v>0</v>
      </c>
      <c r="AR10">
        <v>0</v>
      </c>
      <c r="AS10" t="s">
        <v>3</v>
      </c>
      <c r="AT10">
        <v>387.6</v>
      </c>
      <c r="AU10" t="s">
        <v>18</v>
      </c>
      <c r="AV10">
        <v>1</v>
      </c>
      <c r="AW10">
        <v>2</v>
      </c>
      <c r="AX10">
        <v>55197970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Y10*Source!I25</f>
        <v>20.949780000000001</v>
      </c>
      <c r="CY10">
        <f>AD10</f>
        <v>9.08</v>
      </c>
      <c r="CZ10">
        <f>AH10</f>
        <v>9.08</v>
      </c>
      <c r="DA10">
        <f>AL10</f>
        <v>1</v>
      </c>
      <c r="DB10">
        <v>0</v>
      </c>
    </row>
    <row r="11" spans="1:106">
      <c r="A11">
        <f>ROW(Source!A25)</f>
        <v>25</v>
      </c>
      <c r="B11">
        <v>55197951</v>
      </c>
      <c r="C11">
        <v>55197969</v>
      </c>
      <c r="D11">
        <v>40494002</v>
      </c>
      <c r="E11">
        <v>1</v>
      </c>
      <c r="F11">
        <v>1</v>
      </c>
      <c r="G11">
        <v>1</v>
      </c>
      <c r="H11">
        <v>1</v>
      </c>
      <c r="I11" t="s">
        <v>150</v>
      </c>
      <c r="J11" t="s">
        <v>3</v>
      </c>
      <c r="K11" t="s">
        <v>151</v>
      </c>
      <c r="L11">
        <v>608254</v>
      </c>
      <c r="N11">
        <v>1013</v>
      </c>
      <c r="O11" t="s">
        <v>152</v>
      </c>
      <c r="P11" t="s">
        <v>152</v>
      </c>
      <c r="Q11">
        <v>1</v>
      </c>
      <c r="W11">
        <v>0</v>
      </c>
      <c r="X11">
        <v>95408949</v>
      </c>
      <c r="Y11">
        <v>1.6500000000000001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1</v>
      </c>
      <c r="AQ11">
        <v>0</v>
      </c>
      <c r="AR11">
        <v>0</v>
      </c>
      <c r="AS11" t="s">
        <v>3</v>
      </c>
      <c r="AT11">
        <v>1.32</v>
      </c>
      <c r="AU11" t="s">
        <v>17</v>
      </c>
      <c r="AV11">
        <v>2</v>
      </c>
      <c r="AW11">
        <v>2</v>
      </c>
      <c r="AX11">
        <v>55197971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Y11*Source!I25</f>
        <v>7.7550000000000008E-2</v>
      </c>
      <c r="CY11">
        <f>AD11</f>
        <v>0</v>
      </c>
      <c r="CZ11">
        <f>AH11</f>
        <v>0</v>
      </c>
      <c r="DA11">
        <f>AL11</f>
        <v>1</v>
      </c>
      <c r="DB11">
        <v>0</v>
      </c>
    </row>
    <row r="12" spans="1:106">
      <c r="A12">
        <f>ROW(Source!A25)</f>
        <v>25</v>
      </c>
      <c r="B12">
        <v>55197951</v>
      </c>
      <c r="C12">
        <v>55197969</v>
      </c>
      <c r="D12">
        <v>42066299</v>
      </c>
      <c r="E12">
        <v>1</v>
      </c>
      <c r="F12">
        <v>1</v>
      </c>
      <c r="G12">
        <v>1</v>
      </c>
      <c r="H12">
        <v>2</v>
      </c>
      <c r="I12" t="s">
        <v>153</v>
      </c>
      <c r="J12" t="s">
        <v>154</v>
      </c>
      <c r="K12" t="s">
        <v>155</v>
      </c>
      <c r="L12">
        <v>1368</v>
      </c>
      <c r="N12">
        <v>1011</v>
      </c>
      <c r="O12" t="s">
        <v>156</v>
      </c>
      <c r="P12" t="s">
        <v>156</v>
      </c>
      <c r="Q12">
        <v>1</v>
      </c>
      <c r="W12">
        <v>0</v>
      </c>
      <c r="X12">
        <v>-149788903</v>
      </c>
      <c r="Y12">
        <v>0.13750000000000001</v>
      </c>
      <c r="AA12">
        <v>0</v>
      </c>
      <c r="AB12">
        <v>646.47</v>
      </c>
      <c r="AC12">
        <v>177.6</v>
      </c>
      <c r="AD12">
        <v>0</v>
      </c>
      <c r="AE12">
        <v>0</v>
      </c>
      <c r="AF12">
        <v>97.95</v>
      </c>
      <c r="AG12">
        <v>9.7100000000000009</v>
      </c>
      <c r="AH12">
        <v>0</v>
      </c>
      <c r="AI12">
        <v>1</v>
      </c>
      <c r="AJ12">
        <v>6.6</v>
      </c>
      <c r="AK12">
        <v>18.29</v>
      </c>
      <c r="AL12">
        <v>1</v>
      </c>
      <c r="AN12">
        <v>0</v>
      </c>
      <c r="AO12">
        <v>1</v>
      </c>
      <c r="AP12">
        <v>1</v>
      </c>
      <c r="AQ12">
        <v>0</v>
      </c>
      <c r="AR12">
        <v>0</v>
      </c>
      <c r="AS12" t="s">
        <v>3</v>
      </c>
      <c r="AT12">
        <v>0.11</v>
      </c>
      <c r="AU12" t="s">
        <v>17</v>
      </c>
      <c r="AV12">
        <v>0</v>
      </c>
      <c r="AW12">
        <v>2</v>
      </c>
      <c r="AX12">
        <v>55197972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Y12*Source!I25</f>
        <v>6.4625000000000004E-3</v>
      </c>
      <c r="CY12">
        <f>AB12</f>
        <v>646.47</v>
      </c>
      <c r="CZ12">
        <f>AF12</f>
        <v>97.95</v>
      </c>
      <c r="DA12">
        <f>AJ12</f>
        <v>6.6</v>
      </c>
      <c r="DB12">
        <v>0</v>
      </c>
    </row>
    <row r="13" spans="1:106">
      <c r="A13">
        <f>ROW(Source!A25)</f>
        <v>25</v>
      </c>
      <c r="B13">
        <v>55197951</v>
      </c>
      <c r="C13">
        <v>55197969</v>
      </c>
      <c r="D13">
        <v>42066358</v>
      </c>
      <c r="E13">
        <v>1</v>
      </c>
      <c r="F13">
        <v>1</v>
      </c>
      <c r="G13">
        <v>1</v>
      </c>
      <c r="H13">
        <v>2</v>
      </c>
      <c r="I13" t="s">
        <v>157</v>
      </c>
      <c r="J13" t="s">
        <v>158</v>
      </c>
      <c r="K13" t="s">
        <v>159</v>
      </c>
      <c r="L13">
        <v>1368</v>
      </c>
      <c r="N13">
        <v>1011</v>
      </c>
      <c r="O13" t="s">
        <v>156</v>
      </c>
      <c r="P13" t="s">
        <v>156</v>
      </c>
      <c r="Q13">
        <v>1</v>
      </c>
      <c r="W13">
        <v>0</v>
      </c>
      <c r="X13">
        <v>-1205898307</v>
      </c>
      <c r="Y13">
        <v>1.5125</v>
      </c>
      <c r="AA13">
        <v>0</v>
      </c>
      <c r="AB13">
        <v>293.69</v>
      </c>
      <c r="AC13">
        <v>238.32</v>
      </c>
      <c r="AD13">
        <v>0</v>
      </c>
      <c r="AE13">
        <v>0</v>
      </c>
      <c r="AF13">
        <v>30.85</v>
      </c>
      <c r="AG13">
        <v>13.03</v>
      </c>
      <c r="AH13">
        <v>0</v>
      </c>
      <c r="AI13">
        <v>1</v>
      </c>
      <c r="AJ13">
        <v>9.52</v>
      </c>
      <c r="AK13">
        <v>18.29</v>
      </c>
      <c r="AL13">
        <v>1</v>
      </c>
      <c r="AN13">
        <v>0</v>
      </c>
      <c r="AO13">
        <v>1</v>
      </c>
      <c r="AP13">
        <v>1</v>
      </c>
      <c r="AQ13">
        <v>0</v>
      </c>
      <c r="AR13">
        <v>0</v>
      </c>
      <c r="AS13" t="s">
        <v>3</v>
      </c>
      <c r="AT13">
        <v>1.21</v>
      </c>
      <c r="AU13" t="s">
        <v>17</v>
      </c>
      <c r="AV13">
        <v>0</v>
      </c>
      <c r="AW13">
        <v>2</v>
      </c>
      <c r="AX13">
        <v>55197973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Y13*Source!I25</f>
        <v>7.1087499999999998E-2</v>
      </c>
      <c r="CY13">
        <f>AB13</f>
        <v>293.69</v>
      </c>
      <c r="CZ13">
        <f>AF13</f>
        <v>30.85</v>
      </c>
      <c r="DA13">
        <f>AJ13</f>
        <v>9.52</v>
      </c>
      <c r="DB13">
        <v>0</v>
      </c>
    </row>
    <row r="14" spans="1:106">
      <c r="A14">
        <f>ROW(Source!A25)</f>
        <v>25</v>
      </c>
      <c r="B14">
        <v>55197951</v>
      </c>
      <c r="C14">
        <v>55197969</v>
      </c>
      <c r="D14">
        <v>42069182</v>
      </c>
      <c r="E14">
        <v>1</v>
      </c>
      <c r="F14">
        <v>1</v>
      </c>
      <c r="G14">
        <v>1</v>
      </c>
      <c r="H14">
        <v>3</v>
      </c>
      <c r="I14" t="s">
        <v>160</v>
      </c>
      <c r="J14" t="s">
        <v>161</v>
      </c>
      <c r="K14" t="s">
        <v>162</v>
      </c>
      <c r="L14">
        <v>1327</v>
      </c>
      <c r="N14">
        <v>1005</v>
      </c>
      <c r="O14" t="s">
        <v>163</v>
      </c>
      <c r="P14" t="s">
        <v>163</v>
      </c>
      <c r="Q14">
        <v>1</v>
      </c>
      <c r="W14">
        <v>0</v>
      </c>
      <c r="X14">
        <v>157810889</v>
      </c>
      <c r="Y14">
        <v>100</v>
      </c>
      <c r="AA14">
        <v>551.39</v>
      </c>
      <c r="AB14">
        <v>0</v>
      </c>
      <c r="AC14">
        <v>0</v>
      </c>
      <c r="AD14">
        <v>0</v>
      </c>
      <c r="AE14">
        <v>57.98</v>
      </c>
      <c r="AF14">
        <v>0</v>
      </c>
      <c r="AG14">
        <v>0</v>
      </c>
      <c r="AH14">
        <v>0</v>
      </c>
      <c r="AI14">
        <v>9.51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100</v>
      </c>
      <c r="AU14" t="s">
        <v>3</v>
      </c>
      <c r="AV14">
        <v>0</v>
      </c>
      <c r="AW14">
        <v>2</v>
      </c>
      <c r="AX14">
        <v>55197974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Y14*Source!I25</f>
        <v>4.7</v>
      </c>
      <c r="CY14">
        <f>AA14</f>
        <v>551.39</v>
      </c>
      <c r="CZ14">
        <f>AE14</f>
        <v>57.98</v>
      </c>
      <c r="DA14">
        <f>AI14</f>
        <v>9.51</v>
      </c>
      <c r="DB14">
        <v>0</v>
      </c>
    </row>
    <row r="15" spans="1:106">
      <c r="A15">
        <f>ROW(Source!A25)</f>
        <v>25</v>
      </c>
      <c r="B15">
        <v>55197951</v>
      </c>
      <c r="C15">
        <v>55197969</v>
      </c>
      <c r="D15">
        <v>42070112</v>
      </c>
      <c r="E15">
        <v>1</v>
      </c>
      <c r="F15">
        <v>1</v>
      </c>
      <c r="G15">
        <v>1</v>
      </c>
      <c r="H15">
        <v>3</v>
      </c>
      <c r="I15" t="s">
        <v>164</v>
      </c>
      <c r="J15" t="s">
        <v>165</v>
      </c>
      <c r="K15" t="s">
        <v>166</v>
      </c>
      <c r="L15">
        <v>1348</v>
      </c>
      <c r="N15">
        <v>1009</v>
      </c>
      <c r="O15" t="s">
        <v>167</v>
      </c>
      <c r="P15" t="s">
        <v>167</v>
      </c>
      <c r="Q15">
        <v>1000</v>
      </c>
      <c r="W15">
        <v>0</v>
      </c>
      <c r="X15">
        <v>-1598640094</v>
      </c>
      <c r="Y15">
        <v>0.04</v>
      </c>
      <c r="AA15">
        <v>3322.33</v>
      </c>
      <c r="AB15">
        <v>0</v>
      </c>
      <c r="AC15">
        <v>0</v>
      </c>
      <c r="AD15">
        <v>0</v>
      </c>
      <c r="AE15">
        <v>418.43</v>
      </c>
      <c r="AF15">
        <v>0</v>
      </c>
      <c r="AG15">
        <v>0</v>
      </c>
      <c r="AH15">
        <v>0</v>
      </c>
      <c r="AI15">
        <v>7.94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0.04</v>
      </c>
      <c r="AU15" t="s">
        <v>3</v>
      </c>
      <c r="AV15">
        <v>0</v>
      </c>
      <c r="AW15">
        <v>2</v>
      </c>
      <c r="AX15">
        <v>55197975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Y15*Source!I25</f>
        <v>1.8799999999999999E-3</v>
      </c>
      <c r="CY15">
        <f>AA15</f>
        <v>3322.33</v>
      </c>
      <c r="CZ15">
        <f>AE15</f>
        <v>418.43</v>
      </c>
      <c r="DA15">
        <f>AI15</f>
        <v>7.94</v>
      </c>
      <c r="DB15">
        <v>0</v>
      </c>
    </row>
    <row r="16" spans="1:106">
      <c r="A16">
        <f>ROW(Source!A25)</f>
        <v>25</v>
      </c>
      <c r="B16">
        <v>55197951</v>
      </c>
      <c r="C16">
        <v>55197969</v>
      </c>
      <c r="D16">
        <v>42070510</v>
      </c>
      <c r="E16">
        <v>1</v>
      </c>
      <c r="F16">
        <v>1</v>
      </c>
      <c r="G16">
        <v>1</v>
      </c>
      <c r="H16">
        <v>3</v>
      </c>
      <c r="I16" t="s">
        <v>168</v>
      </c>
      <c r="J16" t="s">
        <v>169</v>
      </c>
      <c r="K16" t="s">
        <v>170</v>
      </c>
      <c r="L16">
        <v>1346</v>
      </c>
      <c r="N16">
        <v>1009</v>
      </c>
      <c r="O16" t="s">
        <v>171</v>
      </c>
      <c r="P16" t="s">
        <v>171</v>
      </c>
      <c r="Q16">
        <v>1</v>
      </c>
      <c r="W16">
        <v>0</v>
      </c>
      <c r="X16">
        <v>-1526040720</v>
      </c>
      <c r="Y16">
        <v>0.5</v>
      </c>
      <c r="AA16">
        <v>47.1</v>
      </c>
      <c r="AB16">
        <v>0</v>
      </c>
      <c r="AC16">
        <v>0</v>
      </c>
      <c r="AD16">
        <v>0</v>
      </c>
      <c r="AE16">
        <v>1.94</v>
      </c>
      <c r="AF16">
        <v>0</v>
      </c>
      <c r="AG16">
        <v>0</v>
      </c>
      <c r="AH16">
        <v>0</v>
      </c>
      <c r="AI16">
        <v>24.28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0.5</v>
      </c>
      <c r="AU16" t="s">
        <v>3</v>
      </c>
      <c r="AV16">
        <v>0</v>
      </c>
      <c r="AW16">
        <v>2</v>
      </c>
      <c r="AX16">
        <v>55197976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Y16*Source!I25</f>
        <v>2.35E-2</v>
      </c>
      <c r="CY16">
        <f>AA16</f>
        <v>47.1</v>
      </c>
      <c r="CZ16">
        <f>AE16</f>
        <v>1.94</v>
      </c>
      <c r="DA16">
        <f>AI16</f>
        <v>24.28</v>
      </c>
      <c r="DB16">
        <v>0</v>
      </c>
    </row>
    <row r="17" spans="1:106">
      <c r="A17">
        <f>ROW(Source!A25)</f>
        <v>25</v>
      </c>
      <c r="B17">
        <v>55197951</v>
      </c>
      <c r="C17">
        <v>55197969</v>
      </c>
      <c r="D17">
        <v>42103993</v>
      </c>
      <c r="E17">
        <v>1</v>
      </c>
      <c r="F17">
        <v>1</v>
      </c>
      <c r="G17">
        <v>1</v>
      </c>
      <c r="H17">
        <v>3</v>
      </c>
      <c r="I17" t="s">
        <v>172</v>
      </c>
      <c r="J17" t="s">
        <v>173</v>
      </c>
      <c r="K17" t="s">
        <v>174</v>
      </c>
      <c r="L17">
        <v>1339</v>
      </c>
      <c r="N17">
        <v>1007</v>
      </c>
      <c r="O17" t="s">
        <v>175</v>
      </c>
      <c r="P17" t="s">
        <v>175</v>
      </c>
      <c r="Q17">
        <v>1</v>
      </c>
      <c r="W17">
        <v>0</v>
      </c>
      <c r="X17">
        <v>1516837705</v>
      </c>
      <c r="Y17">
        <v>2</v>
      </c>
      <c r="AA17">
        <v>2512.88</v>
      </c>
      <c r="AB17">
        <v>0</v>
      </c>
      <c r="AC17">
        <v>0</v>
      </c>
      <c r="AD17">
        <v>0</v>
      </c>
      <c r="AE17">
        <v>532.39</v>
      </c>
      <c r="AF17">
        <v>0</v>
      </c>
      <c r="AG17">
        <v>0</v>
      </c>
      <c r="AH17">
        <v>0</v>
      </c>
      <c r="AI17">
        <v>4.72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2</v>
      </c>
      <c r="AU17" t="s">
        <v>3</v>
      </c>
      <c r="AV17">
        <v>0</v>
      </c>
      <c r="AW17">
        <v>2</v>
      </c>
      <c r="AX17">
        <v>55197977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Y17*Source!I25</f>
        <v>9.4E-2</v>
      </c>
      <c r="CY17">
        <f>AA17</f>
        <v>2512.88</v>
      </c>
      <c r="CZ17">
        <f>AE17</f>
        <v>532.39</v>
      </c>
      <c r="DA17">
        <f>AI17</f>
        <v>4.72</v>
      </c>
      <c r="DB17">
        <v>0</v>
      </c>
    </row>
    <row r="18" spans="1:106">
      <c r="A18">
        <f>ROW(Source!A25)</f>
        <v>25</v>
      </c>
      <c r="B18">
        <v>55197951</v>
      </c>
      <c r="C18">
        <v>55197969</v>
      </c>
      <c r="D18">
        <v>42112512</v>
      </c>
      <c r="E18">
        <v>1</v>
      </c>
      <c r="F18">
        <v>1</v>
      </c>
      <c r="G18">
        <v>1</v>
      </c>
      <c r="H18">
        <v>3</v>
      </c>
      <c r="I18" t="s">
        <v>176</v>
      </c>
      <c r="J18" t="s">
        <v>177</v>
      </c>
      <c r="K18" t="s">
        <v>178</v>
      </c>
      <c r="L18">
        <v>1339</v>
      </c>
      <c r="N18">
        <v>1007</v>
      </c>
      <c r="O18" t="s">
        <v>175</v>
      </c>
      <c r="P18" t="s">
        <v>175</v>
      </c>
      <c r="Q18">
        <v>1</v>
      </c>
      <c r="W18">
        <v>0</v>
      </c>
      <c r="X18">
        <v>2050165204</v>
      </c>
      <c r="Y18">
        <v>0.5</v>
      </c>
      <c r="AA18">
        <v>17.420000000000002</v>
      </c>
      <c r="AB18">
        <v>0</v>
      </c>
      <c r="AC18">
        <v>0</v>
      </c>
      <c r="AD18">
        <v>0</v>
      </c>
      <c r="AE18">
        <v>2.4500000000000002</v>
      </c>
      <c r="AF18">
        <v>0</v>
      </c>
      <c r="AG18">
        <v>0</v>
      </c>
      <c r="AH18">
        <v>0</v>
      </c>
      <c r="AI18">
        <v>7.11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0.5</v>
      </c>
      <c r="AU18" t="s">
        <v>3</v>
      </c>
      <c r="AV18">
        <v>0</v>
      </c>
      <c r="AW18">
        <v>2</v>
      </c>
      <c r="AX18">
        <v>55197978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Y18*Source!I25</f>
        <v>2.35E-2</v>
      </c>
      <c r="CY18">
        <f>AA18</f>
        <v>17.420000000000002</v>
      </c>
      <c r="CZ18">
        <f>AE18</f>
        <v>2.4500000000000002</v>
      </c>
      <c r="DA18">
        <f>AI18</f>
        <v>7.11</v>
      </c>
      <c r="DB18">
        <v>0</v>
      </c>
    </row>
    <row r="19" spans="1:106">
      <c r="A19">
        <f>ROW(Source!A26)</f>
        <v>26</v>
      </c>
      <c r="B19">
        <v>55197979</v>
      </c>
      <c r="C19">
        <v>55197993</v>
      </c>
      <c r="D19">
        <v>25655219</v>
      </c>
      <c r="E19">
        <v>1</v>
      </c>
      <c r="F19">
        <v>1</v>
      </c>
      <c r="G19">
        <v>1</v>
      </c>
      <c r="H19">
        <v>1</v>
      </c>
      <c r="I19" t="s">
        <v>147</v>
      </c>
      <c r="J19" t="s">
        <v>3</v>
      </c>
      <c r="K19" t="s">
        <v>148</v>
      </c>
      <c r="L19">
        <v>1369</v>
      </c>
      <c r="N19">
        <v>1013</v>
      </c>
      <c r="O19" t="s">
        <v>149</v>
      </c>
      <c r="P19" t="s">
        <v>149</v>
      </c>
      <c r="Q19">
        <v>1</v>
      </c>
      <c r="W19">
        <v>0</v>
      </c>
      <c r="X19">
        <v>-953108061</v>
      </c>
      <c r="Y19">
        <v>353.96999999999997</v>
      </c>
      <c r="AA19">
        <v>0</v>
      </c>
      <c r="AB19">
        <v>0</v>
      </c>
      <c r="AC19">
        <v>0</v>
      </c>
      <c r="AD19">
        <v>9.08</v>
      </c>
      <c r="AE19">
        <v>0</v>
      </c>
      <c r="AF19">
        <v>0</v>
      </c>
      <c r="AG19">
        <v>0</v>
      </c>
      <c r="AH19">
        <v>9.08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1</v>
      </c>
      <c r="AQ19">
        <v>0</v>
      </c>
      <c r="AR19">
        <v>0</v>
      </c>
      <c r="AS19" t="s">
        <v>3</v>
      </c>
      <c r="AT19">
        <v>307.8</v>
      </c>
      <c r="AU19" t="s">
        <v>18</v>
      </c>
      <c r="AV19">
        <v>1</v>
      </c>
      <c r="AW19">
        <v>2</v>
      </c>
      <c r="AX19">
        <v>55198021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Y19*Source!I26</f>
        <v>16.636589999999998</v>
      </c>
      <c r="CY19">
        <f>AD19</f>
        <v>9.08</v>
      </c>
      <c r="CZ19">
        <f>AH19</f>
        <v>9.08</v>
      </c>
      <c r="DA19">
        <f>AL19</f>
        <v>1</v>
      </c>
      <c r="DB19">
        <v>0</v>
      </c>
    </row>
    <row r="20" spans="1:106">
      <c r="A20">
        <f>ROW(Source!A26)</f>
        <v>26</v>
      </c>
      <c r="B20">
        <v>55197979</v>
      </c>
      <c r="C20">
        <v>55197993</v>
      </c>
      <c r="D20">
        <v>40494002</v>
      </c>
      <c r="E20">
        <v>1</v>
      </c>
      <c r="F20">
        <v>1</v>
      </c>
      <c r="G20">
        <v>1</v>
      </c>
      <c r="H20">
        <v>1</v>
      </c>
      <c r="I20" t="s">
        <v>150</v>
      </c>
      <c r="J20" t="s">
        <v>3</v>
      </c>
      <c r="K20" t="s">
        <v>151</v>
      </c>
      <c r="L20">
        <v>608254</v>
      </c>
      <c r="N20">
        <v>1013</v>
      </c>
      <c r="O20" t="s">
        <v>152</v>
      </c>
      <c r="P20" t="s">
        <v>152</v>
      </c>
      <c r="Q20">
        <v>1</v>
      </c>
      <c r="W20">
        <v>0</v>
      </c>
      <c r="X20">
        <v>95408949</v>
      </c>
      <c r="Y20">
        <v>1.6500000000000001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1</v>
      </c>
      <c r="AQ20">
        <v>0</v>
      </c>
      <c r="AR20">
        <v>0</v>
      </c>
      <c r="AS20" t="s">
        <v>3</v>
      </c>
      <c r="AT20">
        <v>1.32</v>
      </c>
      <c r="AU20" t="s">
        <v>17</v>
      </c>
      <c r="AV20">
        <v>2</v>
      </c>
      <c r="AW20">
        <v>2</v>
      </c>
      <c r="AX20">
        <v>55198022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Y20*Source!I26</f>
        <v>7.7550000000000008E-2</v>
      </c>
      <c r="CY20">
        <f>AD20</f>
        <v>0</v>
      </c>
      <c r="CZ20">
        <f>AH20</f>
        <v>0</v>
      </c>
      <c r="DA20">
        <f>AL20</f>
        <v>1</v>
      </c>
      <c r="DB20">
        <v>0</v>
      </c>
    </row>
    <row r="21" spans="1:106">
      <c r="A21">
        <f>ROW(Source!A26)</f>
        <v>26</v>
      </c>
      <c r="B21">
        <v>55197979</v>
      </c>
      <c r="C21">
        <v>55197993</v>
      </c>
      <c r="D21">
        <v>42066299</v>
      </c>
      <c r="E21">
        <v>1</v>
      </c>
      <c r="F21">
        <v>1</v>
      </c>
      <c r="G21">
        <v>1</v>
      </c>
      <c r="H21">
        <v>2</v>
      </c>
      <c r="I21" t="s">
        <v>153</v>
      </c>
      <c r="J21" t="s">
        <v>154</v>
      </c>
      <c r="K21" t="s">
        <v>155</v>
      </c>
      <c r="L21">
        <v>1368</v>
      </c>
      <c r="N21">
        <v>1011</v>
      </c>
      <c r="O21" t="s">
        <v>156</v>
      </c>
      <c r="P21" t="s">
        <v>156</v>
      </c>
      <c r="Q21">
        <v>1</v>
      </c>
      <c r="W21">
        <v>0</v>
      </c>
      <c r="X21">
        <v>-149788903</v>
      </c>
      <c r="Y21">
        <v>0.13750000000000001</v>
      </c>
      <c r="AA21">
        <v>0</v>
      </c>
      <c r="AB21">
        <v>97.95</v>
      </c>
      <c r="AC21">
        <v>9.7100000000000009</v>
      </c>
      <c r="AD21">
        <v>0</v>
      </c>
      <c r="AE21">
        <v>0</v>
      </c>
      <c r="AF21">
        <v>97.95</v>
      </c>
      <c r="AG21">
        <v>9.7100000000000009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1</v>
      </c>
      <c r="AQ21">
        <v>0</v>
      </c>
      <c r="AR21">
        <v>0</v>
      </c>
      <c r="AS21" t="s">
        <v>3</v>
      </c>
      <c r="AT21">
        <v>0.11</v>
      </c>
      <c r="AU21" t="s">
        <v>17</v>
      </c>
      <c r="AV21">
        <v>0</v>
      </c>
      <c r="AW21">
        <v>2</v>
      </c>
      <c r="AX21">
        <v>55198023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Y21*Source!I26</f>
        <v>6.4625000000000004E-3</v>
      </c>
      <c r="CY21">
        <f>AB21</f>
        <v>97.95</v>
      </c>
      <c r="CZ21">
        <f>AF21</f>
        <v>97.95</v>
      </c>
      <c r="DA21">
        <f>AJ21</f>
        <v>1</v>
      </c>
      <c r="DB21">
        <v>0</v>
      </c>
    </row>
    <row r="22" spans="1:106">
      <c r="A22">
        <f>ROW(Source!A26)</f>
        <v>26</v>
      </c>
      <c r="B22">
        <v>55197979</v>
      </c>
      <c r="C22">
        <v>55197993</v>
      </c>
      <c r="D22">
        <v>42066358</v>
      </c>
      <c r="E22">
        <v>1</v>
      </c>
      <c r="F22">
        <v>1</v>
      </c>
      <c r="G22">
        <v>1</v>
      </c>
      <c r="H22">
        <v>2</v>
      </c>
      <c r="I22" t="s">
        <v>157</v>
      </c>
      <c r="J22" t="s">
        <v>158</v>
      </c>
      <c r="K22" t="s">
        <v>159</v>
      </c>
      <c r="L22">
        <v>1368</v>
      </c>
      <c r="N22">
        <v>1011</v>
      </c>
      <c r="O22" t="s">
        <v>156</v>
      </c>
      <c r="P22" t="s">
        <v>156</v>
      </c>
      <c r="Q22">
        <v>1</v>
      </c>
      <c r="W22">
        <v>0</v>
      </c>
      <c r="X22">
        <v>-1205898307</v>
      </c>
      <c r="Y22">
        <v>1.5125</v>
      </c>
      <c r="AA22">
        <v>0</v>
      </c>
      <c r="AB22">
        <v>30.85</v>
      </c>
      <c r="AC22">
        <v>13.03</v>
      </c>
      <c r="AD22">
        <v>0</v>
      </c>
      <c r="AE22">
        <v>0</v>
      </c>
      <c r="AF22">
        <v>30.85</v>
      </c>
      <c r="AG22">
        <v>13.03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1</v>
      </c>
      <c r="AQ22">
        <v>0</v>
      </c>
      <c r="AR22">
        <v>0</v>
      </c>
      <c r="AS22" t="s">
        <v>3</v>
      </c>
      <c r="AT22">
        <v>1.21</v>
      </c>
      <c r="AU22" t="s">
        <v>17</v>
      </c>
      <c r="AV22">
        <v>0</v>
      </c>
      <c r="AW22">
        <v>2</v>
      </c>
      <c r="AX22">
        <v>55198024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Y22*Source!I26</f>
        <v>7.1087499999999998E-2</v>
      </c>
      <c r="CY22">
        <f>AB22</f>
        <v>30.85</v>
      </c>
      <c r="CZ22">
        <f>AF22</f>
        <v>30.85</v>
      </c>
      <c r="DA22">
        <f>AJ22</f>
        <v>1</v>
      </c>
      <c r="DB22">
        <v>0</v>
      </c>
    </row>
    <row r="23" spans="1:106">
      <c r="A23">
        <f>ROW(Source!A26)</f>
        <v>26</v>
      </c>
      <c r="B23">
        <v>55197979</v>
      </c>
      <c r="C23">
        <v>55197993</v>
      </c>
      <c r="D23">
        <v>42069182</v>
      </c>
      <c r="E23">
        <v>1</v>
      </c>
      <c r="F23">
        <v>1</v>
      </c>
      <c r="G23">
        <v>1</v>
      </c>
      <c r="H23">
        <v>3</v>
      </c>
      <c r="I23" t="s">
        <v>160</v>
      </c>
      <c r="J23" t="s">
        <v>161</v>
      </c>
      <c r="K23" t="s">
        <v>162</v>
      </c>
      <c r="L23">
        <v>1327</v>
      </c>
      <c r="N23">
        <v>1005</v>
      </c>
      <c r="O23" t="s">
        <v>163</v>
      </c>
      <c r="P23" t="s">
        <v>163</v>
      </c>
      <c r="Q23">
        <v>1</v>
      </c>
      <c r="W23">
        <v>0</v>
      </c>
      <c r="X23">
        <v>157810889</v>
      </c>
      <c r="Y23">
        <v>100</v>
      </c>
      <c r="AA23">
        <v>57.98</v>
      </c>
      <c r="AB23">
        <v>0</v>
      </c>
      <c r="AC23">
        <v>0</v>
      </c>
      <c r="AD23">
        <v>0</v>
      </c>
      <c r="AE23">
        <v>57.98</v>
      </c>
      <c r="AF23">
        <v>0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100</v>
      </c>
      <c r="AU23" t="s">
        <v>3</v>
      </c>
      <c r="AV23">
        <v>0</v>
      </c>
      <c r="AW23">
        <v>2</v>
      </c>
      <c r="AX23">
        <v>55198025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Y23*Source!I26</f>
        <v>4.7</v>
      </c>
      <c r="CY23">
        <f>AA23</f>
        <v>57.98</v>
      </c>
      <c r="CZ23">
        <f>AE23</f>
        <v>57.98</v>
      </c>
      <c r="DA23">
        <f>AI23</f>
        <v>1</v>
      </c>
      <c r="DB23">
        <v>0</v>
      </c>
    </row>
    <row r="24" spans="1:106">
      <c r="A24">
        <f>ROW(Source!A26)</f>
        <v>26</v>
      </c>
      <c r="B24">
        <v>55197979</v>
      </c>
      <c r="C24">
        <v>55197993</v>
      </c>
      <c r="D24">
        <v>42070112</v>
      </c>
      <c r="E24">
        <v>1</v>
      </c>
      <c r="F24">
        <v>1</v>
      </c>
      <c r="G24">
        <v>1</v>
      </c>
      <c r="H24">
        <v>3</v>
      </c>
      <c r="I24" t="s">
        <v>164</v>
      </c>
      <c r="J24" t="s">
        <v>165</v>
      </c>
      <c r="K24" t="s">
        <v>166</v>
      </c>
      <c r="L24">
        <v>1348</v>
      </c>
      <c r="N24">
        <v>1009</v>
      </c>
      <c r="O24" t="s">
        <v>167</v>
      </c>
      <c r="P24" t="s">
        <v>167</v>
      </c>
      <c r="Q24">
        <v>1000</v>
      </c>
      <c r="W24">
        <v>0</v>
      </c>
      <c r="X24">
        <v>-1598640094</v>
      </c>
      <c r="Y24">
        <v>0.04</v>
      </c>
      <c r="AA24">
        <v>418.43</v>
      </c>
      <c r="AB24">
        <v>0</v>
      </c>
      <c r="AC24">
        <v>0</v>
      </c>
      <c r="AD24">
        <v>0</v>
      </c>
      <c r="AE24">
        <v>418.43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0.04</v>
      </c>
      <c r="AU24" t="s">
        <v>3</v>
      </c>
      <c r="AV24">
        <v>0</v>
      </c>
      <c r="AW24">
        <v>2</v>
      </c>
      <c r="AX24">
        <v>55198026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Y24*Source!I26</f>
        <v>1.8799999999999999E-3</v>
      </c>
      <c r="CY24">
        <f>AA24</f>
        <v>418.43</v>
      </c>
      <c r="CZ24">
        <f>AE24</f>
        <v>418.43</v>
      </c>
      <c r="DA24">
        <f>AI24</f>
        <v>1</v>
      </c>
      <c r="DB24">
        <v>0</v>
      </c>
    </row>
    <row r="25" spans="1:106">
      <c r="A25">
        <f>ROW(Source!A26)</f>
        <v>26</v>
      </c>
      <c r="B25">
        <v>55197979</v>
      </c>
      <c r="C25">
        <v>55197993</v>
      </c>
      <c r="D25">
        <v>42070510</v>
      </c>
      <c r="E25">
        <v>1</v>
      </c>
      <c r="F25">
        <v>1</v>
      </c>
      <c r="G25">
        <v>1</v>
      </c>
      <c r="H25">
        <v>3</v>
      </c>
      <c r="I25" t="s">
        <v>168</v>
      </c>
      <c r="J25" t="s">
        <v>169</v>
      </c>
      <c r="K25" t="s">
        <v>170</v>
      </c>
      <c r="L25">
        <v>1346</v>
      </c>
      <c r="N25">
        <v>1009</v>
      </c>
      <c r="O25" t="s">
        <v>171</v>
      </c>
      <c r="P25" t="s">
        <v>171</v>
      </c>
      <c r="Q25">
        <v>1</v>
      </c>
      <c r="W25">
        <v>0</v>
      </c>
      <c r="X25">
        <v>-1526040720</v>
      </c>
      <c r="Y25">
        <v>0.5</v>
      </c>
      <c r="AA25">
        <v>1.94</v>
      </c>
      <c r="AB25">
        <v>0</v>
      </c>
      <c r="AC25">
        <v>0</v>
      </c>
      <c r="AD25">
        <v>0</v>
      </c>
      <c r="AE25">
        <v>1.94</v>
      </c>
      <c r="AF25">
        <v>0</v>
      </c>
      <c r="AG25">
        <v>0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0.5</v>
      </c>
      <c r="AU25" t="s">
        <v>3</v>
      </c>
      <c r="AV25">
        <v>0</v>
      </c>
      <c r="AW25">
        <v>2</v>
      </c>
      <c r="AX25">
        <v>55198027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Y25*Source!I26</f>
        <v>2.35E-2</v>
      </c>
      <c r="CY25">
        <f>AA25</f>
        <v>1.94</v>
      </c>
      <c r="CZ25">
        <f>AE25</f>
        <v>1.94</v>
      </c>
      <c r="DA25">
        <f>AI25</f>
        <v>1</v>
      </c>
      <c r="DB25">
        <v>0</v>
      </c>
    </row>
    <row r="26" spans="1:106">
      <c r="A26">
        <f>ROW(Source!A26)</f>
        <v>26</v>
      </c>
      <c r="B26">
        <v>55197979</v>
      </c>
      <c r="C26">
        <v>55197993</v>
      </c>
      <c r="D26">
        <v>42103993</v>
      </c>
      <c r="E26">
        <v>1</v>
      </c>
      <c r="F26">
        <v>1</v>
      </c>
      <c r="G26">
        <v>1</v>
      </c>
      <c r="H26">
        <v>3</v>
      </c>
      <c r="I26" t="s">
        <v>172</v>
      </c>
      <c r="J26" t="s">
        <v>173</v>
      </c>
      <c r="K26" t="s">
        <v>174</v>
      </c>
      <c r="L26">
        <v>1339</v>
      </c>
      <c r="N26">
        <v>1007</v>
      </c>
      <c r="O26" t="s">
        <v>175</v>
      </c>
      <c r="P26" t="s">
        <v>175</v>
      </c>
      <c r="Q26">
        <v>1</v>
      </c>
      <c r="W26">
        <v>0</v>
      </c>
      <c r="X26">
        <v>1516837705</v>
      </c>
      <c r="Y26">
        <v>2</v>
      </c>
      <c r="AA26">
        <v>532.39</v>
      </c>
      <c r="AB26">
        <v>0</v>
      </c>
      <c r="AC26">
        <v>0</v>
      </c>
      <c r="AD26">
        <v>0</v>
      </c>
      <c r="AE26">
        <v>532.39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2</v>
      </c>
      <c r="AU26" t="s">
        <v>3</v>
      </c>
      <c r="AV26">
        <v>0</v>
      </c>
      <c r="AW26">
        <v>2</v>
      </c>
      <c r="AX26">
        <v>55198028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Y26*Source!I26</f>
        <v>9.4E-2</v>
      </c>
      <c r="CY26">
        <f>AA26</f>
        <v>532.39</v>
      </c>
      <c r="CZ26">
        <f>AE26</f>
        <v>532.39</v>
      </c>
      <c r="DA26">
        <f>AI26</f>
        <v>1</v>
      </c>
      <c r="DB26">
        <v>0</v>
      </c>
    </row>
    <row r="27" spans="1:106">
      <c r="A27">
        <f>ROW(Source!A26)</f>
        <v>26</v>
      </c>
      <c r="B27">
        <v>55197979</v>
      </c>
      <c r="C27">
        <v>55197993</v>
      </c>
      <c r="D27">
        <v>42112512</v>
      </c>
      <c r="E27">
        <v>1</v>
      </c>
      <c r="F27">
        <v>1</v>
      </c>
      <c r="G27">
        <v>1</v>
      </c>
      <c r="H27">
        <v>3</v>
      </c>
      <c r="I27" t="s">
        <v>176</v>
      </c>
      <c r="J27" t="s">
        <v>177</v>
      </c>
      <c r="K27" t="s">
        <v>178</v>
      </c>
      <c r="L27">
        <v>1339</v>
      </c>
      <c r="N27">
        <v>1007</v>
      </c>
      <c r="O27" t="s">
        <v>175</v>
      </c>
      <c r="P27" t="s">
        <v>175</v>
      </c>
      <c r="Q27">
        <v>1</v>
      </c>
      <c r="W27">
        <v>0</v>
      </c>
      <c r="X27">
        <v>2050165204</v>
      </c>
      <c r="Y27">
        <v>0.5</v>
      </c>
      <c r="AA27">
        <v>2.4500000000000002</v>
      </c>
      <c r="AB27">
        <v>0</v>
      </c>
      <c r="AC27">
        <v>0</v>
      </c>
      <c r="AD27">
        <v>0</v>
      </c>
      <c r="AE27">
        <v>2.4500000000000002</v>
      </c>
      <c r="AF27">
        <v>0</v>
      </c>
      <c r="AG27">
        <v>0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0.5</v>
      </c>
      <c r="AU27" t="s">
        <v>3</v>
      </c>
      <c r="AV27">
        <v>0</v>
      </c>
      <c r="AW27">
        <v>2</v>
      </c>
      <c r="AX27">
        <v>55198029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Y27*Source!I26</f>
        <v>2.35E-2</v>
      </c>
      <c r="CY27">
        <f>AA27</f>
        <v>2.4500000000000002</v>
      </c>
      <c r="CZ27">
        <f>AE27</f>
        <v>2.4500000000000002</v>
      </c>
      <c r="DA27">
        <f>AI27</f>
        <v>1</v>
      </c>
      <c r="DB27">
        <v>0</v>
      </c>
    </row>
    <row r="28" spans="1:106">
      <c r="A28">
        <f>ROW(Source!A27)</f>
        <v>27</v>
      </c>
      <c r="B28">
        <v>55197951</v>
      </c>
      <c r="C28">
        <v>55197993</v>
      </c>
      <c r="D28">
        <v>25655219</v>
      </c>
      <c r="E28">
        <v>1</v>
      </c>
      <c r="F28">
        <v>1</v>
      </c>
      <c r="G28">
        <v>1</v>
      </c>
      <c r="H28">
        <v>1</v>
      </c>
      <c r="I28" t="s">
        <v>147</v>
      </c>
      <c r="J28" t="s">
        <v>3</v>
      </c>
      <c r="K28" t="s">
        <v>148</v>
      </c>
      <c r="L28">
        <v>1369</v>
      </c>
      <c r="N28">
        <v>1013</v>
      </c>
      <c r="O28" t="s">
        <v>149</v>
      </c>
      <c r="P28" t="s">
        <v>149</v>
      </c>
      <c r="Q28">
        <v>1</v>
      </c>
      <c r="W28">
        <v>0</v>
      </c>
      <c r="X28">
        <v>-953108061</v>
      </c>
      <c r="Y28">
        <v>353.96999999999997</v>
      </c>
      <c r="AA28">
        <v>0</v>
      </c>
      <c r="AB28">
        <v>0</v>
      </c>
      <c r="AC28">
        <v>0</v>
      </c>
      <c r="AD28">
        <v>9.08</v>
      </c>
      <c r="AE28">
        <v>0</v>
      </c>
      <c r="AF28">
        <v>0</v>
      </c>
      <c r="AG28">
        <v>0</v>
      </c>
      <c r="AH28">
        <v>9.08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1</v>
      </c>
      <c r="AP28">
        <v>1</v>
      </c>
      <c r="AQ28">
        <v>0</v>
      </c>
      <c r="AR28">
        <v>0</v>
      </c>
      <c r="AS28" t="s">
        <v>3</v>
      </c>
      <c r="AT28">
        <v>307.8</v>
      </c>
      <c r="AU28" t="s">
        <v>18</v>
      </c>
      <c r="AV28">
        <v>1</v>
      </c>
      <c r="AW28">
        <v>2</v>
      </c>
      <c r="AX28">
        <v>55198021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Y28*Source!I27</f>
        <v>16.636589999999998</v>
      </c>
      <c r="CY28">
        <f>AD28</f>
        <v>9.08</v>
      </c>
      <c r="CZ28">
        <f>AH28</f>
        <v>9.08</v>
      </c>
      <c r="DA28">
        <f>AL28</f>
        <v>1</v>
      </c>
      <c r="DB28">
        <v>0</v>
      </c>
    </row>
    <row r="29" spans="1:106">
      <c r="A29">
        <f>ROW(Source!A27)</f>
        <v>27</v>
      </c>
      <c r="B29">
        <v>55197951</v>
      </c>
      <c r="C29">
        <v>55197993</v>
      </c>
      <c r="D29">
        <v>40494002</v>
      </c>
      <c r="E29">
        <v>1</v>
      </c>
      <c r="F29">
        <v>1</v>
      </c>
      <c r="G29">
        <v>1</v>
      </c>
      <c r="H29">
        <v>1</v>
      </c>
      <c r="I29" t="s">
        <v>150</v>
      </c>
      <c r="J29" t="s">
        <v>3</v>
      </c>
      <c r="K29" t="s">
        <v>151</v>
      </c>
      <c r="L29">
        <v>608254</v>
      </c>
      <c r="N29">
        <v>1013</v>
      </c>
      <c r="O29" t="s">
        <v>152</v>
      </c>
      <c r="P29" t="s">
        <v>152</v>
      </c>
      <c r="Q29">
        <v>1</v>
      </c>
      <c r="W29">
        <v>0</v>
      </c>
      <c r="X29">
        <v>95408949</v>
      </c>
      <c r="Y29">
        <v>1.6500000000000001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1</v>
      </c>
      <c r="AQ29">
        <v>0</v>
      </c>
      <c r="AR29">
        <v>0</v>
      </c>
      <c r="AS29" t="s">
        <v>3</v>
      </c>
      <c r="AT29">
        <v>1.32</v>
      </c>
      <c r="AU29" t="s">
        <v>17</v>
      </c>
      <c r="AV29">
        <v>2</v>
      </c>
      <c r="AW29">
        <v>2</v>
      </c>
      <c r="AX29">
        <v>55198022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Y29*Source!I27</f>
        <v>7.7550000000000008E-2</v>
      </c>
      <c r="CY29">
        <f>AD29</f>
        <v>0</v>
      </c>
      <c r="CZ29">
        <f>AH29</f>
        <v>0</v>
      </c>
      <c r="DA29">
        <f>AL29</f>
        <v>1</v>
      </c>
      <c r="DB29">
        <v>0</v>
      </c>
    </row>
    <row r="30" spans="1:106">
      <c r="A30">
        <f>ROW(Source!A27)</f>
        <v>27</v>
      </c>
      <c r="B30">
        <v>55197951</v>
      </c>
      <c r="C30">
        <v>55197993</v>
      </c>
      <c r="D30">
        <v>42066299</v>
      </c>
      <c r="E30">
        <v>1</v>
      </c>
      <c r="F30">
        <v>1</v>
      </c>
      <c r="G30">
        <v>1</v>
      </c>
      <c r="H30">
        <v>2</v>
      </c>
      <c r="I30" t="s">
        <v>153</v>
      </c>
      <c r="J30" t="s">
        <v>154</v>
      </c>
      <c r="K30" t="s">
        <v>155</v>
      </c>
      <c r="L30">
        <v>1368</v>
      </c>
      <c r="N30">
        <v>1011</v>
      </c>
      <c r="O30" t="s">
        <v>156</v>
      </c>
      <c r="P30" t="s">
        <v>156</v>
      </c>
      <c r="Q30">
        <v>1</v>
      </c>
      <c r="W30">
        <v>0</v>
      </c>
      <c r="X30">
        <v>-149788903</v>
      </c>
      <c r="Y30">
        <v>0.13750000000000001</v>
      </c>
      <c r="AA30">
        <v>0</v>
      </c>
      <c r="AB30">
        <v>646.47</v>
      </c>
      <c r="AC30">
        <v>177.6</v>
      </c>
      <c r="AD30">
        <v>0</v>
      </c>
      <c r="AE30">
        <v>0</v>
      </c>
      <c r="AF30">
        <v>97.95</v>
      </c>
      <c r="AG30">
        <v>9.7100000000000009</v>
      </c>
      <c r="AH30">
        <v>0</v>
      </c>
      <c r="AI30">
        <v>1</v>
      </c>
      <c r="AJ30">
        <v>6.6</v>
      </c>
      <c r="AK30">
        <v>18.29</v>
      </c>
      <c r="AL30">
        <v>1</v>
      </c>
      <c r="AN30">
        <v>0</v>
      </c>
      <c r="AO30">
        <v>1</v>
      </c>
      <c r="AP30">
        <v>1</v>
      </c>
      <c r="AQ30">
        <v>0</v>
      </c>
      <c r="AR30">
        <v>0</v>
      </c>
      <c r="AS30" t="s">
        <v>3</v>
      </c>
      <c r="AT30">
        <v>0.11</v>
      </c>
      <c r="AU30" t="s">
        <v>17</v>
      </c>
      <c r="AV30">
        <v>0</v>
      </c>
      <c r="AW30">
        <v>2</v>
      </c>
      <c r="AX30">
        <v>55198023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Y30*Source!I27</f>
        <v>6.4625000000000004E-3</v>
      </c>
      <c r="CY30">
        <f>AB30</f>
        <v>646.47</v>
      </c>
      <c r="CZ30">
        <f>AF30</f>
        <v>97.95</v>
      </c>
      <c r="DA30">
        <f>AJ30</f>
        <v>6.6</v>
      </c>
      <c r="DB30">
        <v>0</v>
      </c>
    </row>
    <row r="31" spans="1:106">
      <c r="A31">
        <f>ROW(Source!A27)</f>
        <v>27</v>
      </c>
      <c r="B31">
        <v>55197951</v>
      </c>
      <c r="C31">
        <v>55197993</v>
      </c>
      <c r="D31">
        <v>42066358</v>
      </c>
      <c r="E31">
        <v>1</v>
      </c>
      <c r="F31">
        <v>1</v>
      </c>
      <c r="G31">
        <v>1</v>
      </c>
      <c r="H31">
        <v>2</v>
      </c>
      <c r="I31" t="s">
        <v>157</v>
      </c>
      <c r="J31" t="s">
        <v>158</v>
      </c>
      <c r="K31" t="s">
        <v>159</v>
      </c>
      <c r="L31">
        <v>1368</v>
      </c>
      <c r="N31">
        <v>1011</v>
      </c>
      <c r="O31" t="s">
        <v>156</v>
      </c>
      <c r="P31" t="s">
        <v>156</v>
      </c>
      <c r="Q31">
        <v>1</v>
      </c>
      <c r="W31">
        <v>0</v>
      </c>
      <c r="X31">
        <v>-1205898307</v>
      </c>
      <c r="Y31">
        <v>1.5125</v>
      </c>
      <c r="AA31">
        <v>0</v>
      </c>
      <c r="AB31">
        <v>293.69</v>
      </c>
      <c r="AC31">
        <v>238.32</v>
      </c>
      <c r="AD31">
        <v>0</v>
      </c>
      <c r="AE31">
        <v>0</v>
      </c>
      <c r="AF31">
        <v>30.85</v>
      </c>
      <c r="AG31">
        <v>13.03</v>
      </c>
      <c r="AH31">
        <v>0</v>
      </c>
      <c r="AI31">
        <v>1</v>
      </c>
      <c r="AJ31">
        <v>9.52</v>
      </c>
      <c r="AK31">
        <v>18.29</v>
      </c>
      <c r="AL31">
        <v>1</v>
      </c>
      <c r="AN31">
        <v>0</v>
      </c>
      <c r="AO31">
        <v>1</v>
      </c>
      <c r="AP31">
        <v>1</v>
      </c>
      <c r="AQ31">
        <v>0</v>
      </c>
      <c r="AR31">
        <v>0</v>
      </c>
      <c r="AS31" t="s">
        <v>3</v>
      </c>
      <c r="AT31">
        <v>1.21</v>
      </c>
      <c r="AU31" t="s">
        <v>17</v>
      </c>
      <c r="AV31">
        <v>0</v>
      </c>
      <c r="AW31">
        <v>2</v>
      </c>
      <c r="AX31">
        <v>55198024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Y31*Source!I27</f>
        <v>7.1087499999999998E-2</v>
      </c>
      <c r="CY31">
        <f>AB31</f>
        <v>293.69</v>
      </c>
      <c r="CZ31">
        <f>AF31</f>
        <v>30.85</v>
      </c>
      <c r="DA31">
        <f>AJ31</f>
        <v>9.52</v>
      </c>
      <c r="DB31">
        <v>0</v>
      </c>
    </row>
    <row r="32" spans="1:106">
      <c r="A32">
        <f>ROW(Source!A27)</f>
        <v>27</v>
      </c>
      <c r="B32">
        <v>55197951</v>
      </c>
      <c r="C32">
        <v>55197993</v>
      </c>
      <c r="D32">
        <v>42069182</v>
      </c>
      <c r="E32">
        <v>1</v>
      </c>
      <c r="F32">
        <v>1</v>
      </c>
      <c r="G32">
        <v>1</v>
      </c>
      <c r="H32">
        <v>3</v>
      </c>
      <c r="I32" t="s">
        <v>160</v>
      </c>
      <c r="J32" t="s">
        <v>161</v>
      </c>
      <c r="K32" t="s">
        <v>162</v>
      </c>
      <c r="L32">
        <v>1327</v>
      </c>
      <c r="N32">
        <v>1005</v>
      </c>
      <c r="O32" t="s">
        <v>163</v>
      </c>
      <c r="P32" t="s">
        <v>163</v>
      </c>
      <c r="Q32">
        <v>1</v>
      </c>
      <c r="W32">
        <v>0</v>
      </c>
      <c r="X32">
        <v>157810889</v>
      </c>
      <c r="Y32">
        <v>100</v>
      </c>
      <c r="AA32">
        <v>551.39</v>
      </c>
      <c r="AB32">
        <v>0</v>
      </c>
      <c r="AC32">
        <v>0</v>
      </c>
      <c r="AD32">
        <v>0</v>
      </c>
      <c r="AE32">
        <v>57.98</v>
      </c>
      <c r="AF32">
        <v>0</v>
      </c>
      <c r="AG32">
        <v>0</v>
      </c>
      <c r="AH32">
        <v>0</v>
      </c>
      <c r="AI32">
        <v>9.51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100</v>
      </c>
      <c r="AU32" t="s">
        <v>3</v>
      </c>
      <c r="AV32">
        <v>0</v>
      </c>
      <c r="AW32">
        <v>2</v>
      </c>
      <c r="AX32">
        <v>55198025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Y32*Source!I27</f>
        <v>4.7</v>
      </c>
      <c r="CY32">
        <f>AA32</f>
        <v>551.39</v>
      </c>
      <c r="CZ32">
        <f>AE32</f>
        <v>57.98</v>
      </c>
      <c r="DA32">
        <f>AI32</f>
        <v>9.51</v>
      </c>
      <c r="DB32">
        <v>0</v>
      </c>
    </row>
    <row r="33" spans="1:106">
      <c r="A33">
        <f>ROW(Source!A27)</f>
        <v>27</v>
      </c>
      <c r="B33">
        <v>55197951</v>
      </c>
      <c r="C33">
        <v>55197993</v>
      </c>
      <c r="D33">
        <v>42070112</v>
      </c>
      <c r="E33">
        <v>1</v>
      </c>
      <c r="F33">
        <v>1</v>
      </c>
      <c r="G33">
        <v>1</v>
      </c>
      <c r="H33">
        <v>3</v>
      </c>
      <c r="I33" t="s">
        <v>164</v>
      </c>
      <c r="J33" t="s">
        <v>165</v>
      </c>
      <c r="K33" t="s">
        <v>166</v>
      </c>
      <c r="L33">
        <v>1348</v>
      </c>
      <c r="N33">
        <v>1009</v>
      </c>
      <c r="O33" t="s">
        <v>167</v>
      </c>
      <c r="P33" t="s">
        <v>167</v>
      </c>
      <c r="Q33">
        <v>1000</v>
      </c>
      <c r="W33">
        <v>0</v>
      </c>
      <c r="X33">
        <v>-1598640094</v>
      </c>
      <c r="Y33">
        <v>0.04</v>
      </c>
      <c r="AA33">
        <v>3322.33</v>
      </c>
      <c r="AB33">
        <v>0</v>
      </c>
      <c r="AC33">
        <v>0</v>
      </c>
      <c r="AD33">
        <v>0</v>
      </c>
      <c r="AE33">
        <v>418.43</v>
      </c>
      <c r="AF33">
        <v>0</v>
      </c>
      <c r="AG33">
        <v>0</v>
      </c>
      <c r="AH33">
        <v>0</v>
      </c>
      <c r="AI33">
        <v>7.94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0.04</v>
      </c>
      <c r="AU33" t="s">
        <v>3</v>
      </c>
      <c r="AV33">
        <v>0</v>
      </c>
      <c r="AW33">
        <v>2</v>
      </c>
      <c r="AX33">
        <v>55198026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Y33*Source!I27</f>
        <v>1.8799999999999999E-3</v>
      </c>
      <c r="CY33">
        <f>AA33</f>
        <v>3322.33</v>
      </c>
      <c r="CZ33">
        <f>AE33</f>
        <v>418.43</v>
      </c>
      <c r="DA33">
        <f>AI33</f>
        <v>7.94</v>
      </c>
      <c r="DB33">
        <v>0</v>
      </c>
    </row>
    <row r="34" spans="1:106">
      <c r="A34">
        <f>ROW(Source!A27)</f>
        <v>27</v>
      </c>
      <c r="B34">
        <v>55197951</v>
      </c>
      <c r="C34">
        <v>55197993</v>
      </c>
      <c r="D34">
        <v>42070510</v>
      </c>
      <c r="E34">
        <v>1</v>
      </c>
      <c r="F34">
        <v>1</v>
      </c>
      <c r="G34">
        <v>1</v>
      </c>
      <c r="H34">
        <v>3</v>
      </c>
      <c r="I34" t="s">
        <v>168</v>
      </c>
      <c r="J34" t="s">
        <v>169</v>
      </c>
      <c r="K34" t="s">
        <v>170</v>
      </c>
      <c r="L34">
        <v>1346</v>
      </c>
      <c r="N34">
        <v>1009</v>
      </c>
      <c r="O34" t="s">
        <v>171</v>
      </c>
      <c r="P34" t="s">
        <v>171</v>
      </c>
      <c r="Q34">
        <v>1</v>
      </c>
      <c r="W34">
        <v>0</v>
      </c>
      <c r="X34">
        <v>-1526040720</v>
      </c>
      <c r="Y34">
        <v>0.5</v>
      </c>
      <c r="AA34">
        <v>47.1</v>
      </c>
      <c r="AB34">
        <v>0</v>
      </c>
      <c r="AC34">
        <v>0</v>
      </c>
      <c r="AD34">
        <v>0</v>
      </c>
      <c r="AE34">
        <v>1.94</v>
      </c>
      <c r="AF34">
        <v>0</v>
      </c>
      <c r="AG34">
        <v>0</v>
      </c>
      <c r="AH34">
        <v>0</v>
      </c>
      <c r="AI34">
        <v>24.28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0.5</v>
      </c>
      <c r="AU34" t="s">
        <v>3</v>
      </c>
      <c r="AV34">
        <v>0</v>
      </c>
      <c r="AW34">
        <v>2</v>
      </c>
      <c r="AX34">
        <v>55198027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Y34*Source!I27</f>
        <v>2.35E-2</v>
      </c>
      <c r="CY34">
        <f>AA34</f>
        <v>47.1</v>
      </c>
      <c r="CZ34">
        <f>AE34</f>
        <v>1.94</v>
      </c>
      <c r="DA34">
        <f>AI34</f>
        <v>24.28</v>
      </c>
      <c r="DB34">
        <v>0</v>
      </c>
    </row>
    <row r="35" spans="1:106">
      <c r="A35">
        <f>ROW(Source!A27)</f>
        <v>27</v>
      </c>
      <c r="B35">
        <v>55197951</v>
      </c>
      <c r="C35">
        <v>55197993</v>
      </c>
      <c r="D35">
        <v>42103993</v>
      </c>
      <c r="E35">
        <v>1</v>
      </c>
      <c r="F35">
        <v>1</v>
      </c>
      <c r="G35">
        <v>1</v>
      </c>
      <c r="H35">
        <v>3</v>
      </c>
      <c r="I35" t="s">
        <v>172</v>
      </c>
      <c r="J35" t="s">
        <v>173</v>
      </c>
      <c r="K35" t="s">
        <v>174</v>
      </c>
      <c r="L35">
        <v>1339</v>
      </c>
      <c r="N35">
        <v>1007</v>
      </c>
      <c r="O35" t="s">
        <v>175</v>
      </c>
      <c r="P35" t="s">
        <v>175</v>
      </c>
      <c r="Q35">
        <v>1</v>
      </c>
      <c r="W35">
        <v>0</v>
      </c>
      <c r="X35">
        <v>1516837705</v>
      </c>
      <c r="Y35">
        <v>2</v>
      </c>
      <c r="AA35">
        <v>2512.88</v>
      </c>
      <c r="AB35">
        <v>0</v>
      </c>
      <c r="AC35">
        <v>0</v>
      </c>
      <c r="AD35">
        <v>0</v>
      </c>
      <c r="AE35">
        <v>532.39</v>
      </c>
      <c r="AF35">
        <v>0</v>
      </c>
      <c r="AG35">
        <v>0</v>
      </c>
      <c r="AH35">
        <v>0</v>
      </c>
      <c r="AI35">
        <v>4.72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2</v>
      </c>
      <c r="AU35" t="s">
        <v>3</v>
      </c>
      <c r="AV35">
        <v>0</v>
      </c>
      <c r="AW35">
        <v>2</v>
      </c>
      <c r="AX35">
        <v>55198028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Y35*Source!I27</f>
        <v>9.4E-2</v>
      </c>
      <c r="CY35">
        <f>AA35</f>
        <v>2512.88</v>
      </c>
      <c r="CZ35">
        <f>AE35</f>
        <v>532.39</v>
      </c>
      <c r="DA35">
        <f>AI35</f>
        <v>4.72</v>
      </c>
      <c r="DB35">
        <v>0</v>
      </c>
    </row>
    <row r="36" spans="1:106">
      <c r="A36">
        <f>ROW(Source!A27)</f>
        <v>27</v>
      </c>
      <c r="B36">
        <v>55197951</v>
      </c>
      <c r="C36">
        <v>55197993</v>
      </c>
      <c r="D36">
        <v>42112512</v>
      </c>
      <c r="E36">
        <v>1</v>
      </c>
      <c r="F36">
        <v>1</v>
      </c>
      <c r="G36">
        <v>1</v>
      </c>
      <c r="H36">
        <v>3</v>
      </c>
      <c r="I36" t="s">
        <v>176</v>
      </c>
      <c r="J36" t="s">
        <v>177</v>
      </c>
      <c r="K36" t="s">
        <v>178</v>
      </c>
      <c r="L36">
        <v>1339</v>
      </c>
      <c r="N36">
        <v>1007</v>
      </c>
      <c r="O36" t="s">
        <v>175</v>
      </c>
      <c r="P36" t="s">
        <v>175</v>
      </c>
      <c r="Q36">
        <v>1</v>
      </c>
      <c r="W36">
        <v>0</v>
      </c>
      <c r="X36">
        <v>2050165204</v>
      </c>
      <c r="Y36">
        <v>0.5</v>
      </c>
      <c r="AA36">
        <v>17.420000000000002</v>
      </c>
      <c r="AB36">
        <v>0</v>
      </c>
      <c r="AC36">
        <v>0</v>
      </c>
      <c r="AD36">
        <v>0</v>
      </c>
      <c r="AE36">
        <v>2.4500000000000002</v>
      </c>
      <c r="AF36">
        <v>0</v>
      </c>
      <c r="AG36">
        <v>0</v>
      </c>
      <c r="AH36">
        <v>0</v>
      </c>
      <c r="AI36">
        <v>7.11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0.5</v>
      </c>
      <c r="AU36" t="s">
        <v>3</v>
      </c>
      <c r="AV36">
        <v>0</v>
      </c>
      <c r="AW36">
        <v>2</v>
      </c>
      <c r="AX36">
        <v>55198029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Y36*Source!I27</f>
        <v>2.35E-2</v>
      </c>
      <c r="CY36">
        <f>AA36</f>
        <v>17.420000000000002</v>
      </c>
      <c r="CZ36">
        <f>AE36</f>
        <v>2.4500000000000002</v>
      </c>
      <c r="DA36">
        <f>AI36</f>
        <v>7.11</v>
      </c>
      <c r="DB36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R36"/>
  <sheetViews>
    <sheetView workbookViewId="0"/>
  </sheetViews>
  <sheetFormatPr defaultColWidth="9.140625" defaultRowHeight="12.75"/>
  <cols>
    <col min="1" max="256" width="9.140625" customWidth="1"/>
  </cols>
  <sheetData>
    <row r="1" spans="1:44">
      <c r="A1">
        <f>ROW(Source!A24)</f>
        <v>24</v>
      </c>
      <c r="B1">
        <v>55197970</v>
      </c>
      <c r="C1">
        <v>55197969</v>
      </c>
      <c r="D1">
        <v>25655219</v>
      </c>
      <c r="E1">
        <v>1</v>
      </c>
      <c r="F1">
        <v>1</v>
      </c>
      <c r="G1">
        <v>1</v>
      </c>
      <c r="H1">
        <v>1</v>
      </c>
      <c r="I1" t="s">
        <v>147</v>
      </c>
      <c r="J1" t="s">
        <v>3</v>
      </c>
      <c r="K1" t="s">
        <v>148</v>
      </c>
      <c r="L1">
        <v>1369</v>
      </c>
      <c r="N1">
        <v>1013</v>
      </c>
      <c r="O1" t="s">
        <v>149</v>
      </c>
      <c r="P1" t="s">
        <v>149</v>
      </c>
      <c r="Q1">
        <v>1</v>
      </c>
      <c r="X1">
        <v>387.6</v>
      </c>
      <c r="Y1">
        <v>0</v>
      </c>
      <c r="Z1">
        <v>0</v>
      </c>
      <c r="AA1">
        <v>0</v>
      </c>
      <c r="AB1">
        <v>9.08</v>
      </c>
      <c r="AC1">
        <v>0</v>
      </c>
      <c r="AD1">
        <v>1</v>
      </c>
      <c r="AE1">
        <v>1</v>
      </c>
      <c r="AF1" t="s">
        <v>18</v>
      </c>
      <c r="AG1">
        <v>445.74</v>
      </c>
      <c r="AH1">
        <v>2</v>
      </c>
      <c r="AI1">
        <v>55197970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>
      <c r="A2">
        <f>ROW(Source!A24)</f>
        <v>24</v>
      </c>
      <c r="B2">
        <v>55197971</v>
      </c>
      <c r="C2">
        <v>55197969</v>
      </c>
      <c r="D2">
        <v>40494002</v>
      </c>
      <c r="E2">
        <v>1</v>
      </c>
      <c r="F2">
        <v>1</v>
      </c>
      <c r="G2">
        <v>1</v>
      </c>
      <c r="H2">
        <v>1</v>
      </c>
      <c r="I2" t="s">
        <v>150</v>
      </c>
      <c r="J2" t="s">
        <v>3</v>
      </c>
      <c r="K2" t="s">
        <v>151</v>
      </c>
      <c r="L2">
        <v>608254</v>
      </c>
      <c r="N2">
        <v>1013</v>
      </c>
      <c r="O2" t="s">
        <v>152</v>
      </c>
      <c r="P2" t="s">
        <v>152</v>
      </c>
      <c r="Q2">
        <v>1</v>
      </c>
      <c r="X2">
        <v>1.32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17</v>
      </c>
      <c r="AG2">
        <v>1.6500000000000001</v>
      </c>
      <c r="AH2">
        <v>2</v>
      </c>
      <c r="AI2">
        <v>55197971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>
      <c r="A3">
        <f>ROW(Source!A24)</f>
        <v>24</v>
      </c>
      <c r="B3">
        <v>55197972</v>
      </c>
      <c r="C3">
        <v>55197969</v>
      </c>
      <c r="D3">
        <v>42066299</v>
      </c>
      <c r="E3">
        <v>1</v>
      </c>
      <c r="F3">
        <v>1</v>
      </c>
      <c r="G3">
        <v>1</v>
      </c>
      <c r="H3">
        <v>2</v>
      </c>
      <c r="I3" t="s">
        <v>153</v>
      </c>
      <c r="J3" t="s">
        <v>154</v>
      </c>
      <c r="K3" t="s">
        <v>155</v>
      </c>
      <c r="L3">
        <v>1368</v>
      </c>
      <c r="N3">
        <v>1011</v>
      </c>
      <c r="O3" t="s">
        <v>156</v>
      </c>
      <c r="P3" t="s">
        <v>156</v>
      </c>
      <c r="Q3">
        <v>1</v>
      </c>
      <c r="X3">
        <v>0.11</v>
      </c>
      <c r="Y3">
        <v>0</v>
      </c>
      <c r="Z3">
        <v>97.95</v>
      </c>
      <c r="AA3">
        <v>9.7100000000000009</v>
      </c>
      <c r="AB3">
        <v>0</v>
      </c>
      <c r="AC3">
        <v>0</v>
      </c>
      <c r="AD3">
        <v>1</v>
      </c>
      <c r="AE3">
        <v>0</v>
      </c>
      <c r="AF3" t="s">
        <v>17</v>
      </c>
      <c r="AG3">
        <v>0.13750000000000001</v>
      </c>
      <c r="AH3">
        <v>2</v>
      </c>
      <c r="AI3">
        <v>55197972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>
      <c r="A4">
        <f>ROW(Source!A24)</f>
        <v>24</v>
      </c>
      <c r="B4">
        <v>55197973</v>
      </c>
      <c r="C4">
        <v>55197969</v>
      </c>
      <c r="D4">
        <v>42066358</v>
      </c>
      <c r="E4">
        <v>1</v>
      </c>
      <c r="F4">
        <v>1</v>
      </c>
      <c r="G4">
        <v>1</v>
      </c>
      <c r="H4">
        <v>2</v>
      </c>
      <c r="I4" t="s">
        <v>157</v>
      </c>
      <c r="J4" t="s">
        <v>158</v>
      </c>
      <c r="K4" t="s">
        <v>159</v>
      </c>
      <c r="L4">
        <v>1368</v>
      </c>
      <c r="N4">
        <v>1011</v>
      </c>
      <c r="O4" t="s">
        <v>156</v>
      </c>
      <c r="P4" t="s">
        <v>156</v>
      </c>
      <c r="Q4">
        <v>1</v>
      </c>
      <c r="X4">
        <v>1.21</v>
      </c>
      <c r="Y4">
        <v>0</v>
      </c>
      <c r="Z4">
        <v>30.85</v>
      </c>
      <c r="AA4">
        <v>13.03</v>
      </c>
      <c r="AB4">
        <v>0</v>
      </c>
      <c r="AC4">
        <v>0</v>
      </c>
      <c r="AD4">
        <v>1</v>
      </c>
      <c r="AE4">
        <v>0</v>
      </c>
      <c r="AF4" t="s">
        <v>17</v>
      </c>
      <c r="AG4">
        <v>1.5125</v>
      </c>
      <c r="AH4">
        <v>2</v>
      </c>
      <c r="AI4">
        <v>55197973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>
      <c r="A5">
        <f>ROW(Source!A24)</f>
        <v>24</v>
      </c>
      <c r="B5">
        <v>55197974</v>
      </c>
      <c r="C5">
        <v>55197969</v>
      </c>
      <c r="D5">
        <v>42069182</v>
      </c>
      <c r="E5">
        <v>1</v>
      </c>
      <c r="F5">
        <v>1</v>
      </c>
      <c r="G5">
        <v>1</v>
      </c>
      <c r="H5">
        <v>3</v>
      </c>
      <c r="I5" t="s">
        <v>160</v>
      </c>
      <c r="J5" t="s">
        <v>161</v>
      </c>
      <c r="K5" t="s">
        <v>162</v>
      </c>
      <c r="L5">
        <v>1327</v>
      </c>
      <c r="N5">
        <v>1005</v>
      </c>
      <c r="O5" t="s">
        <v>163</v>
      </c>
      <c r="P5" t="s">
        <v>163</v>
      </c>
      <c r="Q5">
        <v>1</v>
      </c>
      <c r="X5">
        <v>100</v>
      </c>
      <c r="Y5">
        <v>57.98</v>
      </c>
      <c r="Z5">
        <v>0</v>
      </c>
      <c r="AA5">
        <v>0</v>
      </c>
      <c r="AB5">
        <v>0</v>
      </c>
      <c r="AC5">
        <v>0</v>
      </c>
      <c r="AD5">
        <v>1</v>
      </c>
      <c r="AE5">
        <v>0</v>
      </c>
      <c r="AF5" t="s">
        <v>3</v>
      </c>
      <c r="AG5">
        <v>100</v>
      </c>
      <c r="AH5">
        <v>2</v>
      </c>
      <c r="AI5">
        <v>55197974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>
      <c r="A6">
        <f>ROW(Source!A24)</f>
        <v>24</v>
      </c>
      <c r="B6">
        <v>55197975</v>
      </c>
      <c r="C6">
        <v>55197969</v>
      </c>
      <c r="D6">
        <v>42070112</v>
      </c>
      <c r="E6">
        <v>1</v>
      </c>
      <c r="F6">
        <v>1</v>
      </c>
      <c r="G6">
        <v>1</v>
      </c>
      <c r="H6">
        <v>3</v>
      </c>
      <c r="I6" t="s">
        <v>164</v>
      </c>
      <c r="J6" t="s">
        <v>165</v>
      </c>
      <c r="K6" t="s">
        <v>166</v>
      </c>
      <c r="L6">
        <v>1348</v>
      </c>
      <c r="N6">
        <v>1009</v>
      </c>
      <c r="O6" t="s">
        <v>167</v>
      </c>
      <c r="P6" t="s">
        <v>167</v>
      </c>
      <c r="Q6">
        <v>1000</v>
      </c>
      <c r="X6">
        <v>0.04</v>
      </c>
      <c r="Y6">
        <v>418.43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F6" t="s">
        <v>3</v>
      </c>
      <c r="AG6">
        <v>0.04</v>
      </c>
      <c r="AH6">
        <v>2</v>
      </c>
      <c r="AI6">
        <v>55197975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>
      <c r="A7">
        <f>ROW(Source!A24)</f>
        <v>24</v>
      </c>
      <c r="B7">
        <v>55197976</v>
      </c>
      <c r="C7">
        <v>55197969</v>
      </c>
      <c r="D7">
        <v>42070510</v>
      </c>
      <c r="E7">
        <v>1</v>
      </c>
      <c r="F7">
        <v>1</v>
      </c>
      <c r="G7">
        <v>1</v>
      </c>
      <c r="H7">
        <v>3</v>
      </c>
      <c r="I7" t="s">
        <v>168</v>
      </c>
      <c r="J7" t="s">
        <v>169</v>
      </c>
      <c r="K7" t="s">
        <v>170</v>
      </c>
      <c r="L7">
        <v>1346</v>
      </c>
      <c r="N7">
        <v>1009</v>
      </c>
      <c r="O7" t="s">
        <v>171</v>
      </c>
      <c r="P7" t="s">
        <v>171</v>
      </c>
      <c r="Q7">
        <v>1</v>
      </c>
      <c r="X7">
        <v>0.5</v>
      </c>
      <c r="Y7">
        <v>1.94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F7" t="s">
        <v>3</v>
      </c>
      <c r="AG7">
        <v>0.5</v>
      </c>
      <c r="AH7">
        <v>2</v>
      </c>
      <c r="AI7">
        <v>55197976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>
      <c r="A8">
        <f>ROW(Source!A24)</f>
        <v>24</v>
      </c>
      <c r="B8">
        <v>55197977</v>
      </c>
      <c r="C8">
        <v>55197969</v>
      </c>
      <c r="D8">
        <v>42103993</v>
      </c>
      <c r="E8">
        <v>1</v>
      </c>
      <c r="F8">
        <v>1</v>
      </c>
      <c r="G8">
        <v>1</v>
      </c>
      <c r="H8">
        <v>3</v>
      </c>
      <c r="I8" t="s">
        <v>172</v>
      </c>
      <c r="J8" t="s">
        <v>173</v>
      </c>
      <c r="K8" t="s">
        <v>174</v>
      </c>
      <c r="L8">
        <v>1339</v>
      </c>
      <c r="N8">
        <v>1007</v>
      </c>
      <c r="O8" t="s">
        <v>175</v>
      </c>
      <c r="P8" t="s">
        <v>175</v>
      </c>
      <c r="Q8">
        <v>1</v>
      </c>
      <c r="X8">
        <v>2</v>
      </c>
      <c r="Y8">
        <v>532.39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F8" t="s">
        <v>3</v>
      </c>
      <c r="AG8">
        <v>2</v>
      </c>
      <c r="AH8">
        <v>2</v>
      </c>
      <c r="AI8">
        <v>55197977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>
      <c r="A9">
        <f>ROW(Source!A24)</f>
        <v>24</v>
      </c>
      <c r="B9">
        <v>55197978</v>
      </c>
      <c r="C9">
        <v>55197969</v>
      </c>
      <c r="D9">
        <v>42112512</v>
      </c>
      <c r="E9">
        <v>1</v>
      </c>
      <c r="F9">
        <v>1</v>
      </c>
      <c r="G9">
        <v>1</v>
      </c>
      <c r="H9">
        <v>3</v>
      </c>
      <c r="I9" t="s">
        <v>176</v>
      </c>
      <c r="J9" t="s">
        <v>177</v>
      </c>
      <c r="K9" t="s">
        <v>178</v>
      </c>
      <c r="L9">
        <v>1339</v>
      </c>
      <c r="N9">
        <v>1007</v>
      </c>
      <c r="O9" t="s">
        <v>175</v>
      </c>
      <c r="P9" t="s">
        <v>175</v>
      </c>
      <c r="Q9">
        <v>1</v>
      </c>
      <c r="X9">
        <v>0.5</v>
      </c>
      <c r="Y9">
        <v>2.4500000000000002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F9" t="s">
        <v>3</v>
      </c>
      <c r="AG9">
        <v>0.5</v>
      </c>
      <c r="AH9">
        <v>2</v>
      </c>
      <c r="AI9">
        <v>55197978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>
      <c r="A10">
        <f>ROW(Source!A25)</f>
        <v>25</v>
      </c>
      <c r="B10">
        <v>55197970</v>
      </c>
      <c r="C10">
        <v>55197969</v>
      </c>
      <c r="D10">
        <v>25655219</v>
      </c>
      <c r="E10">
        <v>1</v>
      </c>
      <c r="F10">
        <v>1</v>
      </c>
      <c r="G10">
        <v>1</v>
      </c>
      <c r="H10">
        <v>1</v>
      </c>
      <c r="I10" t="s">
        <v>147</v>
      </c>
      <c r="J10" t="s">
        <v>3</v>
      </c>
      <c r="K10" t="s">
        <v>148</v>
      </c>
      <c r="L10">
        <v>1369</v>
      </c>
      <c r="N10">
        <v>1013</v>
      </c>
      <c r="O10" t="s">
        <v>149</v>
      </c>
      <c r="P10" t="s">
        <v>149</v>
      </c>
      <c r="Q10">
        <v>1</v>
      </c>
      <c r="X10">
        <v>387.6</v>
      </c>
      <c r="Y10">
        <v>0</v>
      </c>
      <c r="Z10">
        <v>0</v>
      </c>
      <c r="AA10">
        <v>0</v>
      </c>
      <c r="AB10">
        <v>9.08</v>
      </c>
      <c r="AC10">
        <v>0</v>
      </c>
      <c r="AD10">
        <v>1</v>
      </c>
      <c r="AE10">
        <v>1</v>
      </c>
      <c r="AF10" t="s">
        <v>18</v>
      </c>
      <c r="AG10">
        <v>445.74</v>
      </c>
      <c r="AH10">
        <v>2</v>
      </c>
      <c r="AI10">
        <v>55197970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>
      <c r="A11">
        <f>ROW(Source!A25)</f>
        <v>25</v>
      </c>
      <c r="B11">
        <v>55197971</v>
      </c>
      <c r="C11">
        <v>55197969</v>
      </c>
      <c r="D11">
        <v>40494002</v>
      </c>
      <c r="E11">
        <v>1</v>
      </c>
      <c r="F11">
        <v>1</v>
      </c>
      <c r="G11">
        <v>1</v>
      </c>
      <c r="H11">
        <v>1</v>
      </c>
      <c r="I11" t="s">
        <v>150</v>
      </c>
      <c r="J11" t="s">
        <v>3</v>
      </c>
      <c r="K11" t="s">
        <v>151</v>
      </c>
      <c r="L11">
        <v>608254</v>
      </c>
      <c r="N11">
        <v>1013</v>
      </c>
      <c r="O11" t="s">
        <v>152</v>
      </c>
      <c r="P11" t="s">
        <v>152</v>
      </c>
      <c r="Q11">
        <v>1</v>
      </c>
      <c r="X11">
        <v>1.32</v>
      </c>
      <c r="Y11">
        <v>0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2</v>
      </c>
      <c r="AF11" t="s">
        <v>17</v>
      </c>
      <c r="AG11">
        <v>1.6500000000000001</v>
      </c>
      <c r="AH11">
        <v>2</v>
      </c>
      <c r="AI11">
        <v>55197971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>
      <c r="A12">
        <f>ROW(Source!A25)</f>
        <v>25</v>
      </c>
      <c r="B12">
        <v>55197972</v>
      </c>
      <c r="C12">
        <v>55197969</v>
      </c>
      <c r="D12">
        <v>42066299</v>
      </c>
      <c r="E12">
        <v>1</v>
      </c>
      <c r="F12">
        <v>1</v>
      </c>
      <c r="G12">
        <v>1</v>
      </c>
      <c r="H12">
        <v>2</v>
      </c>
      <c r="I12" t="s">
        <v>153</v>
      </c>
      <c r="J12" t="s">
        <v>154</v>
      </c>
      <c r="K12" t="s">
        <v>155</v>
      </c>
      <c r="L12">
        <v>1368</v>
      </c>
      <c r="N12">
        <v>1011</v>
      </c>
      <c r="O12" t="s">
        <v>156</v>
      </c>
      <c r="P12" t="s">
        <v>156</v>
      </c>
      <c r="Q12">
        <v>1</v>
      </c>
      <c r="X12">
        <v>0.11</v>
      </c>
      <c r="Y12">
        <v>0</v>
      </c>
      <c r="Z12">
        <v>97.95</v>
      </c>
      <c r="AA12">
        <v>9.7100000000000009</v>
      </c>
      <c r="AB12">
        <v>0</v>
      </c>
      <c r="AC12">
        <v>0</v>
      </c>
      <c r="AD12">
        <v>1</v>
      </c>
      <c r="AE12">
        <v>0</v>
      </c>
      <c r="AF12" t="s">
        <v>17</v>
      </c>
      <c r="AG12">
        <v>0.13750000000000001</v>
      </c>
      <c r="AH12">
        <v>2</v>
      </c>
      <c r="AI12">
        <v>55197972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>
      <c r="A13">
        <f>ROW(Source!A25)</f>
        <v>25</v>
      </c>
      <c r="B13">
        <v>55197973</v>
      </c>
      <c r="C13">
        <v>55197969</v>
      </c>
      <c r="D13">
        <v>42066358</v>
      </c>
      <c r="E13">
        <v>1</v>
      </c>
      <c r="F13">
        <v>1</v>
      </c>
      <c r="G13">
        <v>1</v>
      </c>
      <c r="H13">
        <v>2</v>
      </c>
      <c r="I13" t="s">
        <v>157</v>
      </c>
      <c r="J13" t="s">
        <v>158</v>
      </c>
      <c r="K13" t="s">
        <v>159</v>
      </c>
      <c r="L13">
        <v>1368</v>
      </c>
      <c r="N13">
        <v>1011</v>
      </c>
      <c r="O13" t="s">
        <v>156</v>
      </c>
      <c r="P13" t="s">
        <v>156</v>
      </c>
      <c r="Q13">
        <v>1</v>
      </c>
      <c r="X13">
        <v>1.21</v>
      </c>
      <c r="Y13">
        <v>0</v>
      </c>
      <c r="Z13">
        <v>30.85</v>
      </c>
      <c r="AA13">
        <v>13.03</v>
      </c>
      <c r="AB13">
        <v>0</v>
      </c>
      <c r="AC13">
        <v>0</v>
      </c>
      <c r="AD13">
        <v>1</v>
      </c>
      <c r="AE13">
        <v>0</v>
      </c>
      <c r="AF13" t="s">
        <v>17</v>
      </c>
      <c r="AG13">
        <v>1.5125</v>
      </c>
      <c r="AH13">
        <v>2</v>
      </c>
      <c r="AI13">
        <v>55197973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>
      <c r="A14">
        <f>ROW(Source!A25)</f>
        <v>25</v>
      </c>
      <c r="B14">
        <v>55197974</v>
      </c>
      <c r="C14">
        <v>55197969</v>
      </c>
      <c r="D14">
        <v>42069182</v>
      </c>
      <c r="E14">
        <v>1</v>
      </c>
      <c r="F14">
        <v>1</v>
      </c>
      <c r="G14">
        <v>1</v>
      </c>
      <c r="H14">
        <v>3</v>
      </c>
      <c r="I14" t="s">
        <v>160</v>
      </c>
      <c r="J14" t="s">
        <v>161</v>
      </c>
      <c r="K14" t="s">
        <v>162</v>
      </c>
      <c r="L14">
        <v>1327</v>
      </c>
      <c r="N14">
        <v>1005</v>
      </c>
      <c r="O14" t="s">
        <v>163</v>
      </c>
      <c r="P14" t="s">
        <v>163</v>
      </c>
      <c r="Q14">
        <v>1</v>
      </c>
      <c r="X14">
        <v>100</v>
      </c>
      <c r="Y14">
        <v>57.98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3</v>
      </c>
      <c r="AG14">
        <v>100</v>
      </c>
      <c r="AH14">
        <v>2</v>
      </c>
      <c r="AI14">
        <v>55197974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>
      <c r="A15">
        <f>ROW(Source!A25)</f>
        <v>25</v>
      </c>
      <c r="B15">
        <v>55197975</v>
      </c>
      <c r="C15">
        <v>55197969</v>
      </c>
      <c r="D15">
        <v>42070112</v>
      </c>
      <c r="E15">
        <v>1</v>
      </c>
      <c r="F15">
        <v>1</v>
      </c>
      <c r="G15">
        <v>1</v>
      </c>
      <c r="H15">
        <v>3</v>
      </c>
      <c r="I15" t="s">
        <v>164</v>
      </c>
      <c r="J15" t="s">
        <v>165</v>
      </c>
      <c r="K15" t="s">
        <v>166</v>
      </c>
      <c r="L15">
        <v>1348</v>
      </c>
      <c r="N15">
        <v>1009</v>
      </c>
      <c r="O15" t="s">
        <v>167</v>
      </c>
      <c r="P15" t="s">
        <v>167</v>
      </c>
      <c r="Q15">
        <v>1000</v>
      </c>
      <c r="X15">
        <v>0.04</v>
      </c>
      <c r="Y15">
        <v>418.43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0.04</v>
      </c>
      <c r="AH15">
        <v>2</v>
      </c>
      <c r="AI15">
        <v>55197975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>
      <c r="A16">
        <f>ROW(Source!A25)</f>
        <v>25</v>
      </c>
      <c r="B16">
        <v>55197976</v>
      </c>
      <c r="C16">
        <v>55197969</v>
      </c>
      <c r="D16">
        <v>42070510</v>
      </c>
      <c r="E16">
        <v>1</v>
      </c>
      <c r="F16">
        <v>1</v>
      </c>
      <c r="G16">
        <v>1</v>
      </c>
      <c r="H16">
        <v>3</v>
      </c>
      <c r="I16" t="s">
        <v>168</v>
      </c>
      <c r="J16" t="s">
        <v>169</v>
      </c>
      <c r="K16" t="s">
        <v>170</v>
      </c>
      <c r="L16">
        <v>1346</v>
      </c>
      <c r="N16">
        <v>1009</v>
      </c>
      <c r="O16" t="s">
        <v>171</v>
      </c>
      <c r="P16" t="s">
        <v>171</v>
      </c>
      <c r="Q16">
        <v>1</v>
      </c>
      <c r="X16">
        <v>0.5</v>
      </c>
      <c r="Y16">
        <v>1.94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3</v>
      </c>
      <c r="AG16">
        <v>0.5</v>
      </c>
      <c r="AH16">
        <v>2</v>
      </c>
      <c r="AI16">
        <v>55197976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>
      <c r="A17">
        <f>ROW(Source!A25)</f>
        <v>25</v>
      </c>
      <c r="B17">
        <v>55197977</v>
      </c>
      <c r="C17">
        <v>55197969</v>
      </c>
      <c r="D17">
        <v>42103993</v>
      </c>
      <c r="E17">
        <v>1</v>
      </c>
      <c r="F17">
        <v>1</v>
      </c>
      <c r="G17">
        <v>1</v>
      </c>
      <c r="H17">
        <v>3</v>
      </c>
      <c r="I17" t="s">
        <v>172</v>
      </c>
      <c r="J17" t="s">
        <v>173</v>
      </c>
      <c r="K17" t="s">
        <v>174</v>
      </c>
      <c r="L17">
        <v>1339</v>
      </c>
      <c r="N17">
        <v>1007</v>
      </c>
      <c r="O17" t="s">
        <v>175</v>
      </c>
      <c r="P17" t="s">
        <v>175</v>
      </c>
      <c r="Q17">
        <v>1</v>
      </c>
      <c r="X17">
        <v>2</v>
      </c>
      <c r="Y17">
        <v>532.39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3</v>
      </c>
      <c r="AG17">
        <v>2</v>
      </c>
      <c r="AH17">
        <v>2</v>
      </c>
      <c r="AI17">
        <v>55197977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>
      <c r="A18">
        <f>ROW(Source!A25)</f>
        <v>25</v>
      </c>
      <c r="B18">
        <v>55197978</v>
      </c>
      <c r="C18">
        <v>55197969</v>
      </c>
      <c r="D18">
        <v>42112512</v>
      </c>
      <c r="E18">
        <v>1</v>
      </c>
      <c r="F18">
        <v>1</v>
      </c>
      <c r="G18">
        <v>1</v>
      </c>
      <c r="H18">
        <v>3</v>
      </c>
      <c r="I18" t="s">
        <v>176</v>
      </c>
      <c r="J18" t="s">
        <v>177</v>
      </c>
      <c r="K18" t="s">
        <v>178</v>
      </c>
      <c r="L18">
        <v>1339</v>
      </c>
      <c r="N18">
        <v>1007</v>
      </c>
      <c r="O18" t="s">
        <v>175</v>
      </c>
      <c r="P18" t="s">
        <v>175</v>
      </c>
      <c r="Q18">
        <v>1</v>
      </c>
      <c r="X18">
        <v>0.5</v>
      </c>
      <c r="Y18">
        <v>2.4500000000000002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0.5</v>
      </c>
      <c r="AH18">
        <v>2</v>
      </c>
      <c r="AI18">
        <v>55197978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>
      <c r="A19">
        <f>ROW(Source!A26)</f>
        <v>26</v>
      </c>
      <c r="B19">
        <v>55198021</v>
      </c>
      <c r="C19">
        <v>55197993</v>
      </c>
      <c r="D19">
        <v>25655219</v>
      </c>
      <c r="E19">
        <v>1</v>
      </c>
      <c r="F19">
        <v>1</v>
      </c>
      <c r="G19">
        <v>1</v>
      </c>
      <c r="H19">
        <v>1</v>
      </c>
      <c r="I19" t="s">
        <v>147</v>
      </c>
      <c r="J19" t="s">
        <v>3</v>
      </c>
      <c r="K19" t="s">
        <v>148</v>
      </c>
      <c r="L19">
        <v>1369</v>
      </c>
      <c r="N19">
        <v>1013</v>
      </c>
      <c r="O19" t="s">
        <v>149</v>
      </c>
      <c r="P19" t="s">
        <v>149</v>
      </c>
      <c r="Q19">
        <v>1</v>
      </c>
      <c r="X19">
        <v>307.8</v>
      </c>
      <c r="Y19">
        <v>0</v>
      </c>
      <c r="Z19">
        <v>0</v>
      </c>
      <c r="AA19">
        <v>0</v>
      </c>
      <c r="AB19">
        <v>9.08</v>
      </c>
      <c r="AC19">
        <v>0</v>
      </c>
      <c r="AD19">
        <v>1</v>
      </c>
      <c r="AE19">
        <v>1</v>
      </c>
      <c r="AF19" t="s">
        <v>18</v>
      </c>
      <c r="AG19">
        <v>353.96999999999997</v>
      </c>
      <c r="AH19">
        <v>2</v>
      </c>
      <c r="AI19">
        <v>55198021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>
      <c r="A20">
        <f>ROW(Source!A26)</f>
        <v>26</v>
      </c>
      <c r="B20">
        <v>55198022</v>
      </c>
      <c r="C20">
        <v>55197993</v>
      </c>
      <c r="D20">
        <v>40494002</v>
      </c>
      <c r="E20">
        <v>1</v>
      </c>
      <c r="F20">
        <v>1</v>
      </c>
      <c r="G20">
        <v>1</v>
      </c>
      <c r="H20">
        <v>1</v>
      </c>
      <c r="I20" t="s">
        <v>150</v>
      </c>
      <c r="J20" t="s">
        <v>3</v>
      </c>
      <c r="K20" t="s">
        <v>151</v>
      </c>
      <c r="L20">
        <v>608254</v>
      </c>
      <c r="N20">
        <v>1013</v>
      </c>
      <c r="O20" t="s">
        <v>152</v>
      </c>
      <c r="P20" t="s">
        <v>152</v>
      </c>
      <c r="Q20">
        <v>1</v>
      </c>
      <c r="X20">
        <v>1.32</v>
      </c>
      <c r="Y20">
        <v>0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2</v>
      </c>
      <c r="AF20" t="s">
        <v>17</v>
      </c>
      <c r="AG20">
        <v>1.6500000000000001</v>
      </c>
      <c r="AH20">
        <v>2</v>
      </c>
      <c r="AI20">
        <v>55198022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>
      <c r="A21">
        <f>ROW(Source!A26)</f>
        <v>26</v>
      </c>
      <c r="B21">
        <v>55198023</v>
      </c>
      <c r="C21">
        <v>55197993</v>
      </c>
      <c r="D21">
        <v>42066299</v>
      </c>
      <c r="E21">
        <v>1</v>
      </c>
      <c r="F21">
        <v>1</v>
      </c>
      <c r="G21">
        <v>1</v>
      </c>
      <c r="H21">
        <v>2</v>
      </c>
      <c r="I21" t="s">
        <v>153</v>
      </c>
      <c r="J21" t="s">
        <v>154</v>
      </c>
      <c r="K21" t="s">
        <v>155</v>
      </c>
      <c r="L21">
        <v>1368</v>
      </c>
      <c r="N21">
        <v>1011</v>
      </c>
      <c r="O21" t="s">
        <v>156</v>
      </c>
      <c r="P21" t="s">
        <v>156</v>
      </c>
      <c r="Q21">
        <v>1</v>
      </c>
      <c r="X21">
        <v>0.11</v>
      </c>
      <c r="Y21">
        <v>0</v>
      </c>
      <c r="Z21">
        <v>97.95</v>
      </c>
      <c r="AA21">
        <v>9.7100000000000009</v>
      </c>
      <c r="AB21">
        <v>0</v>
      </c>
      <c r="AC21">
        <v>0</v>
      </c>
      <c r="AD21">
        <v>1</v>
      </c>
      <c r="AE21">
        <v>0</v>
      </c>
      <c r="AF21" t="s">
        <v>17</v>
      </c>
      <c r="AG21">
        <v>0.13750000000000001</v>
      </c>
      <c r="AH21">
        <v>2</v>
      </c>
      <c r="AI21">
        <v>55198023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>
      <c r="A22">
        <f>ROW(Source!A26)</f>
        <v>26</v>
      </c>
      <c r="B22">
        <v>55198024</v>
      </c>
      <c r="C22">
        <v>55197993</v>
      </c>
      <c r="D22">
        <v>42066358</v>
      </c>
      <c r="E22">
        <v>1</v>
      </c>
      <c r="F22">
        <v>1</v>
      </c>
      <c r="G22">
        <v>1</v>
      </c>
      <c r="H22">
        <v>2</v>
      </c>
      <c r="I22" t="s">
        <v>157</v>
      </c>
      <c r="J22" t="s">
        <v>158</v>
      </c>
      <c r="K22" t="s">
        <v>159</v>
      </c>
      <c r="L22">
        <v>1368</v>
      </c>
      <c r="N22">
        <v>1011</v>
      </c>
      <c r="O22" t="s">
        <v>156</v>
      </c>
      <c r="P22" t="s">
        <v>156</v>
      </c>
      <c r="Q22">
        <v>1</v>
      </c>
      <c r="X22">
        <v>1.21</v>
      </c>
      <c r="Y22">
        <v>0</v>
      </c>
      <c r="Z22">
        <v>30.85</v>
      </c>
      <c r="AA22">
        <v>13.03</v>
      </c>
      <c r="AB22">
        <v>0</v>
      </c>
      <c r="AC22">
        <v>0</v>
      </c>
      <c r="AD22">
        <v>1</v>
      </c>
      <c r="AE22">
        <v>0</v>
      </c>
      <c r="AF22" t="s">
        <v>17</v>
      </c>
      <c r="AG22">
        <v>1.5125</v>
      </c>
      <c r="AH22">
        <v>2</v>
      </c>
      <c r="AI22">
        <v>55198024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>
      <c r="A23">
        <f>ROW(Source!A26)</f>
        <v>26</v>
      </c>
      <c r="B23">
        <v>55198025</v>
      </c>
      <c r="C23">
        <v>55197993</v>
      </c>
      <c r="D23">
        <v>42069182</v>
      </c>
      <c r="E23">
        <v>1</v>
      </c>
      <c r="F23">
        <v>1</v>
      </c>
      <c r="G23">
        <v>1</v>
      </c>
      <c r="H23">
        <v>3</v>
      </c>
      <c r="I23" t="s">
        <v>160</v>
      </c>
      <c r="J23" t="s">
        <v>161</v>
      </c>
      <c r="K23" t="s">
        <v>162</v>
      </c>
      <c r="L23">
        <v>1327</v>
      </c>
      <c r="N23">
        <v>1005</v>
      </c>
      <c r="O23" t="s">
        <v>163</v>
      </c>
      <c r="P23" t="s">
        <v>163</v>
      </c>
      <c r="Q23">
        <v>1</v>
      </c>
      <c r="X23">
        <v>100</v>
      </c>
      <c r="Y23">
        <v>57.98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100</v>
      </c>
      <c r="AH23">
        <v>2</v>
      </c>
      <c r="AI23">
        <v>55198025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>
      <c r="A24">
        <f>ROW(Source!A26)</f>
        <v>26</v>
      </c>
      <c r="B24">
        <v>55198026</v>
      </c>
      <c r="C24">
        <v>55197993</v>
      </c>
      <c r="D24">
        <v>42070112</v>
      </c>
      <c r="E24">
        <v>1</v>
      </c>
      <c r="F24">
        <v>1</v>
      </c>
      <c r="G24">
        <v>1</v>
      </c>
      <c r="H24">
        <v>3</v>
      </c>
      <c r="I24" t="s">
        <v>164</v>
      </c>
      <c r="J24" t="s">
        <v>165</v>
      </c>
      <c r="K24" t="s">
        <v>166</v>
      </c>
      <c r="L24">
        <v>1348</v>
      </c>
      <c r="N24">
        <v>1009</v>
      </c>
      <c r="O24" t="s">
        <v>167</v>
      </c>
      <c r="P24" t="s">
        <v>167</v>
      </c>
      <c r="Q24">
        <v>1000</v>
      </c>
      <c r="X24">
        <v>0.04</v>
      </c>
      <c r="Y24">
        <v>418.43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0.04</v>
      </c>
      <c r="AH24">
        <v>2</v>
      </c>
      <c r="AI24">
        <v>55198026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>
      <c r="A25">
        <f>ROW(Source!A26)</f>
        <v>26</v>
      </c>
      <c r="B25">
        <v>55198027</v>
      </c>
      <c r="C25">
        <v>55197993</v>
      </c>
      <c r="D25">
        <v>42070510</v>
      </c>
      <c r="E25">
        <v>1</v>
      </c>
      <c r="F25">
        <v>1</v>
      </c>
      <c r="G25">
        <v>1</v>
      </c>
      <c r="H25">
        <v>3</v>
      </c>
      <c r="I25" t="s">
        <v>168</v>
      </c>
      <c r="J25" t="s">
        <v>169</v>
      </c>
      <c r="K25" t="s">
        <v>170</v>
      </c>
      <c r="L25">
        <v>1346</v>
      </c>
      <c r="N25">
        <v>1009</v>
      </c>
      <c r="O25" t="s">
        <v>171</v>
      </c>
      <c r="P25" t="s">
        <v>171</v>
      </c>
      <c r="Q25">
        <v>1</v>
      </c>
      <c r="X25">
        <v>0.5</v>
      </c>
      <c r="Y25">
        <v>1.94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3</v>
      </c>
      <c r="AG25">
        <v>0.5</v>
      </c>
      <c r="AH25">
        <v>2</v>
      </c>
      <c r="AI25">
        <v>55198027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>
      <c r="A26">
        <f>ROW(Source!A26)</f>
        <v>26</v>
      </c>
      <c r="B26">
        <v>55198028</v>
      </c>
      <c r="C26">
        <v>55197993</v>
      </c>
      <c r="D26">
        <v>42103993</v>
      </c>
      <c r="E26">
        <v>1</v>
      </c>
      <c r="F26">
        <v>1</v>
      </c>
      <c r="G26">
        <v>1</v>
      </c>
      <c r="H26">
        <v>3</v>
      </c>
      <c r="I26" t="s">
        <v>172</v>
      </c>
      <c r="J26" t="s">
        <v>173</v>
      </c>
      <c r="K26" t="s">
        <v>174</v>
      </c>
      <c r="L26">
        <v>1339</v>
      </c>
      <c r="N26">
        <v>1007</v>
      </c>
      <c r="O26" t="s">
        <v>175</v>
      </c>
      <c r="P26" t="s">
        <v>175</v>
      </c>
      <c r="Q26">
        <v>1</v>
      </c>
      <c r="X26">
        <v>2</v>
      </c>
      <c r="Y26">
        <v>532.39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F26" t="s">
        <v>3</v>
      </c>
      <c r="AG26">
        <v>2</v>
      </c>
      <c r="AH26">
        <v>2</v>
      </c>
      <c r="AI26">
        <v>55198028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>
      <c r="A27">
        <f>ROW(Source!A26)</f>
        <v>26</v>
      </c>
      <c r="B27">
        <v>55198029</v>
      </c>
      <c r="C27">
        <v>55197993</v>
      </c>
      <c r="D27">
        <v>42112512</v>
      </c>
      <c r="E27">
        <v>1</v>
      </c>
      <c r="F27">
        <v>1</v>
      </c>
      <c r="G27">
        <v>1</v>
      </c>
      <c r="H27">
        <v>3</v>
      </c>
      <c r="I27" t="s">
        <v>176</v>
      </c>
      <c r="J27" t="s">
        <v>177</v>
      </c>
      <c r="K27" t="s">
        <v>178</v>
      </c>
      <c r="L27">
        <v>1339</v>
      </c>
      <c r="N27">
        <v>1007</v>
      </c>
      <c r="O27" t="s">
        <v>175</v>
      </c>
      <c r="P27" t="s">
        <v>175</v>
      </c>
      <c r="Q27">
        <v>1</v>
      </c>
      <c r="X27">
        <v>0.5</v>
      </c>
      <c r="Y27">
        <v>2.4500000000000002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0.5</v>
      </c>
      <c r="AH27">
        <v>2</v>
      </c>
      <c r="AI27">
        <v>55198029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>
      <c r="A28">
        <f>ROW(Source!A27)</f>
        <v>27</v>
      </c>
      <c r="B28">
        <v>55198021</v>
      </c>
      <c r="C28">
        <v>55197993</v>
      </c>
      <c r="D28">
        <v>25655219</v>
      </c>
      <c r="E28">
        <v>1</v>
      </c>
      <c r="F28">
        <v>1</v>
      </c>
      <c r="G28">
        <v>1</v>
      </c>
      <c r="H28">
        <v>1</v>
      </c>
      <c r="I28" t="s">
        <v>147</v>
      </c>
      <c r="J28" t="s">
        <v>3</v>
      </c>
      <c r="K28" t="s">
        <v>148</v>
      </c>
      <c r="L28">
        <v>1369</v>
      </c>
      <c r="N28">
        <v>1013</v>
      </c>
      <c r="O28" t="s">
        <v>149</v>
      </c>
      <c r="P28" t="s">
        <v>149</v>
      </c>
      <c r="Q28">
        <v>1</v>
      </c>
      <c r="X28">
        <v>307.8</v>
      </c>
      <c r="Y28">
        <v>0</v>
      </c>
      <c r="Z28">
        <v>0</v>
      </c>
      <c r="AA28">
        <v>0</v>
      </c>
      <c r="AB28">
        <v>9.08</v>
      </c>
      <c r="AC28">
        <v>0</v>
      </c>
      <c r="AD28">
        <v>1</v>
      </c>
      <c r="AE28">
        <v>1</v>
      </c>
      <c r="AF28" t="s">
        <v>18</v>
      </c>
      <c r="AG28">
        <v>353.96999999999997</v>
      </c>
      <c r="AH28">
        <v>2</v>
      </c>
      <c r="AI28">
        <v>55198021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>
      <c r="A29">
        <f>ROW(Source!A27)</f>
        <v>27</v>
      </c>
      <c r="B29">
        <v>55198022</v>
      </c>
      <c r="C29">
        <v>55197993</v>
      </c>
      <c r="D29">
        <v>40494002</v>
      </c>
      <c r="E29">
        <v>1</v>
      </c>
      <c r="F29">
        <v>1</v>
      </c>
      <c r="G29">
        <v>1</v>
      </c>
      <c r="H29">
        <v>1</v>
      </c>
      <c r="I29" t="s">
        <v>150</v>
      </c>
      <c r="J29" t="s">
        <v>3</v>
      </c>
      <c r="K29" t="s">
        <v>151</v>
      </c>
      <c r="L29">
        <v>608254</v>
      </c>
      <c r="N29">
        <v>1013</v>
      </c>
      <c r="O29" t="s">
        <v>152</v>
      </c>
      <c r="P29" t="s">
        <v>152</v>
      </c>
      <c r="Q29">
        <v>1</v>
      </c>
      <c r="X29">
        <v>1.32</v>
      </c>
      <c r="Y29">
        <v>0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2</v>
      </c>
      <c r="AF29" t="s">
        <v>17</v>
      </c>
      <c r="AG29">
        <v>1.6500000000000001</v>
      </c>
      <c r="AH29">
        <v>2</v>
      </c>
      <c r="AI29">
        <v>55198022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>
      <c r="A30">
        <f>ROW(Source!A27)</f>
        <v>27</v>
      </c>
      <c r="B30">
        <v>55198023</v>
      </c>
      <c r="C30">
        <v>55197993</v>
      </c>
      <c r="D30">
        <v>42066299</v>
      </c>
      <c r="E30">
        <v>1</v>
      </c>
      <c r="F30">
        <v>1</v>
      </c>
      <c r="G30">
        <v>1</v>
      </c>
      <c r="H30">
        <v>2</v>
      </c>
      <c r="I30" t="s">
        <v>153</v>
      </c>
      <c r="J30" t="s">
        <v>154</v>
      </c>
      <c r="K30" t="s">
        <v>155</v>
      </c>
      <c r="L30">
        <v>1368</v>
      </c>
      <c r="N30">
        <v>1011</v>
      </c>
      <c r="O30" t="s">
        <v>156</v>
      </c>
      <c r="P30" t="s">
        <v>156</v>
      </c>
      <c r="Q30">
        <v>1</v>
      </c>
      <c r="X30">
        <v>0.11</v>
      </c>
      <c r="Y30">
        <v>0</v>
      </c>
      <c r="Z30">
        <v>97.95</v>
      </c>
      <c r="AA30">
        <v>9.7100000000000009</v>
      </c>
      <c r="AB30">
        <v>0</v>
      </c>
      <c r="AC30">
        <v>0</v>
      </c>
      <c r="AD30">
        <v>1</v>
      </c>
      <c r="AE30">
        <v>0</v>
      </c>
      <c r="AF30" t="s">
        <v>17</v>
      </c>
      <c r="AG30">
        <v>0.13750000000000001</v>
      </c>
      <c r="AH30">
        <v>2</v>
      </c>
      <c r="AI30">
        <v>55198023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>
      <c r="A31">
        <f>ROW(Source!A27)</f>
        <v>27</v>
      </c>
      <c r="B31">
        <v>55198024</v>
      </c>
      <c r="C31">
        <v>55197993</v>
      </c>
      <c r="D31">
        <v>42066358</v>
      </c>
      <c r="E31">
        <v>1</v>
      </c>
      <c r="F31">
        <v>1</v>
      </c>
      <c r="G31">
        <v>1</v>
      </c>
      <c r="H31">
        <v>2</v>
      </c>
      <c r="I31" t="s">
        <v>157</v>
      </c>
      <c r="J31" t="s">
        <v>158</v>
      </c>
      <c r="K31" t="s">
        <v>159</v>
      </c>
      <c r="L31">
        <v>1368</v>
      </c>
      <c r="N31">
        <v>1011</v>
      </c>
      <c r="O31" t="s">
        <v>156</v>
      </c>
      <c r="P31" t="s">
        <v>156</v>
      </c>
      <c r="Q31">
        <v>1</v>
      </c>
      <c r="X31">
        <v>1.21</v>
      </c>
      <c r="Y31">
        <v>0</v>
      </c>
      <c r="Z31">
        <v>30.85</v>
      </c>
      <c r="AA31">
        <v>13.03</v>
      </c>
      <c r="AB31">
        <v>0</v>
      </c>
      <c r="AC31">
        <v>0</v>
      </c>
      <c r="AD31">
        <v>1</v>
      </c>
      <c r="AE31">
        <v>0</v>
      </c>
      <c r="AF31" t="s">
        <v>17</v>
      </c>
      <c r="AG31">
        <v>1.5125</v>
      </c>
      <c r="AH31">
        <v>2</v>
      </c>
      <c r="AI31">
        <v>55198024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>
      <c r="A32">
        <f>ROW(Source!A27)</f>
        <v>27</v>
      </c>
      <c r="B32">
        <v>55198025</v>
      </c>
      <c r="C32">
        <v>55197993</v>
      </c>
      <c r="D32">
        <v>42069182</v>
      </c>
      <c r="E32">
        <v>1</v>
      </c>
      <c r="F32">
        <v>1</v>
      </c>
      <c r="G32">
        <v>1</v>
      </c>
      <c r="H32">
        <v>3</v>
      </c>
      <c r="I32" t="s">
        <v>160</v>
      </c>
      <c r="J32" t="s">
        <v>161</v>
      </c>
      <c r="K32" t="s">
        <v>162</v>
      </c>
      <c r="L32">
        <v>1327</v>
      </c>
      <c r="N32">
        <v>1005</v>
      </c>
      <c r="O32" t="s">
        <v>163</v>
      </c>
      <c r="P32" t="s">
        <v>163</v>
      </c>
      <c r="Q32">
        <v>1</v>
      </c>
      <c r="X32">
        <v>100</v>
      </c>
      <c r="Y32">
        <v>57.98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100</v>
      </c>
      <c r="AH32">
        <v>2</v>
      </c>
      <c r="AI32">
        <v>55198025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>
      <c r="A33">
        <f>ROW(Source!A27)</f>
        <v>27</v>
      </c>
      <c r="B33">
        <v>55198026</v>
      </c>
      <c r="C33">
        <v>55197993</v>
      </c>
      <c r="D33">
        <v>42070112</v>
      </c>
      <c r="E33">
        <v>1</v>
      </c>
      <c r="F33">
        <v>1</v>
      </c>
      <c r="G33">
        <v>1</v>
      </c>
      <c r="H33">
        <v>3</v>
      </c>
      <c r="I33" t="s">
        <v>164</v>
      </c>
      <c r="J33" t="s">
        <v>165</v>
      </c>
      <c r="K33" t="s">
        <v>166</v>
      </c>
      <c r="L33">
        <v>1348</v>
      </c>
      <c r="N33">
        <v>1009</v>
      </c>
      <c r="O33" t="s">
        <v>167</v>
      </c>
      <c r="P33" t="s">
        <v>167</v>
      </c>
      <c r="Q33">
        <v>1000</v>
      </c>
      <c r="X33">
        <v>0.04</v>
      </c>
      <c r="Y33">
        <v>418.43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0.04</v>
      </c>
      <c r="AH33">
        <v>2</v>
      </c>
      <c r="AI33">
        <v>55198026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>
      <c r="A34">
        <f>ROW(Source!A27)</f>
        <v>27</v>
      </c>
      <c r="B34">
        <v>55198027</v>
      </c>
      <c r="C34">
        <v>55197993</v>
      </c>
      <c r="D34">
        <v>42070510</v>
      </c>
      <c r="E34">
        <v>1</v>
      </c>
      <c r="F34">
        <v>1</v>
      </c>
      <c r="G34">
        <v>1</v>
      </c>
      <c r="H34">
        <v>3</v>
      </c>
      <c r="I34" t="s">
        <v>168</v>
      </c>
      <c r="J34" t="s">
        <v>169</v>
      </c>
      <c r="K34" t="s">
        <v>170</v>
      </c>
      <c r="L34">
        <v>1346</v>
      </c>
      <c r="N34">
        <v>1009</v>
      </c>
      <c r="O34" t="s">
        <v>171</v>
      </c>
      <c r="P34" t="s">
        <v>171</v>
      </c>
      <c r="Q34">
        <v>1</v>
      </c>
      <c r="X34">
        <v>0.5</v>
      </c>
      <c r="Y34">
        <v>1.94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F34" t="s">
        <v>3</v>
      </c>
      <c r="AG34">
        <v>0.5</v>
      </c>
      <c r="AH34">
        <v>2</v>
      </c>
      <c r="AI34">
        <v>55198027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>
      <c r="A35">
        <f>ROW(Source!A27)</f>
        <v>27</v>
      </c>
      <c r="B35">
        <v>55198028</v>
      </c>
      <c r="C35">
        <v>55197993</v>
      </c>
      <c r="D35">
        <v>42103993</v>
      </c>
      <c r="E35">
        <v>1</v>
      </c>
      <c r="F35">
        <v>1</v>
      </c>
      <c r="G35">
        <v>1</v>
      </c>
      <c r="H35">
        <v>3</v>
      </c>
      <c r="I35" t="s">
        <v>172</v>
      </c>
      <c r="J35" t="s">
        <v>173</v>
      </c>
      <c r="K35" t="s">
        <v>174</v>
      </c>
      <c r="L35">
        <v>1339</v>
      </c>
      <c r="N35">
        <v>1007</v>
      </c>
      <c r="O35" t="s">
        <v>175</v>
      </c>
      <c r="P35" t="s">
        <v>175</v>
      </c>
      <c r="Q35">
        <v>1</v>
      </c>
      <c r="X35">
        <v>2</v>
      </c>
      <c r="Y35">
        <v>532.39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F35" t="s">
        <v>3</v>
      </c>
      <c r="AG35">
        <v>2</v>
      </c>
      <c r="AH35">
        <v>2</v>
      </c>
      <c r="AI35">
        <v>55198028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>
      <c r="A36">
        <f>ROW(Source!A27)</f>
        <v>27</v>
      </c>
      <c r="B36">
        <v>55198029</v>
      </c>
      <c r="C36">
        <v>55197993</v>
      </c>
      <c r="D36">
        <v>42112512</v>
      </c>
      <c r="E36">
        <v>1</v>
      </c>
      <c r="F36">
        <v>1</v>
      </c>
      <c r="G36">
        <v>1</v>
      </c>
      <c r="H36">
        <v>3</v>
      </c>
      <c r="I36" t="s">
        <v>176</v>
      </c>
      <c r="J36" t="s">
        <v>177</v>
      </c>
      <c r="K36" t="s">
        <v>178</v>
      </c>
      <c r="L36">
        <v>1339</v>
      </c>
      <c r="N36">
        <v>1007</v>
      </c>
      <c r="O36" t="s">
        <v>175</v>
      </c>
      <c r="P36" t="s">
        <v>175</v>
      </c>
      <c r="Q36">
        <v>1</v>
      </c>
      <c r="X36">
        <v>0.5</v>
      </c>
      <c r="Y36">
        <v>2.4500000000000002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0.5</v>
      </c>
      <c r="AH36">
        <v>2</v>
      </c>
      <c r="AI36">
        <v>55198029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UnionSheet</vt:lpstr>
      <vt:lpstr>Смета 14 граф(Форма 4Т)</vt:lpstr>
      <vt:lpstr>ItogVidRab</vt:lpstr>
      <vt:lpstr>Смета для ТЕР(14гр)</vt:lpstr>
      <vt:lpstr>Смета 14 граф(Форма 4Т)_1</vt:lpstr>
      <vt:lpstr>Source</vt:lpstr>
      <vt:lpstr>SourceObSm</vt:lpstr>
      <vt:lpstr>SmtRes</vt:lpstr>
      <vt:lpstr>EtalonRes</vt:lpstr>
      <vt:lpstr>'Смета 14 граф(Форма 4Т)'!Заголовки_для_печати</vt:lpstr>
      <vt:lpstr>'Смета 14 граф(Форма 4Т)_1'!Заголовки_для_печати</vt:lpstr>
      <vt:lpstr>'Смета для ТЕР(14гр)'!Заголовки_для_печати</vt:lpstr>
      <vt:lpstr>'Смета 14 граф(Форма 4Т)'!Область_печати</vt:lpstr>
      <vt:lpstr>'Смета 14 граф(Форма 4Т)_1'!Область_печати</vt:lpstr>
      <vt:lpstr>'Смета для ТЕР(14гр)'!Область_печати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created xsi:type="dcterms:W3CDTF">2018-02-20T09:02:40Z</dcterms:created>
  <dcterms:modified xsi:type="dcterms:W3CDTF">2018-02-21T05:56:16Z</dcterms:modified>
</cp:coreProperties>
</file>